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fletch/Git/wwtp-energy-tariffs/data/"/>
    </mc:Choice>
  </mc:AlternateContent>
  <xr:revisionPtr revIDLastSave="0" documentId="13_ncr:1_{9C16329C-E69E-D54F-AA3A-0182A0F91211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12000053001" sheetId="1" r:id="rId1"/>
    <sheet name="48003033002" sheetId="2" r:id="rId2"/>
    <sheet name="31001825002" sheetId="3" r:id="rId3"/>
    <sheet name="36001010001" sheetId="4" r:id="rId4"/>
    <sheet name="36001010017" sheetId="5" r:id="rId5"/>
    <sheet name="9000641001" sheetId="6" r:id="rId6"/>
    <sheet name="6005025001" sheetId="7" r:id="rId7"/>
    <sheet name="35000021001" sheetId="8" r:id="rId8"/>
    <sheet name="36001010006" sheetId="9" r:id="rId9"/>
    <sheet name="48008015001" sheetId="10" r:id="rId10"/>
    <sheet name="34006012001" sheetId="11" r:id="rId11"/>
    <sheet name="6004010004" sheetId="35" r:id="rId12"/>
    <sheet name="36002001007" sheetId="19" r:id="rId13"/>
    <sheet name="51000161001" sheetId="48" r:id="rId14"/>
    <sheet name="40000123012" sheetId="60" r:id="rId15"/>
    <sheet name="53001280001" sheetId="23" r:id="rId16"/>
    <sheet name="36002001004" sheetId="28" r:id="rId17"/>
    <sheet name="32000011001" sheetId="61" r:id="rId18"/>
    <sheet name="36002001006" sheetId="20" r:id="rId19"/>
    <sheet name="41000017001" sheetId="62" r:id="rId20"/>
    <sheet name="47000245002" sheetId="59" r:id="rId21"/>
    <sheet name="24000001002" sheetId="63" r:id="rId22"/>
    <sheet name="42006056001" sheetId="74" r:id="rId23"/>
    <sheet name="53000776001" sheetId="75" r:id="rId24"/>
    <sheet name="47000940001" sheetId="57" r:id="rId25"/>
    <sheet name="36007136001" sheetId="26" r:id="rId26"/>
    <sheet name="39002093001" sheetId="78" r:id="rId27"/>
    <sheet name="12000001001" sheetId="53" r:id="rId28"/>
    <sheet name="10000027001" sheetId="84" r:id="rId29"/>
    <sheet name="51000154002" sheetId="49" r:id="rId30"/>
    <sheet name="6005053001" sheetId="32" r:id="rId31"/>
    <sheet name="34001005001" sheetId="42" r:id="rId32"/>
    <sheet name="15000003001" sheetId="85" r:id="rId33"/>
    <sheet name="48004026002" sheetId="72" r:id="rId34"/>
    <sheet name="39000084001" sheetId="79" r:id="rId35"/>
    <sheet name="36003169012" sheetId="25" r:id="rId36"/>
    <sheet name="39001792001" sheetId="81" r:id="rId37"/>
    <sheet name="6002032003" sheetId="30" r:id="rId38"/>
    <sheet name="6002036001" sheetId="29" r:id="rId39"/>
    <sheet name="26004005011" sheetId="67" r:id="rId40"/>
    <sheet name="29001011001" sheetId="86" r:id="rId41"/>
    <sheet name="6004009003" sheetId="36" r:id="rId42"/>
    <sheet name="34001030001" sheetId="43" r:id="rId43"/>
    <sheet name="39008260001" sheetId="80" r:id="rId44"/>
    <sheet name="36008024001" sheetId="51" r:id="rId45"/>
    <sheet name="36002001010" sheetId="24" r:id="rId46"/>
    <sheet name="13000012004" sheetId="87" r:id="rId47"/>
    <sheet name="6008022001" sheetId="37" r:id="rId48"/>
    <sheet name="32000200820" sheetId="88" r:id="rId49"/>
    <sheet name="47000940002" sheetId="58" r:id="rId50"/>
    <sheet name="47001016001" sheetId="89" r:id="rId51"/>
    <sheet name="12000017028" sheetId="54" r:id="rId52"/>
    <sheet name="22009071001" sheetId="90" r:id="rId53"/>
    <sheet name="36002001009" sheetId="18" r:id="rId54"/>
    <sheet name="42000094003" sheetId="45" r:id="rId55"/>
    <sheet name="12000017027" sheetId="55" r:id="rId56"/>
    <sheet name="39001792002" sheetId="82" r:id="rId57"/>
    <sheet name="48007039001" sheetId="91" r:id="rId58"/>
    <sheet name="36002001005" sheetId="38" r:id="rId59"/>
    <sheet name="21000025001" sheetId="92" r:id="rId60"/>
    <sheet name="53000776002" sheetId="27" r:id="rId61"/>
    <sheet name="29001023001" sheetId="65" r:id="rId62"/>
    <sheet name="29001023002" sheetId="66" r:id="rId63"/>
    <sheet name="18000061001" sheetId="93" r:id="rId64"/>
    <sheet name="36002001002" sheetId="34" r:id="rId65"/>
    <sheet name="48004026001" sheetId="71" r:id="rId66"/>
    <sheet name="12000017004" sheetId="56" r:id="rId67"/>
    <sheet name="36002001003" sheetId="22" r:id="rId68"/>
    <sheet name="39001666001" sheetId="21" r:id="rId69"/>
    <sheet name="48004122001" sheetId="70" r:id="rId70"/>
    <sheet name="4001318001" sheetId="94" r:id="rId71"/>
    <sheet name="6002041001" sheetId="33" r:id="rId72"/>
    <sheet name="36009071001" sheetId="52" r:id="rId73"/>
    <sheet name="39003369002" sheetId="95" r:id="rId74"/>
    <sheet name="6008022002" sheetId="39" r:id="rId75"/>
    <sheet name="48000004001" sheetId="69" r:id="rId76"/>
    <sheet name="8000070001" sheetId="73" r:id="rId77"/>
    <sheet name="24000001001" sheetId="64" r:id="rId78"/>
    <sheet name="42005016001" sheetId="96" r:id="rId79"/>
    <sheet name="6005009001" sheetId="97" r:id="rId80"/>
    <sheet name="6002121001" sheetId="31" r:id="rId81"/>
    <sheet name="36002001012" sheetId="17" r:id="rId82"/>
    <sheet name="39001666002" sheetId="50" r:id="rId83"/>
    <sheet name="34002065001" sheetId="99" r:id="rId84"/>
    <sheet name="6009031001" sheetId="98" r:id="rId85"/>
    <sheet name="42000094001" sheetId="46" r:id="rId86"/>
    <sheet name="42000094002" sheetId="47" r:id="rId87"/>
    <sheet name="27000001001" sheetId="100" r:id="rId88"/>
    <sheet name="55003100001" sheetId="83" r:id="rId89"/>
    <sheet name="17000721009" sheetId="14" r:id="rId90"/>
    <sheet name="36002001001" sheetId="15" r:id="rId91"/>
    <sheet name="36002001011" sheetId="16" r:id="rId92"/>
    <sheet name="34001082001" sheetId="44" r:id="rId93"/>
    <sheet name="17000721007" sheetId="13" r:id="rId94"/>
    <sheet name="25000128001" sheetId="77" r:id="rId95"/>
    <sheet name="6004010001" sheetId="41" r:id="rId96"/>
    <sheet name="6004009001" sheetId="40" r:id="rId97"/>
    <sheet name="11000001001" sheetId="76" r:id="rId98"/>
    <sheet name="26000596001" sheetId="68" r:id="rId99"/>
    <sheet name="17000721001" sheetId="12" r:id="rId10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1" l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14" i="1"/>
  <c r="L12" i="1"/>
  <c r="L9" i="1"/>
  <c r="L6" i="1"/>
  <c r="L4" i="1"/>
  <c r="L16" i="1"/>
  <c r="L15" i="1"/>
  <c r="L13" i="1"/>
  <c r="L11" i="1"/>
  <c r="L10" i="1"/>
  <c r="L8" i="1"/>
  <c r="L7" i="1"/>
  <c r="L5" i="1"/>
  <c r="L3" i="1"/>
  <c r="M22" i="1"/>
  <c r="L22" i="1"/>
  <c r="M17" i="79"/>
  <c r="L17" i="79"/>
  <c r="M16" i="79"/>
  <c r="L16" i="79"/>
  <c r="M15" i="79"/>
  <c r="L15" i="79"/>
  <c r="M14" i="79"/>
  <c r="L14" i="79"/>
  <c r="M13" i="79"/>
  <c r="L13" i="79"/>
  <c r="M12" i="79"/>
  <c r="M11" i="79"/>
  <c r="M10" i="79"/>
  <c r="M9" i="79"/>
  <c r="M8" i="79"/>
  <c r="M7" i="79"/>
  <c r="M6" i="79"/>
  <c r="M5" i="79"/>
  <c r="M4" i="79"/>
  <c r="M3" i="79"/>
  <c r="L6" i="79"/>
  <c r="L7" i="79"/>
  <c r="L5" i="79"/>
  <c r="L4" i="79"/>
  <c r="L3" i="79"/>
  <c r="L12" i="79"/>
  <c r="L11" i="79"/>
  <c r="L10" i="79"/>
  <c r="L9" i="79"/>
  <c r="L8" i="79"/>
  <c r="M18" i="36"/>
  <c r="L18" i="36"/>
  <c r="M17" i="36"/>
  <c r="L17" i="36"/>
  <c r="M16" i="36"/>
  <c r="L16" i="36"/>
  <c r="M15" i="36"/>
  <c r="L15" i="36"/>
  <c r="M14" i="36"/>
  <c r="L14" i="36"/>
  <c r="M13" i="36"/>
  <c r="L13" i="36"/>
  <c r="M12" i="36"/>
  <c r="L12" i="36"/>
  <c r="M11" i="36"/>
  <c r="L11" i="36"/>
  <c r="M10" i="36"/>
  <c r="L10" i="36"/>
  <c r="M9" i="36"/>
  <c r="L9" i="36"/>
  <c r="M8" i="36"/>
  <c r="L8" i="36"/>
  <c r="M7" i="36"/>
  <c r="L7" i="36"/>
  <c r="M18" i="35"/>
  <c r="L18" i="35"/>
  <c r="M17" i="35"/>
  <c r="L17" i="35"/>
  <c r="M16" i="35"/>
  <c r="L16" i="35"/>
  <c r="M15" i="35"/>
  <c r="L15" i="35"/>
  <c r="M14" i="35"/>
  <c r="L14" i="35"/>
  <c r="M13" i="35"/>
  <c r="L13" i="35"/>
  <c r="M12" i="35"/>
  <c r="L12" i="35"/>
  <c r="M11" i="35"/>
  <c r="L11" i="35"/>
  <c r="M10" i="35"/>
  <c r="L10" i="35"/>
  <c r="M9" i="35"/>
  <c r="L9" i="35"/>
  <c r="M8" i="35"/>
  <c r="L8" i="35"/>
  <c r="M7" i="35"/>
  <c r="L7" i="35"/>
  <c r="M22" i="41"/>
  <c r="E22" i="41"/>
  <c r="M21" i="41"/>
  <c r="E21" i="41"/>
  <c r="M20" i="41"/>
  <c r="E20" i="41"/>
  <c r="M19" i="41"/>
  <c r="L19" i="41"/>
  <c r="M18" i="41"/>
  <c r="L18" i="41"/>
  <c r="M17" i="41"/>
  <c r="L17" i="41"/>
  <c r="M16" i="41"/>
  <c r="L16" i="41"/>
  <c r="M15" i="41"/>
  <c r="L15" i="41"/>
  <c r="M14" i="41"/>
  <c r="L14" i="41"/>
  <c r="M13" i="41"/>
  <c r="L13" i="41"/>
  <c r="M12" i="41"/>
  <c r="L12" i="41"/>
  <c r="M11" i="41"/>
  <c r="L11" i="41"/>
  <c r="M10" i="41"/>
  <c r="L10" i="41"/>
  <c r="M9" i="41"/>
  <c r="L9" i="41"/>
  <c r="M8" i="41"/>
  <c r="L8" i="41"/>
  <c r="M7" i="41"/>
  <c r="L7" i="41"/>
  <c r="M22" i="40"/>
  <c r="E22" i="40"/>
  <c r="M21" i="40"/>
  <c r="E21" i="40"/>
  <c r="M20" i="40"/>
  <c r="E20" i="40"/>
  <c r="M19" i="40"/>
  <c r="L19" i="40"/>
  <c r="M18" i="40"/>
  <c r="L18" i="40"/>
  <c r="M17" i="40"/>
  <c r="L17" i="40"/>
  <c r="M16" i="40"/>
  <c r="L16" i="40"/>
  <c r="M15" i="40"/>
  <c r="L15" i="40"/>
  <c r="M14" i="40"/>
  <c r="L14" i="40"/>
  <c r="M13" i="40"/>
  <c r="L13" i="40"/>
  <c r="M12" i="40"/>
  <c r="L12" i="40"/>
  <c r="M11" i="40"/>
  <c r="L11" i="40"/>
  <c r="M10" i="40"/>
  <c r="L10" i="40"/>
  <c r="M9" i="40"/>
  <c r="L9" i="40"/>
  <c r="M8" i="40"/>
  <c r="L8" i="40"/>
  <c r="M7" i="40"/>
  <c r="L7" i="40"/>
  <c r="M22" i="39"/>
  <c r="E22" i="39"/>
  <c r="M21" i="39"/>
  <c r="E21" i="39"/>
  <c r="M20" i="39"/>
  <c r="E20" i="39"/>
  <c r="M19" i="39"/>
  <c r="L19" i="39"/>
  <c r="M18" i="39"/>
  <c r="L18" i="39"/>
  <c r="M17" i="39"/>
  <c r="L17" i="39"/>
  <c r="M16" i="39"/>
  <c r="L16" i="39"/>
  <c r="M15" i="39"/>
  <c r="L15" i="39"/>
  <c r="M14" i="39"/>
  <c r="L14" i="39"/>
  <c r="M13" i="39"/>
  <c r="L13" i="39"/>
  <c r="M12" i="39"/>
  <c r="L12" i="39"/>
  <c r="M11" i="39"/>
  <c r="L11" i="39"/>
  <c r="M10" i="39"/>
  <c r="L10" i="39"/>
  <c r="M9" i="39"/>
  <c r="L9" i="39"/>
  <c r="M8" i="39"/>
  <c r="L8" i="39"/>
  <c r="M7" i="39"/>
  <c r="L7" i="39"/>
  <c r="L18" i="37"/>
  <c r="L17" i="37"/>
  <c r="L16" i="37"/>
  <c r="M18" i="37"/>
  <c r="M17" i="37"/>
  <c r="M16" i="37"/>
  <c r="M15" i="37"/>
  <c r="M11" i="37"/>
  <c r="M14" i="37"/>
  <c r="M13" i="37"/>
  <c r="M12" i="37"/>
  <c r="L14" i="37"/>
  <c r="L13" i="37"/>
  <c r="L12" i="37"/>
  <c r="L15" i="37"/>
  <c r="L11" i="37"/>
  <c r="M10" i="37"/>
  <c r="M9" i="37"/>
  <c r="M8" i="37"/>
  <c r="M7" i="37"/>
  <c r="L8" i="37"/>
  <c r="L9" i="37"/>
  <c r="L10" i="37"/>
  <c r="L7" i="37"/>
  <c r="M23" i="87"/>
  <c r="M22" i="87"/>
  <c r="M21" i="87"/>
  <c r="M20" i="87"/>
  <c r="M19" i="87"/>
  <c r="M18" i="87"/>
  <c r="M17" i="87"/>
  <c r="M16" i="87"/>
  <c r="M15" i="87"/>
  <c r="M14" i="87"/>
  <c r="M13" i="87"/>
  <c r="M12" i="87"/>
  <c r="M11" i="87"/>
  <c r="M10" i="87"/>
  <c r="M9" i="87"/>
  <c r="M8" i="87"/>
  <c r="M7" i="87"/>
  <c r="M6" i="87"/>
  <c r="M5" i="87"/>
  <c r="M4" i="87"/>
  <c r="M3" i="87"/>
  <c r="L9" i="87"/>
  <c r="L8" i="87"/>
  <c r="L7" i="87"/>
  <c r="L6" i="87"/>
  <c r="L5" i="87"/>
  <c r="L4" i="87"/>
  <c r="L3" i="87"/>
  <c r="L23" i="87"/>
  <c r="L22" i="87"/>
  <c r="L21" i="87"/>
  <c r="L20" i="87"/>
  <c r="L19" i="87"/>
  <c r="L18" i="87"/>
  <c r="L17" i="87"/>
  <c r="L16" i="87"/>
  <c r="L15" i="87"/>
  <c r="L14" i="87"/>
  <c r="L13" i="87"/>
  <c r="L12" i="87"/>
  <c r="L11" i="87"/>
  <c r="L10" i="87"/>
  <c r="M26" i="87"/>
  <c r="M9" i="60"/>
  <c r="M8" i="60"/>
  <c r="M7" i="60"/>
  <c r="M6" i="60"/>
  <c r="M5" i="60"/>
  <c r="M4" i="60"/>
  <c r="M3" i="60"/>
  <c r="L4" i="60"/>
  <c r="L7" i="60"/>
  <c r="L6" i="60"/>
  <c r="L5" i="60"/>
  <c r="L9" i="60"/>
  <c r="L8" i="60"/>
  <c r="L3" i="60"/>
  <c r="L18" i="89"/>
  <c r="L20" i="89"/>
  <c r="L19" i="89"/>
  <c r="L17" i="89"/>
  <c r="L22" i="89"/>
  <c r="L23" i="89"/>
  <c r="L21" i="89"/>
  <c r="L24" i="89"/>
  <c r="L25" i="89"/>
  <c r="L26" i="89"/>
  <c r="L27" i="89"/>
  <c r="L28" i="89"/>
  <c r="L30" i="89"/>
  <c r="L29" i="89"/>
  <c r="L32" i="89"/>
  <c r="L31" i="89"/>
  <c r="L36" i="89"/>
  <c r="L35" i="89"/>
  <c r="L37" i="89"/>
  <c r="L38" i="89"/>
  <c r="L33" i="89"/>
  <c r="L34" i="89"/>
  <c r="M50" i="89"/>
  <c r="E50" i="89"/>
  <c r="M49" i="89"/>
  <c r="E49" i="89"/>
  <c r="M48" i="89"/>
  <c r="E48" i="89"/>
  <c r="M47" i="89"/>
  <c r="M46" i="89"/>
  <c r="M16" i="89"/>
  <c r="M15" i="89"/>
  <c r="M14" i="89"/>
  <c r="M13" i="89"/>
  <c r="M12" i="89"/>
  <c r="M11" i="89"/>
  <c r="M10" i="89"/>
  <c r="M9" i="89"/>
  <c r="M8" i="89"/>
  <c r="M7" i="89"/>
  <c r="M6" i="89"/>
  <c r="M5" i="89"/>
  <c r="M4" i="89"/>
  <c r="M3" i="89"/>
  <c r="L16" i="89"/>
  <c r="L15" i="89"/>
  <c r="L12" i="89"/>
  <c r="L11" i="89"/>
  <c r="L14" i="89"/>
  <c r="L13" i="89"/>
  <c r="L8" i="89"/>
  <c r="L7" i="89"/>
  <c r="L10" i="89"/>
  <c r="L9" i="89"/>
  <c r="L6" i="89"/>
  <c r="L5" i="89"/>
  <c r="L4" i="89"/>
  <c r="L3" i="89"/>
  <c r="M50" i="57"/>
  <c r="M49" i="57"/>
  <c r="M48" i="57"/>
  <c r="M47" i="57"/>
  <c r="M46" i="57"/>
  <c r="M45" i="57"/>
  <c r="M44" i="57"/>
  <c r="M43" i="57"/>
  <c r="M42" i="57"/>
  <c r="M41" i="57"/>
  <c r="M40" i="57"/>
  <c r="M39" i="57"/>
  <c r="M38" i="57"/>
  <c r="M37" i="57"/>
  <c r="M36" i="57"/>
  <c r="M35" i="57"/>
  <c r="M34" i="57"/>
  <c r="M33" i="57"/>
  <c r="M32" i="57"/>
  <c r="M31" i="57"/>
  <c r="M30" i="57"/>
  <c r="M29" i="57"/>
  <c r="M28" i="57"/>
  <c r="M27" i="57"/>
  <c r="M26" i="57"/>
  <c r="M25" i="57"/>
  <c r="M24" i="57"/>
  <c r="M23" i="57"/>
  <c r="M22" i="57"/>
  <c r="M21" i="57"/>
  <c r="M20" i="57"/>
  <c r="M19" i="57"/>
  <c r="M18" i="57"/>
  <c r="M17" i="57"/>
  <c r="M16" i="57"/>
  <c r="M15" i="57"/>
  <c r="M14" i="57"/>
  <c r="M13" i="57"/>
  <c r="M12" i="57"/>
  <c r="M11" i="57"/>
  <c r="M10" i="57"/>
  <c r="M9" i="57"/>
  <c r="M8" i="57"/>
  <c r="M7" i="57"/>
  <c r="M6" i="57"/>
  <c r="M5" i="57"/>
  <c r="M4" i="57"/>
  <c r="M3" i="57"/>
  <c r="M50" i="58"/>
  <c r="M49" i="58"/>
  <c r="M48" i="58"/>
  <c r="M47" i="58"/>
  <c r="M46" i="58"/>
  <c r="M45" i="58"/>
  <c r="M44" i="58"/>
  <c r="M43" i="58"/>
  <c r="M42" i="58"/>
  <c r="M41" i="58"/>
  <c r="M40" i="58"/>
  <c r="M39" i="58"/>
  <c r="M38" i="58"/>
  <c r="M37" i="58"/>
  <c r="M36" i="58"/>
  <c r="M35" i="58"/>
  <c r="M34" i="58"/>
  <c r="M33" i="58"/>
  <c r="M32" i="58"/>
  <c r="M31" i="58"/>
  <c r="M30" i="58"/>
  <c r="M29" i="58"/>
  <c r="M28" i="58"/>
  <c r="M27" i="58"/>
  <c r="M26" i="58"/>
  <c r="M25" i="58"/>
  <c r="M24" i="58"/>
  <c r="M23" i="58"/>
  <c r="M22" i="58"/>
  <c r="M21" i="58"/>
  <c r="M20" i="58"/>
  <c r="M19" i="58"/>
  <c r="M18" i="58"/>
  <c r="M17" i="58"/>
  <c r="M16" i="58"/>
  <c r="M15" i="58"/>
  <c r="M14" i="58"/>
  <c r="M13" i="58"/>
  <c r="M12" i="58"/>
  <c r="M11" i="58"/>
  <c r="M10" i="58"/>
  <c r="M9" i="58"/>
  <c r="M8" i="58"/>
  <c r="M7" i="58"/>
  <c r="M6" i="58"/>
  <c r="M5" i="58"/>
  <c r="M4" i="58"/>
  <c r="M3" i="58"/>
  <c r="L50" i="58"/>
  <c r="L49" i="58"/>
  <c r="L48" i="58"/>
  <c r="L47" i="58"/>
  <c r="L46" i="58"/>
  <c r="L45" i="58"/>
  <c r="L44" i="58"/>
  <c r="L43" i="58"/>
  <c r="L42" i="58"/>
  <c r="L41" i="58"/>
  <c r="L40" i="58"/>
  <c r="L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L20" i="58"/>
  <c r="L19" i="58"/>
  <c r="L18" i="58"/>
  <c r="L17" i="58"/>
  <c r="L16" i="58"/>
  <c r="L15" i="58"/>
  <c r="L14" i="58"/>
  <c r="L13" i="58"/>
  <c r="L12" i="58"/>
  <c r="L11" i="58"/>
  <c r="L10" i="58"/>
  <c r="L9" i="58"/>
  <c r="L8" i="58"/>
  <c r="L7" i="58"/>
  <c r="L6" i="58"/>
  <c r="L5" i="58"/>
  <c r="L4" i="58"/>
  <c r="L3" i="58"/>
  <c r="M2" i="58"/>
  <c r="L2" i="58"/>
  <c r="L50" i="57"/>
  <c r="L37" i="57"/>
  <c r="L38" i="57"/>
  <c r="L36" i="57"/>
  <c r="L49" i="57"/>
  <c r="L35" i="57"/>
  <c r="L34" i="57"/>
  <c r="L33" i="57"/>
  <c r="L31" i="57"/>
  <c r="L30" i="57"/>
  <c r="L32" i="57"/>
  <c r="L48" i="57"/>
  <c r="L47" i="57"/>
  <c r="L28" i="57"/>
  <c r="L29" i="57"/>
  <c r="L27" i="57"/>
  <c r="L25" i="57"/>
  <c r="L24" i="57"/>
  <c r="L26" i="57"/>
  <c r="L46" i="57"/>
  <c r="L45" i="57"/>
  <c r="L22" i="57"/>
  <c r="L19" i="57"/>
  <c r="L21" i="57"/>
  <c r="L23" i="57"/>
  <c r="L18" i="57"/>
  <c r="L20" i="57"/>
  <c r="L44" i="57"/>
  <c r="L41" i="57"/>
  <c r="L40" i="57"/>
  <c r="L42" i="57"/>
  <c r="L43" i="57"/>
  <c r="L16" i="57"/>
  <c r="L17" i="57"/>
  <c r="L15" i="57"/>
  <c r="L13" i="57"/>
  <c r="L14" i="57"/>
  <c r="L12" i="57"/>
  <c r="L10" i="57"/>
  <c r="L11" i="57"/>
  <c r="L9" i="57"/>
  <c r="L7" i="57"/>
  <c r="L8" i="57"/>
  <c r="L6" i="57"/>
  <c r="L4" i="57"/>
  <c r="L5" i="57"/>
  <c r="L3" i="57"/>
  <c r="L39" i="57"/>
  <c r="L2" i="83"/>
  <c r="M2" i="83"/>
  <c r="L13" i="83"/>
  <c r="M13" i="83"/>
  <c r="M14" i="83"/>
  <c r="M6" i="73"/>
  <c r="M5" i="73"/>
  <c r="M4" i="73"/>
  <c r="M3" i="73"/>
  <c r="L6" i="73"/>
  <c r="L5" i="73"/>
  <c r="L3" i="73"/>
  <c r="L4" i="73"/>
  <c r="M10" i="73"/>
  <c r="L10" i="73"/>
  <c r="M2" i="79"/>
  <c r="L2" i="79"/>
  <c r="M18" i="79"/>
  <c r="L18" i="79"/>
  <c r="M38" i="48"/>
  <c r="L38" i="48"/>
  <c r="M37" i="48"/>
  <c r="L37" i="48"/>
  <c r="M36" i="48"/>
  <c r="L36" i="48"/>
  <c r="M35" i="48"/>
  <c r="L35" i="48"/>
  <c r="M34" i="48"/>
  <c r="L34" i="48"/>
  <c r="M33" i="48"/>
  <c r="L33" i="48"/>
  <c r="M32" i="48"/>
  <c r="L32" i="48"/>
  <c r="M31" i="48"/>
  <c r="L31" i="48"/>
  <c r="M30" i="48"/>
  <c r="L30" i="48"/>
  <c r="M29" i="48"/>
  <c r="L29" i="48"/>
  <c r="M28" i="48"/>
  <c r="L28" i="48"/>
  <c r="M27" i="48"/>
  <c r="L27" i="48"/>
  <c r="M26" i="48"/>
  <c r="L26" i="48"/>
  <c r="M25" i="48"/>
  <c r="L25" i="48"/>
  <c r="M24" i="48"/>
  <c r="L24" i="48"/>
  <c r="M23" i="48"/>
  <c r="L23" i="48"/>
  <c r="M22" i="48"/>
  <c r="L22" i="48"/>
  <c r="M21" i="48"/>
  <c r="L21" i="48"/>
  <c r="M20" i="48"/>
  <c r="L20" i="48"/>
  <c r="M19" i="48"/>
  <c r="L19" i="48"/>
  <c r="M18" i="48"/>
  <c r="L18" i="48"/>
  <c r="M17" i="48"/>
  <c r="L17" i="48"/>
  <c r="M16" i="48"/>
  <c r="L16" i="48"/>
  <c r="M15" i="48"/>
  <c r="L15" i="48"/>
  <c r="M14" i="48"/>
  <c r="L14" i="48"/>
  <c r="M13" i="48"/>
  <c r="L13" i="48"/>
  <c r="M12" i="48"/>
  <c r="L12" i="48"/>
  <c r="M11" i="48"/>
  <c r="L11" i="48"/>
  <c r="M10" i="48"/>
  <c r="L10" i="48"/>
  <c r="M9" i="48"/>
  <c r="L9" i="48"/>
  <c r="M8" i="48"/>
  <c r="L8" i="48"/>
  <c r="M7" i="48"/>
  <c r="L7" i="48"/>
  <c r="M6" i="48"/>
  <c r="L6" i="48"/>
  <c r="M5" i="48"/>
  <c r="L5" i="48"/>
  <c r="M4" i="48"/>
  <c r="L4" i="48"/>
  <c r="M3" i="48"/>
  <c r="L3" i="48"/>
  <c r="M14" i="49"/>
  <c r="M13" i="49"/>
  <c r="M12" i="49"/>
  <c r="M11" i="49"/>
  <c r="M10" i="49"/>
  <c r="M9" i="49"/>
  <c r="M8" i="49"/>
  <c r="M7" i="49"/>
  <c r="M6" i="49"/>
  <c r="M5" i="49"/>
  <c r="M4" i="49"/>
  <c r="M3" i="49"/>
  <c r="L14" i="49"/>
  <c r="L13" i="49"/>
  <c r="L12" i="49"/>
  <c r="L11" i="49"/>
  <c r="L10" i="49"/>
  <c r="L9" i="49"/>
  <c r="L8" i="49"/>
  <c r="L7" i="49"/>
  <c r="L4" i="49"/>
  <c r="L3" i="49"/>
  <c r="L5" i="49"/>
  <c r="L6" i="49"/>
  <c r="M38" i="49"/>
  <c r="L38" i="49"/>
  <c r="M37" i="49"/>
  <c r="L37" i="49"/>
  <c r="M36" i="49"/>
  <c r="L36" i="49"/>
  <c r="M35" i="49"/>
  <c r="L35" i="49"/>
  <c r="M34" i="49"/>
  <c r="L34" i="49"/>
  <c r="M33" i="49"/>
  <c r="L33" i="49"/>
  <c r="M32" i="49"/>
  <c r="L32" i="49"/>
  <c r="M31" i="49"/>
  <c r="L31" i="49"/>
  <c r="M30" i="49"/>
  <c r="L30" i="49"/>
  <c r="M29" i="49"/>
  <c r="L29" i="49"/>
  <c r="M28" i="49"/>
  <c r="L28" i="49"/>
  <c r="M27" i="49"/>
  <c r="L27" i="49"/>
  <c r="M26" i="49"/>
  <c r="L26" i="49"/>
  <c r="M25" i="49"/>
  <c r="L25" i="49"/>
  <c r="M24" i="49"/>
  <c r="L24" i="49"/>
  <c r="M23" i="49"/>
  <c r="L23" i="49"/>
  <c r="M22" i="49"/>
  <c r="L22" i="49"/>
  <c r="M21" i="49"/>
  <c r="L21" i="49"/>
  <c r="M20" i="49"/>
  <c r="L20" i="49"/>
  <c r="M19" i="49"/>
  <c r="L19" i="49"/>
  <c r="M18" i="49"/>
  <c r="L18" i="49"/>
  <c r="M17" i="49"/>
  <c r="L17" i="49"/>
  <c r="M16" i="49"/>
  <c r="L16" i="49"/>
  <c r="M15" i="49"/>
  <c r="L15" i="49"/>
  <c r="E12" i="34"/>
  <c r="E12" i="25"/>
  <c r="E13" i="25"/>
  <c r="E14" i="15"/>
  <c r="E13" i="15"/>
  <c r="E12" i="15"/>
  <c r="M12" i="15"/>
  <c r="M6" i="12"/>
  <c r="L6" i="12"/>
  <c r="M5" i="12"/>
  <c r="L5" i="12"/>
  <c r="M4" i="12"/>
  <c r="L4" i="12"/>
  <c r="M3" i="12"/>
  <c r="L3" i="12"/>
  <c r="M2" i="12"/>
  <c r="L2" i="12"/>
  <c r="M6" i="13"/>
  <c r="L6" i="13"/>
  <c r="M5" i="13"/>
  <c r="L5" i="13"/>
  <c r="M4" i="13"/>
  <c r="L4" i="13"/>
  <c r="M3" i="13"/>
  <c r="L3" i="13"/>
  <c r="M2" i="13"/>
  <c r="L2" i="13"/>
  <c r="E11" i="98"/>
  <c r="E10" i="98"/>
  <c r="M12" i="16"/>
  <c r="E12" i="16"/>
  <c r="M11" i="16"/>
  <c r="M6" i="16"/>
  <c r="L6" i="16"/>
  <c r="E12" i="17"/>
  <c r="M30" i="31"/>
  <c r="E30" i="31"/>
  <c r="M29" i="31"/>
  <c r="E29" i="31"/>
  <c r="M28" i="31"/>
  <c r="E28" i="31"/>
  <c r="M27" i="31"/>
  <c r="M26" i="31"/>
  <c r="M25" i="31"/>
  <c r="M2" i="31"/>
  <c r="L2" i="31"/>
  <c r="E24" i="64"/>
  <c r="M24" i="64"/>
  <c r="M30" i="97"/>
  <c r="E30" i="97"/>
  <c r="M29" i="97"/>
  <c r="E29" i="97"/>
  <c r="M28" i="97"/>
  <c r="E28" i="97"/>
  <c r="M27" i="97"/>
  <c r="M26" i="97"/>
  <c r="M25" i="97"/>
  <c r="M2" i="97"/>
  <c r="L2" i="97"/>
  <c r="E30" i="33"/>
  <c r="E29" i="33"/>
  <c r="E28" i="33"/>
  <c r="M28" i="33"/>
  <c r="E8" i="70"/>
  <c r="E7" i="70"/>
  <c r="M7" i="70"/>
  <c r="E22" i="37"/>
  <c r="E21" i="37"/>
  <c r="E20" i="37"/>
  <c r="M20" i="37"/>
  <c r="E12" i="24"/>
  <c r="M12" i="24"/>
  <c r="E8" i="80"/>
  <c r="E7" i="80"/>
  <c r="E6" i="80"/>
  <c r="M6" i="80"/>
  <c r="D6" i="80"/>
  <c r="D7" i="80" s="1"/>
  <c r="D8" i="80" s="1"/>
  <c r="M30" i="29"/>
  <c r="E30" i="29"/>
  <c r="M29" i="29"/>
  <c r="E29" i="29"/>
  <c r="M28" i="29"/>
  <c r="E28" i="29"/>
  <c r="M27" i="29"/>
  <c r="M26" i="29"/>
  <c r="M25" i="29"/>
  <c r="M2" i="29"/>
  <c r="L2" i="29"/>
  <c r="E30" i="30"/>
  <c r="E29" i="30"/>
  <c r="E28" i="30"/>
  <c r="M12" i="22"/>
  <c r="E12" i="22"/>
  <c r="M11" i="22"/>
  <c r="M6" i="22"/>
  <c r="L6" i="22"/>
  <c r="M12" i="18"/>
  <c r="E12" i="18"/>
  <c r="M11" i="18"/>
  <c r="M6" i="18"/>
  <c r="L6" i="18"/>
  <c r="E12" i="38"/>
  <c r="M12" i="38"/>
  <c r="M14" i="34"/>
  <c r="E14" i="34"/>
  <c r="M13" i="34"/>
  <c r="E13" i="34"/>
  <c r="M12" i="34"/>
  <c r="M11" i="34"/>
  <c r="M6" i="34"/>
  <c r="L6" i="34"/>
  <c r="E14" i="25"/>
  <c r="D22" i="79"/>
  <c r="E22" i="79" s="1"/>
  <c r="D21" i="79"/>
  <c r="E21" i="79" s="1"/>
  <c r="E8" i="72"/>
  <c r="E7" i="72"/>
  <c r="M7" i="72"/>
  <c r="M7" i="42"/>
  <c r="E30" i="32"/>
  <c r="E29" i="32"/>
  <c r="E28" i="32"/>
  <c r="M30" i="32"/>
  <c r="E6" i="26"/>
  <c r="E12" i="62"/>
  <c r="M12" i="62"/>
  <c r="M12" i="20"/>
  <c r="E12" i="20"/>
  <c r="M11" i="20"/>
  <c r="M6" i="20"/>
  <c r="L6" i="20"/>
  <c r="E12" i="28"/>
  <c r="E12" i="19"/>
  <c r="M12" i="19"/>
  <c r="E30" i="7"/>
  <c r="E29" i="7"/>
  <c r="E28" i="7"/>
  <c r="M28" i="7"/>
  <c r="M3" i="69"/>
  <c r="M2" i="69"/>
  <c r="M12" i="73"/>
  <c r="M13" i="73"/>
  <c r="M22" i="64"/>
  <c r="M21" i="64"/>
  <c r="M20" i="64"/>
  <c r="M19" i="64"/>
  <c r="M18" i="64"/>
  <c r="M17" i="64"/>
  <c r="M16" i="64"/>
  <c r="M15" i="64"/>
  <c r="M14" i="64"/>
  <c r="M13" i="64"/>
  <c r="M12" i="64"/>
  <c r="M11" i="64"/>
  <c r="M10" i="64"/>
  <c r="M9" i="64"/>
  <c r="M8" i="64"/>
  <c r="M7" i="64"/>
  <c r="M6" i="64"/>
  <c r="M5" i="64"/>
  <c r="M4" i="64"/>
  <c r="M3" i="64"/>
  <c r="M9" i="99"/>
  <c r="M7" i="99"/>
  <c r="M11" i="98"/>
  <c r="M10" i="98"/>
  <c r="M9" i="98"/>
  <c r="M4" i="46"/>
  <c r="L4" i="46"/>
  <c r="M6" i="47"/>
  <c r="M4" i="47"/>
  <c r="M6" i="100"/>
  <c r="M2" i="44"/>
  <c r="M10" i="77"/>
  <c r="M9" i="77"/>
  <c r="M8" i="77"/>
  <c r="M6" i="77"/>
  <c r="M5" i="77"/>
  <c r="M4" i="77"/>
  <c r="M3" i="77"/>
  <c r="M21" i="76"/>
  <c r="M22" i="76"/>
  <c r="M19" i="76"/>
  <c r="M18" i="76"/>
  <c r="M17" i="76"/>
  <c r="M16" i="76"/>
  <c r="M15" i="76"/>
  <c r="M14" i="76"/>
  <c r="M13" i="76"/>
  <c r="M12" i="76"/>
  <c r="M11" i="76"/>
  <c r="M10" i="76"/>
  <c r="M9" i="76"/>
  <c r="M8" i="76"/>
  <c r="M7" i="76"/>
  <c r="M6" i="76"/>
  <c r="M5" i="76"/>
  <c r="M30" i="33"/>
  <c r="M29" i="33"/>
  <c r="M27" i="33"/>
  <c r="M26" i="33"/>
  <c r="M25" i="33"/>
  <c r="M38" i="94"/>
  <c r="M37" i="94"/>
  <c r="M7" i="94"/>
  <c r="M6" i="94"/>
  <c r="M5" i="94"/>
  <c r="M4" i="94"/>
  <c r="M3" i="94"/>
  <c r="M8" i="70"/>
  <c r="M6" i="70"/>
  <c r="M4" i="70"/>
  <c r="M2" i="70"/>
  <c r="M25" i="56"/>
  <c r="M24" i="56"/>
  <c r="M21" i="56"/>
  <c r="M20" i="56"/>
  <c r="M19" i="56"/>
  <c r="M18" i="56"/>
  <c r="M17" i="56"/>
  <c r="M16" i="56"/>
  <c r="M15" i="56"/>
  <c r="M14" i="56"/>
  <c r="M13" i="56"/>
  <c r="M12" i="56"/>
  <c r="M11" i="56"/>
  <c r="M10" i="56"/>
  <c r="M9" i="56"/>
  <c r="M8" i="56"/>
  <c r="M7" i="56"/>
  <c r="M6" i="56"/>
  <c r="M5" i="56"/>
  <c r="M4" i="56"/>
  <c r="M3" i="56"/>
  <c r="M3" i="71"/>
  <c r="M2" i="71"/>
  <c r="M14" i="66"/>
  <c r="L14" i="66"/>
  <c r="M13" i="66"/>
  <c r="L13" i="66"/>
  <c r="M12" i="66"/>
  <c r="L12" i="66"/>
  <c r="M11" i="66"/>
  <c r="L11" i="66"/>
  <c r="M10" i="66"/>
  <c r="L10" i="66"/>
  <c r="M9" i="66"/>
  <c r="L9" i="66"/>
  <c r="M8" i="66"/>
  <c r="L8" i="66"/>
  <c r="M7" i="66"/>
  <c r="L7" i="66"/>
  <c r="M6" i="66"/>
  <c r="L6" i="66"/>
  <c r="M5" i="66"/>
  <c r="L5" i="66"/>
  <c r="M4" i="66"/>
  <c r="L4" i="66"/>
  <c r="M3" i="66"/>
  <c r="L3" i="66"/>
  <c r="M2" i="66"/>
  <c r="L2" i="66"/>
  <c r="M14" i="65"/>
  <c r="M13" i="65"/>
  <c r="M12" i="65"/>
  <c r="M11" i="65"/>
  <c r="M10" i="65"/>
  <c r="M9" i="65"/>
  <c r="M8" i="65"/>
  <c r="M7" i="65"/>
  <c r="M6" i="65"/>
  <c r="M5" i="65"/>
  <c r="M4" i="65"/>
  <c r="M3" i="65"/>
  <c r="M2" i="65"/>
  <c r="M12" i="27"/>
  <c r="M2" i="27"/>
  <c r="M2" i="92"/>
  <c r="M2" i="91"/>
  <c r="M14" i="25"/>
  <c r="M13" i="25"/>
  <c r="M12" i="25"/>
  <c r="M11" i="25"/>
  <c r="M11" i="15"/>
  <c r="M12" i="17"/>
  <c r="M11" i="17"/>
  <c r="M2" i="33"/>
  <c r="M11" i="38"/>
  <c r="M11" i="19"/>
  <c r="M12" i="28"/>
  <c r="M11" i="28"/>
  <c r="M25" i="55"/>
  <c r="M24" i="55"/>
  <c r="M21" i="55"/>
  <c r="M20" i="55"/>
  <c r="M19" i="55"/>
  <c r="M18" i="55"/>
  <c r="M17" i="55"/>
  <c r="M16" i="55"/>
  <c r="M15" i="55"/>
  <c r="M14" i="55"/>
  <c r="M13" i="55"/>
  <c r="M12" i="55"/>
  <c r="M11" i="55"/>
  <c r="M10" i="55"/>
  <c r="M9" i="55"/>
  <c r="M8" i="55"/>
  <c r="M7" i="55"/>
  <c r="M6" i="55"/>
  <c r="M5" i="55"/>
  <c r="M4" i="55"/>
  <c r="M3" i="55"/>
  <c r="M4" i="45"/>
  <c r="M21" i="54"/>
  <c r="M20" i="54"/>
  <c r="M19" i="54"/>
  <c r="M18" i="54"/>
  <c r="M17" i="54"/>
  <c r="M16" i="54"/>
  <c r="M15" i="54"/>
  <c r="M14" i="54"/>
  <c r="M13" i="54"/>
  <c r="M12" i="54"/>
  <c r="M11" i="54"/>
  <c r="M10" i="54"/>
  <c r="M9" i="54"/>
  <c r="M8" i="54"/>
  <c r="M7" i="54"/>
  <c r="M6" i="54"/>
  <c r="M5" i="54"/>
  <c r="M4" i="54"/>
  <c r="M3" i="54"/>
  <c r="M2" i="89"/>
  <c r="M22" i="37"/>
  <c r="M21" i="37"/>
  <c r="M19" i="37"/>
  <c r="M16" i="88"/>
  <c r="M15" i="88"/>
  <c r="M14" i="88"/>
  <c r="M13" i="88"/>
  <c r="M12" i="88"/>
  <c r="M11" i="88"/>
  <c r="M10" i="88"/>
  <c r="M5" i="80"/>
  <c r="M7" i="80"/>
  <c r="M8" i="80"/>
  <c r="M7" i="43"/>
  <c r="M2" i="43"/>
  <c r="M6" i="67"/>
  <c r="L6" i="67"/>
  <c r="M5" i="67"/>
  <c r="L5" i="67"/>
  <c r="M4" i="67"/>
  <c r="M3" i="67"/>
  <c r="M30" i="30"/>
  <c r="M29" i="30"/>
  <c r="M28" i="30"/>
  <c r="M27" i="30"/>
  <c r="M26" i="30"/>
  <c r="M25" i="30"/>
  <c r="M2" i="30"/>
  <c r="L2" i="30"/>
  <c r="M8" i="72"/>
  <c r="M6" i="72"/>
  <c r="M4" i="72"/>
  <c r="M2" i="72"/>
  <c r="M9" i="85"/>
  <c r="M6" i="85"/>
  <c r="M5" i="85"/>
  <c r="M4" i="85"/>
  <c r="M3" i="85"/>
  <c r="M2" i="42"/>
  <c r="M26" i="32"/>
  <c r="M27" i="32"/>
  <c r="M28" i="32"/>
  <c r="M29" i="32"/>
  <c r="M25" i="32"/>
  <c r="M2" i="32"/>
  <c r="M29" i="84"/>
  <c r="M27" i="84"/>
  <c r="M26" i="84"/>
  <c r="M25" i="84"/>
  <c r="M24" i="84"/>
  <c r="M23" i="84"/>
  <c r="M22" i="84"/>
  <c r="M21" i="84"/>
  <c r="M20" i="84"/>
  <c r="M19" i="84"/>
  <c r="M18" i="84"/>
  <c r="M17" i="84"/>
  <c r="M16" i="84"/>
  <c r="M15" i="84"/>
  <c r="M14" i="84"/>
  <c r="M13" i="84"/>
  <c r="M12" i="84"/>
  <c r="M11" i="84"/>
  <c r="M10" i="84"/>
  <c r="M9" i="84"/>
  <c r="M8" i="84"/>
  <c r="M7" i="84"/>
  <c r="M6" i="84"/>
  <c r="M5" i="84"/>
  <c r="M4" i="84"/>
  <c r="M3" i="84"/>
  <c r="M24" i="53"/>
  <c r="M21" i="53"/>
  <c r="M20" i="53"/>
  <c r="M19" i="53"/>
  <c r="M18" i="53"/>
  <c r="M17" i="53"/>
  <c r="M16" i="53"/>
  <c r="M15" i="53"/>
  <c r="M14" i="53"/>
  <c r="M13" i="53"/>
  <c r="M12" i="53"/>
  <c r="M11" i="53"/>
  <c r="M10" i="53"/>
  <c r="M9" i="53"/>
  <c r="M8" i="53"/>
  <c r="M7" i="53"/>
  <c r="M6" i="53"/>
  <c r="M5" i="53"/>
  <c r="M4" i="53"/>
  <c r="M3" i="53"/>
  <c r="M7" i="78"/>
  <c r="M6" i="78"/>
  <c r="M4" i="78"/>
  <c r="M9" i="78"/>
  <c r="M6" i="26"/>
  <c r="M2" i="57"/>
  <c r="M8" i="75"/>
  <c r="M21" i="63"/>
  <c r="M20" i="63"/>
  <c r="M19" i="63"/>
  <c r="M18" i="63"/>
  <c r="M17" i="63"/>
  <c r="M16" i="63"/>
  <c r="M15" i="63"/>
  <c r="M14" i="63"/>
  <c r="M13" i="63"/>
  <c r="M12" i="63"/>
  <c r="M11" i="63"/>
  <c r="M10" i="63"/>
  <c r="M9" i="63"/>
  <c r="M8" i="63"/>
  <c r="M7" i="63"/>
  <c r="M6" i="63"/>
  <c r="M5" i="63"/>
  <c r="M4" i="63"/>
  <c r="M3" i="63"/>
  <c r="M6" i="68"/>
  <c r="M5" i="68"/>
  <c r="M4" i="68"/>
  <c r="M3" i="68"/>
  <c r="M6" i="17"/>
  <c r="L6" i="17"/>
  <c r="M6" i="38"/>
  <c r="L6" i="38"/>
  <c r="M6" i="28"/>
  <c r="L6" i="28"/>
  <c r="M13" i="15"/>
  <c r="M14" i="15"/>
  <c r="M6" i="15"/>
  <c r="M6" i="25"/>
  <c r="L6" i="25"/>
  <c r="M2" i="59"/>
  <c r="M8" i="62"/>
  <c r="M6" i="62"/>
  <c r="M5" i="62"/>
  <c r="M4" i="62"/>
  <c r="M3" i="62"/>
  <c r="M11" i="62"/>
  <c r="M6" i="14"/>
  <c r="L6" i="14"/>
  <c r="M5" i="14"/>
  <c r="L5" i="14"/>
  <c r="M4" i="14"/>
  <c r="L4" i="14"/>
  <c r="M3" i="14"/>
  <c r="L3" i="14"/>
  <c r="M2" i="14"/>
  <c r="L2" i="14"/>
  <c r="M11" i="24"/>
  <c r="M6" i="24"/>
  <c r="L6" i="24"/>
  <c r="M16" i="61"/>
  <c r="M15" i="61"/>
  <c r="M14" i="61"/>
  <c r="M13" i="61"/>
  <c r="M12" i="61"/>
  <c r="M11" i="61"/>
  <c r="M10" i="61"/>
  <c r="M6" i="23"/>
  <c r="M6" i="19"/>
  <c r="M7" i="11"/>
  <c r="M2" i="11"/>
  <c r="M2" i="9"/>
  <c r="M26" i="7"/>
  <c r="M27" i="7"/>
  <c r="M29" i="7"/>
  <c r="M30" i="7"/>
  <c r="M25" i="7"/>
  <c r="M2" i="7"/>
  <c r="M7" i="6"/>
  <c r="M2" i="5"/>
  <c r="M9" i="4"/>
  <c r="M8" i="4"/>
  <c r="M7" i="4"/>
  <c r="M6" i="4"/>
  <c r="M5" i="4"/>
  <c r="M4" i="4"/>
  <c r="M2" i="4"/>
  <c r="M4" i="2"/>
  <c r="M3" i="2"/>
  <c r="M24" i="1"/>
  <c r="L2" i="27"/>
  <c r="L6" i="68"/>
  <c r="L5" i="68"/>
  <c r="L4" i="68"/>
  <c r="L3" i="68"/>
  <c r="L19" i="76"/>
  <c r="L18" i="76"/>
  <c r="L17" i="76"/>
  <c r="L16" i="76"/>
  <c r="L15" i="76"/>
  <c r="L14" i="76"/>
  <c r="L13" i="76"/>
  <c r="L12" i="76"/>
  <c r="L11" i="76"/>
  <c r="L10" i="76"/>
  <c r="L9" i="76"/>
  <c r="L8" i="76"/>
  <c r="L7" i="76"/>
  <c r="L6" i="76"/>
  <c r="L5" i="76"/>
  <c r="L6" i="77"/>
  <c r="L5" i="77"/>
  <c r="L4" i="77"/>
  <c r="L3" i="77"/>
  <c r="L2" i="44"/>
  <c r="L6" i="15"/>
  <c r="L6" i="100"/>
  <c r="L6" i="47"/>
  <c r="L4" i="47"/>
  <c r="L7" i="99"/>
  <c r="L24" i="64"/>
  <c r="L23" i="64"/>
  <c r="M23" i="64" s="1"/>
  <c r="L22" i="64"/>
  <c r="L21" i="64"/>
  <c r="L20" i="64"/>
  <c r="L19" i="64"/>
  <c r="L18" i="64"/>
  <c r="L17" i="64"/>
  <c r="L16" i="64"/>
  <c r="L15" i="64"/>
  <c r="L14" i="64"/>
  <c r="L13" i="64"/>
  <c r="L12" i="64"/>
  <c r="L11" i="64"/>
  <c r="L10" i="64"/>
  <c r="L9" i="64"/>
  <c r="L8" i="64"/>
  <c r="L7" i="64"/>
  <c r="L6" i="64"/>
  <c r="L5" i="64"/>
  <c r="L4" i="64"/>
  <c r="L3" i="64"/>
  <c r="L3" i="69"/>
  <c r="L2" i="69"/>
  <c r="L2" i="33"/>
  <c r="L7" i="94"/>
  <c r="L6" i="94"/>
  <c r="L5" i="94"/>
  <c r="L4" i="94"/>
  <c r="L3" i="94"/>
  <c r="L4" i="70"/>
  <c r="L2" i="70"/>
  <c r="L21" i="56"/>
  <c r="L20" i="56"/>
  <c r="L19" i="56"/>
  <c r="L18" i="56"/>
  <c r="L17" i="56"/>
  <c r="L16" i="56"/>
  <c r="L15" i="56"/>
  <c r="L14" i="56"/>
  <c r="L13" i="56"/>
  <c r="L12" i="56"/>
  <c r="L11" i="56"/>
  <c r="L10" i="56"/>
  <c r="L9" i="56"/>
  <c r="L8" i="56"/>
  <c r="L7" i="56"/>
  <c r="L6" i="56"/>
  <c r="L5" i="56"/>
  <c r="L4" i="56"/>
  <c r="L3" i="56"/>
  <c r="L3" i="71"/>
  <c r="L2" i="71"/>
  <c r="L14" i="65"/>
  <c r="L13" i="65"/>
  <c r="L12" i="65"/>
  <c r="L11" i="65"/>
  <c r="L10" i="65"/>
  <c r="L9" i="65"/>
  <c r="L8" i="65"/>
  <c r="L7" i="65"/>
  <c r="L6" i="65"/>
  <c r="L5" i="65"/>
  <c r="L4" i="65"/>
  <c r="L3" i="65"/>
  <c r="L2" i="65"/>
  <c r="L2" i="92"/>
  <c r="L2" i="91"/>
  <c r="L21" i="55"/>
  <c r="L20" i="55"/>
  <c r="L19" i="55"/>
  <c r="L18" i="55"/>
  <c r="L17" i="55"/>
  <c r="L16" i="55"/>
  <c r="L15" i="55"/>
  <c r="L14" i="55"/>
  <c r="L13" i="55"/>
  <c r="L12" i="55"/>
  <c r="L11" i="55"/>
  <c r="L10" i="55"/>
  <c r="L9" i="55"/>
  <c r="L8" i="55"/>
  <c r="L7" i="55"/>
  <c r="L6" i="55"/>
  <c r="L5" i="55"/>
  <c r="L4" i="55"/>
  <c r="L3" i="55"/>
  <c r="L4" i="45"/>
  <c r="L21" i="54"/>
  <c r="L20" i="54"/>
  <c r="L19" i="54"/>
  <c r="L18" i="54"/>
  <c r="L17" i="54"/>
  <c r="L16" i="54"/>
  <c r="L15" i="54"/>
  <c r="L14" i="54"/>
  <c r="L13" i="54"/>
  <c r="L12" i="54"/>
  <c r="L11" i="54"/>
  <c r="L10" i="54"/>
  <c r="L9" i="54"/>
  <c r="L8" i="54"/>
  <c r="L7" i="54"/>
  <c r="L6" i="54"/>
  <c r="L5" i="54"/>
  <c r="L4" i="54"/>
  <c r="L3" i="54"/>
  <c r="L2" i="89"/>
  <c r="L16" i="88"/>
  <c r="L15" i="88"/>
  <c r="L14" i="88"/>
  <c r="L13" i="88"/>
  <c r="L12" i="88"/>
  <c r="L11" i="88"/>
  <c r="L10" i="88"/>
  <c r="L19" i="37"/>
  <c r="L8" i="80"/>
  <c r="L7" i="80"/>
  <c r="L6" i="80"/>
  <c r="L5" i="80"/>
  <c r="L2" i="43"/>
  <c r="L4" i="67"/>
  <c r="L3" i="67"/>
  <c r="L22" i="79"/>
  <c r="M22" i="79" s="1"/>
  <c r="L21" i="79"/>
  <c r="M21" i="79" s="1"/>
  <c r="L20" i="79"/>
  <c r="M20" i="79" s="1"/>
  <c r="L4" i="72"/>
  <c r="L2" i="72"/>
  <c r="L6" i="85"/>
  <c r="L5" i="85"/>
  <c r="L4" i="85"/>
  <c r="L3" i="85"/>
  <c r="L2" i="42"/>
  <c r="L2" i="32"/>
  <c r="L29" i="84"/>
  <c r="L27" i="84"/>
  <c r="L26" i="84"/>
  <c r="L25" i="84"/>
  <c r="L24" i="84"/>
  <c r="L23" i="84"/>
  <c r="L22" i="84"/>
  <c r="L21" i="84"/>
  <c r="L20" i="84"/>
  <c r="L19" i="84"/>
  <c r="L18" i="84"/>
  <c r="L17" i="84"/>
  <c r="L16" i="84"/>
  <c r="L15" i="84"/>
  <c r="L14" i="84"/>
  <c r="L13" i="84"/>
  <c r="L12" i="84"/>
  <c r="L11" i="84"/>
  <c r="L10" i="84"/>
  <c r="L9" i="84"/>
  <c r="L8" i="84"/>
  <c r="L7" i="84"/>
  <c r="L6" i="84"/>
  <c r="L5" i="84"/>
  <c r="L4" i="84"/>
  <c r="L3" i="84"/>
  <c r="L21" i="53"/>
  <c r="L20" i="53"/>
  <c r="L19" i="53"/>
  <c r="L18" i="53"/>
  <c r="L17" i="53"/>
  <c r="L16" i="53"/>
  <c r="L15" i="53"/>
  <c r="L14" i="53"/>
  <c r="L13" i="53"/>
  <c r="L12" i="53"/>
  <c r="L11" i="53"/>
  <c r="L10" i="53"/>
  <c r="L9" i="53"/>
  <c r="L8" i="53"/>
  <c r="L7" i="53"/>
  <c r="L6" i="53"/>
  <c r="L5" i="53"/>
  <c r="L4" i="53"/>
  <c r="L3" i="53"/>
  <c r="L9" i="78"/>
  <c r="L7" i="78"/>
  <c r="L6" i="78"/>
  <c r="L4" i="78"/>
  <c r="L2" i="57"/>
  <c r="L21" i="63"/>
  <c r="L20" i="63"/>
  <c r="L19" i="63"/>
  <c r="L18" i="63"/>
  <c r="L17" i="63"/>
  <c r="L16" i="63"/>
  <c r="L15" i="63"/>
  <c r="L14" i="63"/>
  <c r="L13" i="63"/>
  <c r="L12" i="63"/>
  <c r="L11" i="63"/>
  <c r="L10" i="63"/>
  <c r="L9" i="63"/>
  <c r="L8" i="63"/>
  <c r="L7" i="63"/>
  <c r="L6" i="63"/>
  <c r="L5" i="63"/>
  <c r="L4" i="63"/>
  <c r="L3" i="63"/>
  <c r="L2" i="59"/>
  <c r="L8" i="62"/>
  <c r="L6" i="62"/>
  <c r="L5" i="62"/>
  <c r="L4" i="62"/>
  <c r="L3" i="62"/>
  <c r="L16" i="61"/>
  <c r="L15" i="61"/>
  <c r="L14" i="61"/>
  <c r="L13" i="61"/>
  <c r="L12" i="61"/>
  <c r="L11" i="61"/>
  <c r="L10" i="61"/>
  <c r="L6" i="19"/>
  <c r="L2" i="11"/>
  <c r="L2" i="9"/>
  <c r="L30" i="8"/>
  <c r="M30" i="8" s="1"/>
  <c r="L29" i="8"/>
  <c r="M29" i="8" s="1"/>
  <c r="L28" i="8"/>
  <c r="M28" i="8" s="1"/>
  <c r="L27" i="8"/>
  <c r="M27" i="8" s="1"/>
  <c r="L26" i="8"/>
  <c r="M26" i="8" s="1"/>
  <c r="L25" i="8"/>
  <c r="M25" i="8" s="1"/>
  <c r="L24" i="8"/>
  <c r="M24" i="8" s="1"/>
  <c r="L23" i="8"/>
  <c r="M23" i="8" s="1"/>
  <c r="L22" i="8"/>
  <c r="M22" i="8" s="1"/>
  <c r="L21" i="8"/>
  <c r="M21" i="8" s="1"/>
  <c r="L20" i="8"/>
  <c r="M20" i="8" s="1"/>
  <c r="L19" i="8"/>
  <c r="M19" i="8" s="1"/>
  <c r="L2" i="7"/>
  <c r="L7" i="6"/>
  <c r="L2" i="5"/>
  <c r="L9" i="4"/>
  <c r="L8" i="4"/>
  <c r="L7" i="4"/>
  <c r="L6" i="4"/>
  <c r="L5" i="4"/>
  <c r="L4" i="4"/>
  <c r="L2" i="4"/>
  <c r="L4" i="2"/>
  <c r="L3" i="2"/>
</calcChain>
</file>

<file path=xl/sharedStrings.xml><?xml version="1.0" encoding="utf-8"?>
<sst xmlns="http://schemas.openxmlformats.org/spreadsheetml/2006/main" count="6391" uniqueCount="101">
  <si>
    <t>utility</t>
  </si>
  <si>
    <t>period</t>
  </si>
  <si>
    <t>month_start</t>
  </si>
  <si>
    <t>month_end</t>
  </si>
  <si>
    <t>hour_start</t>
  </si>
  <si>
    <t>hour_end</t>
  </si>
  <si>
    <t>weekday_start</t>
  </si>
  <si>
    <t>weekday_end</t>
  </si>
  <si>
    <t>units</t>
  </si>
  <si>
    <t>Notes</t>
  </si>
  <si>
    <t>electric</t>
  </si>
  <si>
    <t>customer</t>
  </si>
  <si>
    <t>$/month</t>
  </si>
  <si>
    <t>energy</t>
  </si>
  <si>
    <t>$/kWh</t>
  </si>
  <si>
    <t>demand</t>
  </si>
  <si>
    <t>winter-peak1</t>
  </si>
  <si>
    <t>$/kW</t>
  </si>
  <si>
    <t>summer-peak</t>
  </si>
  <si>
    <t>winter-peak2</t>
  </si>
  <si>
    <t>off-peak</t>
  </si>
  <si>
    <t>gas</t>
  </si>
  <si>
    <t>type</t>
  </si>
  <si>
    <t>annual</t>
  </si>
  <si>
    <t>Estimated from multiplying cost of 1 meter for 1 day by 30 days</t>
  </si>
  <si>
    <t>winter-mid-peak1</t>
  </si>
  <si>
    <t>summer-mid-peak</t>
  </si>
  <si>
    <t>summer-max-peak</t>
  </si>
  <si>
    <t>winter-mid-peak2</t>
  </si>
  <si>
    <t>Ignored daylight savings, when the peak time shifts by an hour</t>
  </si>
  <si>
    <t>Sum of distribution, transmission, improvements, and competetive assessment demand charges</t>
  </si>
  <si>
    <t>peak-summer</t>
  </si>
  <si>
    <t>part-peak-summer</t>
  </si>
  <si>
    <t>maximum</t>
  </si>
  <si>
    <t>part-peak-winter1</t>
  </si>
  <si>
    <t>part-peak-winter2</t>
  </si>
  <si>
    <t>Estimated from multiplying cost for 1 day by 30 days</t>
  </si>
  <si>
    <t>peak-winter1</t>
  </si>
  <si>
    <t>peak-winter2</t>
  </si>
  <si>
    <t>winter1</t>
  </si>
  <si>
    <t>summer</t>
  </si>
  <si>
    <t>winter2</t>
  </si>
  <si>
    <t>This really is zero</t>
  </si>
  <si>
    <t>Assumed primary voltage</t>
  </si>
  <si>
    <t>Assumed 2 to 50 kV (typical primary voltage)</t>
  </si>
  <si>
    <t>winter-all-hours1</t>
  </si>
  <si>
    <t>summer-super-peak</t>
  </si>
  <si>
    <t>summer-all-hours</t>
  </si>
  <si>
    <t>winter-all-hours2</t>
  </si>
  <si>
    <t>off-peak-winter1</t>
  </si>
  <si>
    <t>on-peak-winter1</t>
  </si>
  <si>
    <t>off-peak-summer</t>
  </si>
  <si>
    <t>on-peak-summer</t>
  </si>
  <si>
    <t>off-peak-winter2</t>
  </si>
  <si>
    <t>on-peak-winter2</t>
  </si>
  <si>
    <t>Power Service Agreement required for this rate schedule</t>
  </si>
  <si>
    <t>summer-off-peak</t>
  </si>
  <si>
    <t>summer-on-peak</t>
  </si>
  <si>
    <t>on-peak</t>
  </si>
  <si>
    <t>transition-peak1</t>
  </si>
  <si>
    <t>transition-peak2</t>
  </si>
  <si>
    <t>Had to use an average since rates are defined each day at 4 PM</t>
  </si>
  <si>
    <t>No energy charge so put zero to avoid errors in code</t>
  </si>
  <si>
    <t>Converted from ccf to therms</t>
  </si>
  <si>
    <t>Fuel charge included with energy</t>
  </si>
  <si>
    <t>Conservation and capacity charges included with demand</t>
  </si>
  <si>
    <t>winter-peak3</t>
  </si>
  <si>
    <t>winter-peak4</t>
  </si>
  <si>
    <t>converted from ccf to therms</t>
  </si>
  <si>
    <t>Converted from MMBtu to therms</t>
  </si>
  <si>
    <t>Converted from MCF to therm</t>
  </si>
  <si>
    <t>Rate-PD (Primary Distribution Power)</t>
  </si>
  <si>
    <t>winter-super-peak1</t>
  </si>
  <si>
    <t>winter-super-peak2</t>
  </si>
  <si>
    <t>winter-peak</t>
  </si>
  <si>
    <t>summer-peak1</t>
  </si>
  <si>
    <t>summer-peak2</t>
  </si>
  <si>
    <t>No demand charges until 5000 kW is reached</t>
  </si>
  <si>
    <t>winter</t>
  </si>
  <si>
    <t>Extra Large Load Delivery Class</t>
  </si>
  <si>
    <t>Fixed price rate since time-of-use is not published in advance</t>
  </si>
  <si>
    <t>Rate DSPP</t>
  </si>
  <si>
    <t>75% of off-peak or 100% of on-peak, whichever is higher</t>
  </si>
  <si>
    <t>charge (metric)</t>
  </si>
  <si>
    <t>charge (imperial)</t>
  </si>
  <si>
    <t>$/therm or $/m3</t>
  </si>
  <si>
    <t>$/therm/hr or $/m3/hr</t>
  </si>
  <si>
    <t>basic_charge_limit (metric)</t>
  </si>
  <si>
    <t>basic_charge_limit (imperial)</t>
  </si>
  <si>
    <t>Includes Delivery Capital Recovery Rider</t>
  </si>
  <si>
    <t>Includes DSMCA, PCCA, and TCA</t>
  </si>
  <si>
    <t>Includes Electricity Commodity Adjustment (ECA)</t>
  </si>
  <si>
    <t>Includes TVA Fuel Cost Adjustment</t>
  </si>
  <si>
    <t>Includes Fuel Cost Adjustment (FCA) Factor</t>
  </si>
  <si>
    <t>Includes Fuel Cost Recovery Schedule: "FCR-25"</t>
  </si>
  <si>
    <t>Had to choose between high demand or high energy charges (Option D or Option E)</t>
  </si>
  <si>
    <t>This is hgh energy, low demand</t>
  </si>
  <si>
    <t>Includes delivery and generation service</t>
  </si>
  <si>
    <t>Includes Riders GCR, TSA, GEN, and Fuel</t>
  </si>
  <si>
    <t>Time-of-day option selected for Rider GEN</t>
  </si>
  <si>
    <t>Includes fuel cost and environmental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</si>
</sst>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"/>
    <numFmt numFmtId="166" formatCode="0.0000"/>
    <numFmt numFmtId="167" formatCode="0.000"/>
  </numFmts>
  <fonts count="4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66CC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tlantagaslight.com/content/dam/southern-co-gas/agl/pdfs/agl-bill-calculators/2021-bill-calculators/december-2021/agl-tariff_effective_12-1-21_clean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abSelected="1" workbookViewId="0">
      <selection activeCell="M3" sqref="M3:M16"/>
    </sheetView>
  </sheetViews>
  <sheetFormatPr baseColWidth="10" defaultColWidth="8.83203125" defaultRowHeight="15" x14ac:dyDescent="0.2"/>
  <cols>
    <col min="1" max="1" width="32.1640625" bestFit="1" customWidth="1"/>
    <col min="2" max="2" width="16.1640625" customWidth="1"/>
    <col min="3" max="3" width="13.3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3" width="14.1640625" bestFit="1" customWidth="1"/>
    <col min="14" max="14" width="14" bestFit="1" customWidth="1"/>
    <col min="15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130.44</v>
      </c>
      <c r="M2">
        <v>130.44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0.01049+0.04099+0.00265</f>
        <v>5.4129999999999998E-2</v>
      </c>
      <c r="M3">
        <f>0.01049+0.04099+0.00265</f>
        <v>5.4129999999999998E-2</v>
      </c>
      <c r="N3" t="s">
        <v>14</v>
      </c>
      <c r="O3" t="s">
        <v>100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0.02908+0.0462+0.00265</f>
        <v>7.7929999999999999E-2</v>
      </c>
      <c r="M4">
        <f>0.02908+0.0462+0.00265</f>
        <v>7.7929999999999999E-2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0.01049+0.04099+0.00265</f>
        <v>5.4129999999999998E-2</v>
      </c>
      <c r="M5">
        <f>0.01049+0.04099+0.00265</f>
        <v>5.4129999999999998E-2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0.02908+0.0462+0.00265</f>
        <v>7.7929999999999999E-2</v>
      </c>
      <c r="M6">
        <f>0.02908+0.0462+0.00265</f>
        <v>7.7929999999999999E-2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0.01049+0.04099+0.00265</f>
        <v>5.4129999999999998E-2</v>
      </c>
      <c r="M7">
        <f>0.01049+0.04099+0.00265</f>
        <v>5.4129999999999998E-2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0.01049+0.04099+0.00265</f>
        <v>5.4129999999999998E-2</v>
      </c>
      <c r="M8">
        <f>0.01049+0.04099+0.00265</f>
        <v>5.4129999999999998E-2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0.02908+0.0462+0.00265</f>
        <v>7.7929999999999999E-2</v>
      </c>
      <c r="M9">
        <f>0.02908+0.0462+0.00265</f>
        <v>7.7929999999999999E-2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0.01049+0.04099+0.00265</f>
        <v>5.4129999999999998E-2</v>
      </c>
      <c r="M10">
        <f>0.01049+0.04099+0.00265</f>
        <v>5.4129999999999998E-2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0.01049+0.04099+0.00265</f>
        <v>5.4129999999999998E-2</v>
      </c>
      <c r="M11">
        <f>0.01049+0.04099+0.00265</f>
        <v>5.4129999999999998E-2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0.02908+0.0462+0.00265</f>
        <v>7.7929999999999999E-2</v>
      </c>
      <c r="M12">
        <f>0.02908+0.0462+0.00265</f>
        <v>7.7929999999999999E-2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0.01049+0.04099+0.00265</f>
        <v>5.4129999999999998E-2</v>
      </c>
      <c r="M13">
        <f>0.01049+0.04099+0.00265</f>
        <v>5.4129999999999998E-2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0.02908+0.0462+0.00265</f>
        <v>7.7929999999999999E-2</v>
      </c>
      <c r="M14">
        <f>0.02908+0.0462+0.00265</f>
        <v>7.7929999999999999E-2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0.01049+0.04099+0.00265</f>
        <v>5.4129999999999998E-2</v>
      </c>
      <c r="M15">
        <f>0.01049+0.04099+0.00265</f>
        <v>5.4129999999999998E-2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0.01049+0.04099+0.00265</f>
        <v>5.4129999999999998E-2</v>
      </c>
      <c r="M16">
        <f>0.01049+0.04099+0.00265</f>
        <v>5.4129999999999998E-2</v>
      </c>
      <c r="N16" t="s">
        <v>14</v>
      </c>
    </row>
    <row r="17" spans="1:14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v>7.14</v>
      </c>
      <c r="M17">
        <v>7.14</v>
      </c>
      <c r="N17" t="s">
        <v>17</v>
      </c>
    </row>
    <row r="18" spans="1:14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v>7.14</v>
      </c>
      <c r="M18">
        <v>7.14</v>
      </c>
      <c r="N18" t="s">
        <v>17</v>
      </c>
    </row>
    <row r="19" spans="1:14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v>7.14</v>
      </c>
      <c r="M19">
        <v>7.14</v>
      </c>
      <c r="N19" t="s">
        <v>17</v>
      </c>
    </row>
    <row r="20" spans="1:14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v>7.14</v>
      </c>
      <c r="M20">
        <v>7.14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v>7.14</v>
      </c>
      <c r="M21">
        <v>7.14</v>
      </c>
      <c r="N21" t="s">
        <v>17</v>
      </c>
    </row>
    <row r="22" spans="1:14" x14ac:dyDescent="0.2">
      <c r="A22" t="s">
        <v>10</v>
      </c>
      <c r="B22" t="s">
        <v>15</v>
      </c>
      <c r="C22" t="s">
        <v>20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f>3.49+0.6+0.52+0.72</f>
        <v>5.3299999999999992</v>
      </c>
      <c r="M22">
        <f>3.49+0.6+0.52+0.72</f>
        <v>5.3299999999999992</v>
      </c>
      <c r="N22" t="s">
        <v>17</v>
      </c>
    </row>
    <row r="23" spans="1:14" x14ac:dyDescent="0.2">
      <c r="A23" t="s">
        <v>21</v>
      </c>
      <c r="B23" t="s">
        <v>11</v>
      </c>
      <c r="L23">
        <v>420</v>
      </c>
      <c r="M23">
        <v>420</v>
      </c>
      <c r="N23" t="s">
        <v>12</v>
      </c>
    </row>
    <row r="24" spans="1:14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0.21781</v>
      </c>
      <c r="M24" s="6">
        <f>L24/2.83168</f>
        <v>7.6919002147135276E-2</v>
      </c>
      <c r="N24" t="s">
        <v>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1000</v>
      </c>
      <c r="M2">
        <v>1000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3.7999999999999999E-2</v>
      </c>
      <c r="M3">
        <v>3.7999999999999999E-2</v>
      </c>
      <c r="N3" t="s">
        <v>14</v>
      </c>
    </row>
    <row r="4" spans="1:15" x14ac:dyDescent="0.2">
      <c r="A4" t="s">
        <v>10</v>
      </c>
      <c r="B4" t="s">
        <v>13</v>
      </c>
      <c r="D4">
        <v>250</v>
      </c>
      <c r="E4">
        <v>250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3.39E-2</v>
      </c>
      <c r="M4">
        <v>3.39E-2</v>
      </c>
      <c r="N4" t="s">
        <v>14</v>
      </c>
    </row>
    <row r="5" spans="1:15" x14ac:dyDescent="0.2">
      <c r="A5" t="s">
        <v>10</v>
      </c>
      <c r="B5" t="s">
        <v>15</v>
      </c>
      <c r="C5" t="s">
        <v>39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8.75</v>
      </c>
      <c r="M5">
        <v>8.75</v>
      </c>
      <c r="N5" t="s">
        <v>17</v>
      </c>
    </row>
    <row r="6" spans="1:15" x14ac:dyDescent="0.2">
      <c r="A6" t="s">
        <v>10</v>
      </c>
      <c r="B6" t="s">
        <v>15</v>
      </c>
      <c r="C6" t="s">
        <v>40</v>
      </c>
      <c r="D6">
        <v>0</v>
      </c>
      <c r="E6">
        <v>0</v>
      </c>
      <c r="F6">
        <v>6</v>
      </c>
      <c r="G6">
        <v>9</v>
      </c>
      <c r="H6">
        <v>0</v>
      </c>
      <c r="I6">
        <v>7</v>
      </c>
      <c r="J6">
        <v>0</v>
      </c>
      <c r="K6">
        <v>6</v>
      </c>
      <c r="L6">
        <v>11.4</v>
      </c>
      <c r="M6">
        <v>11.4</v>
      </c>
      <c r="N6" t="s">
        <v>17</v>
      </c>
    </row>
    <row r="7" spans="1:15" x14ac:dyDescent="0.2">
      <c r="A7" t="s">
        <v>10</v>
      </c>
      <c r="B7" t="s">
        <v>15</v>
      </c>
      <c r="C7" t="s">
        <v>41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v>8.75</v>
      </c>
      <c r="M7">
        <v>8.75</v>
      </c>
      <c r="N7" t="s">
        <v>17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6.3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79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80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80</v>
      </c>
    </row>
    <row r="6" spans="1:15" x14ac:dyDescent="0.2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81</v>
      </c>
    </row>
    <row r="7" spans="1:15" x14ac:dyDescent="0.2">
      <c r="A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1.7634000000000001</v>
      </c>
      <c r="M4">
        <v>1.7634000000000001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9.7890999999999995</v>
      </c>
      <c r="M5">
        <v>9.7890999999999995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6">
        <f t="shared" ref="M7" si="0">L7/2.83168</f>
        <v>0.11479263193581196</v>
      </c>
      <c r="N7" t="s">
        <v>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8"/>
  <sheetViews>
    <sheetView workbookViewId="0">
      <selection activeCell="B22" sqref="B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2"/>
  <sheetViews>
    <sheetView workbookViewId="0">
      <selection activeCell="E12" sqref="A1:O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8"/>
  <sheetViews>
    <sheetView workbookViewId="0">
      <selection activeCell="E19" sqref="A1:O3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</f>
        <v>2.6229999999999999E-3</v>
      </c>
      <c r="M3">
        <f>0.002568+0.000055</f>
        <v>2.6229999999999999E-3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</f>
        <v>3.869E-3</v>
      </c>
      <c r="M4">
        <f>0.003814+0.000055</f>
        <v>3.869E-3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</f>
        <v>2.6229999999999999E-3</v>
      </c>
      <c r="M5">
        <f>0.002568+0.000055</f>
        <v>2.6229999999999999E-3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</f>
        <v>2.6229999999999999E-3</v>
      </c>
      <c r="M6">
        <f>0.002568+0.000055</f>
        <v>2.6229999999999999E-3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</f>
        <v>3.869E-3</v>
      </c>
      <c r="M7">
        <f>0.003814+0.000055</f>
        <v>3.869E-3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</f>
        <v>2.6229999999999999E-3</v>
      </c>
      <c r="M8">
        <f t="shared" si="0"/>
        <v>2.6229999999999999E-3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2.6229999999999999E-3</v>
      </c>
      <c r="M9">
        <f t="shared" si="0"/>
        <v>2.6229999999999999E-3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2.6229999999999999E-3</v>
      </c>
      <c r="M10">
        <f t="shared" si="0"/>
        <v>2.6229999999999999E-3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2.6229999999999999E-3</v>
      </c>
      <c r="M11">
        <f t="shared" si="0"/>
        <v>2.6229999999999999E-3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</f>
        <v>3.869E-3</v>
      </c>
      <c r="M12">
        <f>0.003814+0.000055</f>
        <v>3.869E-3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</f>
        <v>2.6229999999999999E-3</v>
      </c>
      <c r="M13">
        <f>0.002568+0.000055</f>
        <v>2.6229999999999999E-3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</f>
        <v>2.6229999999999999E-3</v>
      </c>
      <c r="M14">
        <f>0.002568+0.000055</f>
        <v>2.6229999999999999E-3</v>
      </c>
      <c r="N14" t="s">
        <v>14</v>
      </c>
    </row>
    <row r="15" spans="1:15" x14ac:dyDescent="0.2">
      <c r="A15" t="s">
        <v>10</v>
      </c>
      <c r="B15" t="s">
        <v>15</v>
      </c>
      <c r="C15" t="s">
        <v>49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50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49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49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51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52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51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51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53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54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53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53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49</v>
      </c>
      <c r="D27">
        <v>5000</v>
      </c>
      <c r="E27">
        <v>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50</v>
      </c>
      <c r="D28">
        <v>5000</v>
      </c>
      <c r="E28">
        <v>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49</v>
      </c>
      <c r="D29">
        <v>5000</v>
      </c>
      <c r="E29">
        <v>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49</v>
      </c>
      <c r="D30">
        <v>5000</v>
      </c>
      <c r="E30">
        <v>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51</v>
      </c>
      <c r="D31">
        <v>5000</v>
      </c>
      <c r="E31">
        <v>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52</v>
      </c>
      <c r="D32">
        <v>5000</v>
      </c>
      <c r="E32">
        <v>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51</v>
      </c>
      <c r="D33">
        <v>5000</v>
      </c>
      <c r="E33">
        <v>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51</v>
      </c>
      <c r="D34">
        <v>5000</v>
      </c>
      <c r="E34">
        <v>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53</v>
      </c>
      <c r="D35">
        <v>5000</v>
      </c>
      <c r="E35">
        <v>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54</v>
      </c>
      <c r="D36">
        <v>5000</v>
      </c>
      <c r="E36">
        <v>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53</v>
      </c>
      <c r="D37">
        <v>5000</v>
      </c>
      <c r="E37">
        <v>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53</v>
      </c>
      <c r="D38">
        <v>5000</v>
      </c>
      <c r="E38">
        <v>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0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300</v>
      </c>
      <c r="M2">
        <v>300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0.0031+0.016834</f>
        <v>1.9933999999999997E-2</v>
      </c>
      <c r="M3">
        <f>0.0031+0.016834</f>
        <v>1.9933999999999997E-2</v>
      </c>
      <c r="N3" t="s">
        <v>14</v>
      </c>
      <c r="O3" t="s">
        <v>93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14</v>
      </c>
      <c r="J4">
        <v>0</v>
      </c>
      <c r="K4">
        <v>4</v>
      </c>
      <c r="L4">
        <f>0.0031+0.017962</f>
        <v>2.1061999999999997E-2</v>
      </c>
      <c r="M4">
        <f>0.0031+0.017962</f>
        <v>2.1061999999999997E-2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14</v>
      </c>
      <c r="I5">
        <v>19</v>
      </c>
      <c r="J5">
        <v>0</v>
      </c>
      <c r="K5">
        <v>4</v>
      </c>
      <c r="L5">
        <f>0.0443+0.034226</f>
        <v>7.8525999999999999E-2</v>
      </c>
      <c r="M5">
        <f>0.0443+0.034226</f>
        <v>7.8525999999999999E-2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19</v>
      </c>
      <c r="I6">
        <v>24</v>
      </c>
      <c r="J6">
        <v>0</v>
      </c>
      <c r="K6">
        <v>4</v>
      </c>
      <c r="L6">
        <f>0.0031+0.017962</f>
        <v>2.1061999999999997E-2</v>
      </c>
      <c r="M6">
        <f>0.0031+0.017962</f>
        <v>2.1061999999999997E-2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5</v>
      </c>
      <c r="K7">
        <v>6</v>
      </c>
      <c r="L7">
        <f>0.0031+0.017962</f>
        <v>2.1061999999999997E-2</v>
      </c>
      <c r="M7">
        <f>0.0031+0.017962</f>
        <v>2.1061999999999997E-2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10</v>
      </c>
      <c r="G8">
        <v>10</v>
      </c>
      <c r="H8">
        <v>0</v>
      </c>
      <c r="I8">
        <v>24</v>
      </c>
      <c r="J8">
        <v>0</v>
      </c>
      <c r="K8">
        <v>6</v>
      </c>
      <c r="L8">
        <f>0.0031+0.022174</f>
        <v>2.5273999999999998E-2</v>
      </c>
      <c r="M8">
        <f>0.0031+0.022174</f>
        <v>2.5273999999999998E-2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f>0.0031+0.019452</f>
        <v>2.2551999999999999E-2</v>
      </c>
      <c r="M9">
        <f>0.0031+0.019452</f>
        <v>2.2551999999999999E-2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33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7.1280000000000001</v>
      </c>
      <c r="M10">
        <v>7.1280000000000001</v>
      </c>
      <c r="N10" t="s">
        <v>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7"/>
  <sheetViews>
    <sheetView workbookViewId="0">
      <selection activeCell="F12" sqref="F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1715</v>
      </c>
      <c r="M2">
        <v>1715</v>
      </c>
      <c r="N2" t="s">
        <v>12</v>
      </c>
      <c r="O2" t="s">
        <v>55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4.4830000000000002E-2</v>
      </c>
      <c r="M3">
        <v>4.4830000000000002E-2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5.1100000000000003</v>
      </c>
      <c r="M4">
        <v>5.1100000000000003</v>
      </c>
      <c r="N4" t="s">
        <v>17</v>
      </c>
    </row>
    <row r="5" spans="1:15" x14ac:dyDescent="0.2">
      <c r="A5" t="s">
        <v>21</v>
      </c>
      <c r="B5" t="s">
        <v>11</v>
      </c>
      <c r="L5">
        <v>33.840000000000003</v>
      </c>
      <c r="M5">
        <v>33.840000000000003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0.91727999999999998</v>
      </c>
      <c r="M6">
        <f>L6/2.83168</f>
        <v>0.32393490789919765</v>
      </c>
      <c r="N6" t="s">
        <v>85</v>
      </c>
    </row>
    <row r="7" spans="1:15" x14ac:dyDescent="0.2">
      <c r="A7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39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56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57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12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5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2200</v>
      </c>
      <c r="M2">
        <v>2200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0.00152+0.03009</f>
        <v>3.1609999999999999E-2</v>
      </c>
      <c r="M3">
        <f>0.00152+0.03009</f>
        <v>3.1609999999999999E-2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9.17+4.5+2.75</f>
        <v>16.420000000000002</v>
      </c>
      <c r="M4">
        <f>9.17+4.5+2.75</f>
        <v>16.420000000000002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  <row r="10" spans="1:15" x14ac:dyDescent="0.2">
      <c r="L10" s="1"/>
      <c r="M10" s="1"/>
      <c r="N10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12"/>
  <sheetViews>
    <sheetView topLeftCell="D1" zoomScale="84" zoomScaleNormal="84"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1890</v>
      </c>
      <c r="M2">
        <v>1890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f>0.00094+0.04273</f>
        <v>4.367E-2</v>
      </c>
      <c r="M3">
        <f>0.00094+0.04273</f>
        <v>4.367E-2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f>0.00094+0.05773</f>
        <v>5.867E-2</v>
      </c>
      <c r="M4">
        <f>0.00094+0.05773</f>
        <v>5.867E-2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f>0.00094+0.04273</f>
        <v>4.367E-2</v>
      </c>
      <c r="M5">
        <f>0.00094+0.04273</f>
        <v>4.367E-2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f>0.00094+0.04273</f>
        <v>4.367E-2</v>
      </c>
      <c r="M6">
        <f>0.00094+0.04273</f>
        <v>4.367E-2</v>
      </c>
      <c r="N6" t="s">
        <v>14</v>
      </c>
    </row>
    <row r="7" spans="1:15" x14ac:dyDescent="0.2">
      <c r="A7" t="s">
        <v>10</v>
      </c>
      <c r="B7" t="s">
        <v>15</v>
      </c>
      <c r="C7" t="s">
        <v>33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1.49</v>
      </c>
      <c r="M7">
        <v>1.49</v>
      </c>
      <c r="N7" t="s">
        <v>17</v>
      </c>
    </row>
    <row r="8" spans="1:15" x14ac:dyDescent="0.2">
      <c r="A8" t="s">
        <v>10</v>
      </c>
      <c r="B8" t="s">
        <v>15</v>
      </c>
      <c r="C8" t="s">
        <v>58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f>2.53+0.76</f>
        <v>3.29</v>
      </c>
      <c r="M8">
        <f>2.53+0.76</f>
        <v>3.29</v>
      </c>
      <c r="N8" t="s">
        <v>17</v>
      </c>
    </row>
    <row r="9" spans="1:15" x14ac:dyDescent="0.2">
      <c r="A9" t="s">
        <v>10</v>
      </c>
      <c r="B9" t="s">
        <v>15</v>
      </c>
      <c r="C9" t="s">
        <v>33</v>
      </c>
      <c r="D9">
        <v>4000</v>
      </c>
      <c r="E9">
        <v>4000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1.18</v>
      </c>
      <c r="M9">
        <v>1.18</v>
      </c>
      <c r="N9" t="s">
        <v>17</v>
      </c>
    </row>
    <row r="10" spans="1:15" x14ac:dyDescent="0.2">
      <c r="A10" t="s">
        <v>21</v>
      </c>
      <c r="B10" t="s">
        <v>11</v>
      </c>
      <c r="L10">
        <v>325</v>
      </c>
      <c r="M10">
        <v>325</v>
      </c>
      <c r="N10" t="s">
        <v>12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0.58665</v>
      </c>
      <c r="M11" s="7">
        <f>L11/2.83168</f>
        <v>0.20717383320149169</v>
      </c>
      <c r="N11" t="s">
        <v>85</v>
      </c>
    </row>
    <row r="12" spans="1:15" x14ac:dyDescent="0.2">
      <c r="A12" t="s">
        <v>21</v>
      </c>
      <c r="B12" t="s">
        <v>13</v>
      </c>
      <c r="D12">
        <v>2000</v>
      </c>
      <c r="E12">
        <f>D12*2.83168</f>
        <v>5663.36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0.56691999999999998</v>
      </c>
      <c r="M12" s="7">
        <f>L12/2.83168</f>
        <v>0.20020623799299356</v>
      </c>
      <c r="N12" t="s">
        <v>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22"/>
  <sheetViews>
    <sheetView workbookViewId="0">
      <selection activeCell="C23" sqref="C2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1560+350</f>
        <v>1910</v>
      </c>
      <c r="M2">
        <f>1560+350</f>
        <v>1910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5</v>
      </c>
      <c r="J3">
        <v>0</v>
      </c>
      <c r="K3">
        <v>4</v>
      </c>
      <c r="L3">
        <v>4.3810000000000002E-2</v>
      </c>
      <c r="M3">
        <v>4.3810000000000002E-2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5</v>
      </c>
      <c r="I4">
        <v>11</v>
      </c>
      <c r="J4">
        <v>0</v>
      </c>
      <c r="K4">
        <v>4</v>
      </c>
      <c r="L4">
        <v>5.1499999999999997E-2</v>
      </c>
      <c r="M4">
        <v>5.1499999999999997E-2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11</v>
      </c>
      <c r="I5">
        <v>24</v>
      </c>
      <c r="J5">
        <v>0</v>
      </c>
      <c r="K5">
        <v>4</v>
      </c>
      <c r="L5">
        <v>4.3810000000000002E-2</v>
      </c>
      <c r="M5">
        <v>4.3810000000000002E-2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5</v>
      </c>
      <c r="K6">
        <v>6</v>
      </c>
      <c r="L6">
        <v>4.3810000000000002E-2</v>
      </c>
      <c r="M6">
        <v>4.3810000000000002E-2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4</v>
      </c>
      <c r="H7">
        <v>0</v>
      </c>
      <c r="I7">
        <v>24</v>
      </c>
      <c r="J7">
        <v>0</v>
      </c>
      <c r="K7">
        <v>4</v>
      </c>
      <c r="L7">
        <v>4.1270000000000001E-2</v>
      </c>
      <c r="M7">
        <v>4.1270000000000001E-2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14</v>
      </c>
      <c r="J8">
        <v>0</v>
      </c>
      <c r="K8">
        <v>4</v>
      </c>
      <c r="L8">
        <v>4.1590000000000002E-2</v>
      </c>
      <c r="M8">
        <v>4.1590000000000002E-2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14</v>
      </c>
      <c r="I9">
        <v>20</v>
      </c>
      <c r="J9">
        <v>0</v>
      </c>
      <c r="K9">
        <v>4</v>
      </c>
      <c r="L9">
        <v>6.6500000000000004E-2</v>
      </c>
      <c r="M9">
        <v>6.6500000000000004E-2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20</v>
      </c>
      <c r="I10">
        <v>24</v>
      </c>
      <c r="J10">
        <v>0</v>
      </c>
      <c r="K10">
        <v>4</v>
      </c>
      <c r="L10">
        <v>4.1590000000000002E-2</v>
      </c>
      <c r="M10">
        <v>4.1590000000000002E-2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5</v>
      </c>
      <c r="K11">
        <v>6</v>
      </c>
      <c r="L11">
        <v>4.1590000000000002E-2</v>
      </c>
      <c r="M11">
        <v>4.1590000000000002E-2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11</v>
      </c>
      <c r="H12">
        <v>0</v>
      </c>
      <c r="I12">
        <v>24</v>
      </c>
      <c r="J12">
        <v>0</v>
      </c>
      <c r="K12">
        <v>4</v>
      </c>
      <c r="L12">
        <v>4.1270000000000001E-2</v>
      </c>
      <c r="M12">
        <v>4.1270000000000001E-2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12</v>
      </c>
      <c r="G13">
        <v>12</v>
      </c>
      <c r="H13">
        <v>0</v>
      </c>
      <c r="I13">
        <v>5</v>
      </c>
      <c r="J13">
        <v>0</v>
      </c>
      <c r="K13">
        <v>4</v>
      </c>
      <c r="L13">
        <v>4.3810000000000002E-2</v>
      </c>
      <c r="M13">
        <v>4.3810000000000002E-2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5</v>
      </c>
      <c r="I14">
        <v>11</v>
      </c>
      <c r="J14">
        <v>0</v>
      </c>
      <c r="K14">
        <v>4</v>
      </c>
      <c r="L14">
        <v>5.1499999999999997E-2</v>
      </c>
      <c r="M14">
        <v>5.1499999999999997E-2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12</v>
      </c>
      <c r="G15">
        <v>12</v>
      </c>
      <c r="H15">
        <v>11</v>
      </c>
      <c r="I15">
        <v>24</v>
      </c>
      <c r="J15">
        <v>0</v>
      </c>
      <c r="K15">
        <v>4</v>
      </c>
      <c r="L15">
        <v>4.3810000000000002E-2</v>
      </c>
      <c r="M15">
        <v>4.3810000000000002E-2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12</v>
      </c>
      <c r="G16">
        <v>12</v>
      </c>
      <c r="H16">
        <v>0</v>
      </c>
      <c r="I16">
        <v>24</v>
      </c>
      <c r="J16">
        <v>5</v>
      </c>
      <c r="K16">
        <v>6</v>
      </c>
      <c r="L16">
        <v>4.3810000000000002E-2</v>
      </c>
      <c r="M16">
        <v>4.3810000000000002E-2</v>
      </c>
      <c r="N16" t="s">
        <v>14</v>
      </c>
    </row>
    <row r="17" spans="1:14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5</v>
      </c>
      <c r="I17">
        <v>11</v>
      </c>
      <c r="J17">
        <v>0</v>
      </c>
      <c r="K17">
        <v>4</v>
      </c>
      <c r="L17">
        <v>9.9</v>
      </c>
      <c r="M17">
        <v>9.9</v>
      </c>
      <c r="N17" t="s">
        <v>17</v>
      </c>
    </row>
    <row r="18" spans="1:14" x14ac:dyDescent="0.2">
      <c r="A18" t="s">
        <v>10</v>
      </c>
      <c r="B18" t="s">
        <v>15</v>
      </c>
      <c r="C18" t="s">
        <v>59</v>
      </c>
      <c r="D18">
        <v>0</v>
      </c>
      <c r="E18">
        <v>0</v>
      </c>
      <c r="F18">
        <v>4</v>
      </c>
      <c r="G18">
        <v>5</v>
      </c>
      <c r="H18">
        <v>14</v>
      </c>
      <c r="I18">
        <v>20</v>
      </c>
      <c r="J18">
        <v>0</v>
      </c>
      <c r="K18">
        <v>4</v>
      </c>
      <c r="L18">
        <v>9.9</v>
      </c>
      <c r="M18">
        <v>9.9</v>
      </c>
      <c r="N18" t="s">
        <v>17</v>
      </c>
    </row>
    <row r="19" spans="1:14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6</v>
      </c>
      <c r="G19">
        <v>9</v>
      </c>
      <c r="H19">
        <v>14</v>
      </c>
      <c r="I19">
        <v>20</v>
      </c>
      <c r="J19">
        <v>0</v>
      </c>
      <c r="K19">
        <v>4</v>
      </c>
      <c r="L19">
        <v>10.87</v>
      </c>
      <c r="M19">
        <v>10.87</v>
      </c>
      <c r="N19" t="s">
        <v>17</v>
      </c>
    </row>
    <row r="20" spans="1:14" x14ac:dyDescent="0.2">
      <c r="A20" t="s">
        <v>10</v>
      </c>
      <c r="B20" t="s">
        <v>15</v>
      </c>
      <c r="C20" t="s">
        <v>60</v>
      </c>
      <c r="D20">
        <v>0</v>
      </c>
      <c r="E20">
        <v>0</v>
      </c>
      <c r="F20">
        <v>10</v>
      </c>
      <c r="G20">
        <v>10</v>
      </c>
      <c r="H20">
        <v>14</v>
      </c>
      <c r="I20">
        <v>20</v>
      </c>
      <c r="J20">
        <v>0</v>
      </c>
      <c r="K20">
        <v>4</v>
      </c>
      <c r="L20">
        <v>9.9</v>
      </c>
      <c r="M20">
        <v>9.9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5</v>
      </c>
      <c r="I21">
        <v>11</v>
      </c>
      <c r="J21">
        <v>0</v>
      </c>
      <c r="K21">
        <v>4</v>
      </c>
      <c r="L21">
        <v>9.9</v>
      </c>
      <c r="M21">
        <v>9.9</v>
      </c>
      <c r="N21" t="s">
        <v>17</v>
      </c>
    </row>
    <row r="22" spans="1:14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5.46</v>
      </c>
      <c r="M22">
        <v>5.46</v>
      </c>
      <c r="N22" t="s">
        <v>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21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23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3413.98</v>
      </c>
      <c r="M2">
        <v>3413.98</v>
      </c>
      <c r="N2" t="s">
        <v>12</v>
      </c>
    </row>
    <row r="3" spans="1:15" x14ac:dyDescent="0.2">
      <c r="A3" t="s">
        <v>10</v>
      </c>
      <c r="B3" t="s">
        <v>15</v>
      </c>
      <c r="C3" t="s">
        <v>23</v>
      </c>
      <c r="D3">
        <v>0</v>
      </c>
      <c r="E3">
        <v>0</v>
      </c>
      <c r="F3">
        <v>1</v>
      </c>
      <c r="G3">
        <v>12</v>
      </c>
      <c r="H3">
        <v>8</v>
      </c>
      <c r="I3">
        <v>20</v>
      </c>
      <c r="J3">
        <v>0</v>
      </c>
      <c r="K3">
        <v>4</v>
      </c>
      <c r="L3">
        <v>1.86</v>
      </c>
      <c r="M3">
        <v>1.86</v>
      </c>
      <c r="N3" t="s">
        <v>17</v>
      </c>
    </row>
    <row r="4" spans="1:15" x14ac:dyDescent="0.2">
      <c r="A4" s="1"/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358.11</v>
      </c>
      <c r="M2">
        <v>358.11</v>
      </c>
      <c r="N2" t="s">
        <v>12</v>
      </c>
    </row>
    <row r="3" spans="1:15" x14ac:dyDescent="0.2">
      <c r="A3" t="s">
        <v>10</v>
      </c>
      <c r="B3" t="s">
        <v>15</v>
      </c>
      <c r="C3" t="s">
        <v>39</v>
      </c>
      <c r="D3">
        <v>0</v>
      </c>
      <c r="E3">
        <v>0</v>
      </c>
      <c r="F3">
        <v>1</v>
      </c>
      <c r="G3">
        <v>3</v>
      </c>
      <c r="H3">
        <v>0</v>
      </c>
      <c r="I3">
        <v>24</v>
      </c>
      <c r="J3">
        <v>0</v>
      </c>
      <c r="K3">
        <v>6</v>
      </c>
      <c r="L3">
        <v>12.56</v>
      </c>
      <c r="M3">
        <v>12.56</v>
      </c>
      <c r="N3" t="s">
        <v>17</v>
      </c>
    </row>
    <row r="4" spans="1:15" x14ac:dyDescent="0.2">
      <c r="A4" t="s">
        <v>10</v>
      </c>
      <c r="B4" t="s">
        <v>15</v>
      </c>
      <c r="C4" t="s">
        <v>40</v>
      </c>
      <c r="D4">
        <v>0</v>
      </c>
      <c r="E4">
        <v>0</v>
      </c>
      <c r="F4">
        <v>4</v>
      </c>
      <c r="G4">
        <v>9</v>
      </c>
      <c r="H4">
        <v>0</v>
      </c>
      <c r="I4">
        <v>24</v>
      </c>
      <c r="J4">
        <v>0</v>
      </c>
      <c r="K4">
        <v>6</v>
      </c>
      <c r="L4">
        <v>8.48</v>
      </c>
      <c r="M4">
        <v>8.48</v>
      </c>
      <c r="N4" t="s">
        <v>17</v>
      </c>
    </row>
    <row r="5" spans="1:15" x14ac:dyDescent="0.2">
      <c r="A5" t="s">
        <v>10</v>
      </c>
      <c r="B5" t="s">
        <v>15</v>
      </c>
      <c r="C5" t="s">
        <v>41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12.56</v>
      </c>
      <c r="M5">
        <v>12.56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7.0948999999999998E-2</v>
      </c>
      <c r="M6">
        <v>7.0948999999999998E-2</v>
      </c>
      <c r="N6" t="s">
        <v>14</v>
      </c>
    </row>
    <row r="7" spans="1:15" x14ac:dyDescent="0.2">
      <c r="A7" t="s">
        <v>21</v>
      </c>
      <c r="B7" t="s">
        <v>11</v>
      </c>
      <c r="L7">
        <v>33.840000000000003</v>
      </c>
      <c r="M7">
        <v>33.840000000000003</v>
      </c>
      <c r="N7" t="s">
        <v>12</v>
      </c>
    </row>
    <row r="8" spans="1:15" x14ac:dyDescent="0.2">
      <c r="A8" t="s">
        <v>21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0.91727999999999998</v>
      </c>
      <c r="M8" s="7">
        <f>L8/2.83168</f>
        <v>0.32393490789919765</v>
      </c>
      <c r="N8" t="s">
        <v>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54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  <c r="O4" t="s">
        <v>92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</row>
    <row r="51" spans="1:14" x14ac:dyDescent="0.2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4" x14ac:dyDescent="0.2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4" x14ac:dyDescent="0.2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4" x14ac:dyDescent="0.2">
      <c r="A54" t="s">
        <v>10</v>
      </c>
      <c r="B54" t="s">
        <v>15</v>
      </c>
      <c r="C54" t="s">
        <v>33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4.9320000000000003E-2</v>
      </c>
      <c r="M3">
        <v>4.9320000000000003E-2</v>
      </c>
      <c r="N3" t="s">
        <v>14</v>
      </c>
      <c r="O3" t="s">
        <v>61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10.77</v>
      </c>
      <c r="M4">
        <v>10.77</v>
      </c>
      <c r="N4" t="s">
        <v>17</v>
      </c>
    </row>
    <row r="5" spans="1:15" x14ac:dyDescent="0.2">
      <c r="A5" t="s">
        <v>21</v>
      </c>
      <c r="B5" t="s">
        <v>11</v>
      </c>
      <c r="L5">
        <v>781</v>
      </c>
      <c r="M5">
        <v>781</v>
      </c>
      <c r="N5" t="s">
        <v>12</v>
      </c>
    </row>
    <row r="6" spans="1:15" x14ac:dyDescent="0.2">
      <c r="A6" t="s">
        <v>21</v>
      </c>
      <c r="B6" t="s">
        <v>13</v>
      </c>
      <c r="D6">
        <v>5000</v>
      </c>
      <c r="E6">
        <f>D6*2.83168</f>
        <v>14158.4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0.11265</v>
      </c>
      <c r="M6" s="7">
        <f>L6/2.83168</f>
        <v>3.9782037518363657E-2</v>
      </c>
      <c r="N6" t="s">
        <v>85</v>
      </c>
    </row>
    <row r="7" spans="1:15" x14ac:dyDescent="0.2">
      <c r="A7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242.12</v>
      </c>
      <c r="M2">
        <v>242.12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8</v>
      </c>
      <c r="J4">
        <v>0</v>
      </c>
      <c r="K4">
        <v>4</v>
      </c>
      <c r="L4">
        <f>2.03251*0.75</f>
        <v>1.5243824999999998</v>
      </c>
      <c r="M4">
        <f>2.03251*0.75</f>
        <v>1.5243824999999998</v>
      </c>
      <c r="N4" t="s">
        <v>17</v>
      </c>
      <c r="O4" t="s">
        <v>82</v>
      </c>
    </row>
    <row r="5" spans="1:15" x14ac:dyDescent="0.2">
      <c r="A5" t="s">
        <v>10</v>
      </c>
      <c r="B5" t="s">
        <v>15</v>
      </c>
      <c r="C5" t="s">
        <v>33</v>
      </c>
      <c r="D5">
        <v>0</v>
      </c>
      <c r="E5">
        <v>0</v>
      </c>
      <c r="F5">
        <v>1</v>
      </c>
      <c r="G5">
        <v>12</v>
      </c>
      <c r="H5">
        <v>8</v>
      </c>
      <c r="I5">
        <v>20</v>
      </c>
      <c r="J5">
        <v>0</v>
      </c>
      <c r="K5">
        <v>4</v>
      </c>
      <c r="L5">
        <v>2.0325099999999998</v>
      </c>
      <c r="M5">
        <v>2.0325099999999998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20</v>
      </c>
      <c r="I6">
        <v>24</v>
      </c>
      <c r="J6">
        <v>0</v>
      </c>
      <c r="K6">
        <v>4</v>
      </c>
      <c r="L6">
        <f>2.03251*0.75</f>
        <v>1.5243824999999998</v>
      </c>
      <c r="M6">
        <f>2.03251*0.75</f>
        <v>1.5243824999999998</v>
      </c>
      <c r="N6" t="s">
        <v>17</v>
      </c>
    </row>
    <row r="7" spans="1:15" x14ac:dyDescent="0.2">
      <c r="A7" t="s">
        <v>10</v>
      </c>
      <c r="B7" t="s">
        <v>15</v>
      </c>
      <c r="C7" t="s">
        <v>33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2.03251*0.75</f>
        <v>1.5243824999999998</v>
      </c>
      <c r="M7">
        <f>2.03251*0.75</f>
        <v>1.5243824999999998</v>
      </c>
      <c r="N7" t="s">
        <v>17</v>
      </c>
    </row>
    <row r="8" spans="1:15" x14ac:dyDescent="0.2">
      <c r="A8" t="s">
        <v>21</v>
      </c>
      <c r="B8" t="s">
        <v>11</v>
      </c>
      <c r="L8">
        <v>92.13</v>
      </c>
      <c r="M8">
        <v>92.13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f>0.18204/1.037</f>
        <v>0.17554484088717456</v>
      </c>
      <c r="M9" s="7">
        <f>L9/2.83168</f>
        <v>6.199317750846655E-2</v>
      </c>
      <c r="N9" t="s">
        <v>85</v>
      </c>
      <c r="O9" t="s">
        <v>63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2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33</v>
      </c>
      <c r="M23">
        <v>33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0.39135999999999999</v>
      </c>
      <c r="M24" s="7">
        <f>L24/2.83168</f>
        <v>0.13820770708554639</v>
      </c>
      <c r="N24" t="s">
        <v>85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29"/>
  <sheetViews>
    <sheetView zoomScaleNormal="100" workbookViewId="0">
      <selection activeCell="L25" sqref="L2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658.15</v>
      </c>
      <c r="M2">
        <v>658.15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10</v>
      </c>
      <c r="J3">
        <v>0</v>
      </c>
      <c r="K3">
        <v>4</v>
      </c>
      <c r="L3">
        <f>0.006693+0.020717</f>
        <v>2.741E-2</v>
      </c>
      <c r="M3">
        <f>0.006693+0.020717</f>
        <v>2.741E-2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10</v>
      </c>
      <c r="I4">
        <v>22</v>
      </c>
      <c r="J4">
        <v>0</v>
      </c>
      <c r="K4">
        <v>4</v>
      </c>
      <c r="L4">
        <f>0.006693+0.028172</f>
        <v>3.4865E-2</v>
      </c>
      <c r="M4">
        <f>0.006693+0.028172</f>
        <v>3.4865E-2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22</v>
      </c>
      <c r="I5">
        <v>24</v>
      </c>
      <c r="J5">
        <v>0</v>
      </c>
      <c r="K5">
        <v>4</v>
      </c>
      <c r="L5">
        <f t="shared" ref="L5:M7" si="0">0.006693+0.020717</f>
        <v>2.741E-2</v>
      </c>
      <c r="M5">
        <f t="shared" si="0"/>
        <v>2.741E-2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0</v>
      </c>
      <c r="K6">
        <v>6</v>
      </c>
      <c r="L6">
        <f t="shared" si="0"/>
        <v>2.741E-2</v>
      </c>
      <c r="M6">
        <f t="shared" si="0"/>
        <v>2.741E-2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5</v>
      </c>
      <c r="H7">
        <v>0</v>
      </c>
      <c r="I7">
        <v>6</v>
      </c>
      <c r="J7">
        <v>0</v>
      </c>
      <c r="K7">
        <v>4</v>
      </c>
      <c r="L7">
        <f t="shared" si="0"/>
        <v>2.741E-2</v>
      </c>
      <c r="M7">
        <f t="shared" si="0"/>
        <v>2.741E-2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5</v>
      </c>
      <c r="H8">
        <v>6</v>
      </c>
      <c r="I8">
        <v>22</v>
      </c>
      <c r="J8">
        <v>0</v>
      </c>
      <c r="K8">
        <v>4</v>
      </c>
      <c r="L8">
        <f>0.006693+0.028172</f>
        <v>3.4865E-2</v>
      </c>
      <c r="M8">
        <f>0.006693+0.028172</f>
        <v>3.4865E-2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5</v>
      </c>
      <c r="H9">
        <v>22</v>
      </c>
      <c r="I9">
        <v>24</v>
      </c>
      <c r="J9">
        <v>0</v>
      </c>
      <c r="K9">
        <v>4</v>
      </c>
      <c r="L9">
        <f>0.006693+0.020717</f>
        <v>2.741E-2</v>
      </c>
      <c r="M9">
        <f>0.006693+0.020717</f>
        <v>2.741E-2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5</v>
      </c>
      <c r="H10">
        <v>0</v>
      </c>
      <c r="I10">
        <v>24</v>
      </c>
      <c r="J10">
        <v>0</v>
      </c>
      <c r="K10">
        <v>6</v>
      </c>
      <c r="L10">
        <f>0.006693+0.020717</f>
        <v>2.741E-2</v>
      </c>
      <c r="M10">
        <f>0.006693+0.020717</f>
        <v>2.741E-2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6</v>
      </c>
      <c r="J11">
        <v>0</v>
      </c>
      <c r="K11">
        <v>4</v>
      </c>
      <c r="L11">
        <f>0.006693+0.015836</f>
        <v>2.2529E-2</v>
      </c>
      <c r="M11">
        <f>0.006693+0.015836</f>
        <v>2.2529E-2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6</v>
      </c>
      <c r="I12">
        <v>22</v>
      </c>
      <c r="J12">
        <v>0</v>
      </c>
      <c r="K12">
        <v>4</v>
      </c>
      <c r="L12">
        <f>0.006693+0.022032</f>
        <v>2.8725000000000001E-2</v>
      </c>
      <c r="M12">
        <f>0.006693+0.022032</f>
        <v>2.8725000000000001E-2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0.006693+0.015836</f>
        <v>2.2529E-2</v>
      </c>
      <c r="M13">
        <f>0.006693+0.015836</f>
        <v>2.2529E-2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0.006693+0.015836</f>
        <v>2.2529E-2</v>
      </c>
      <c r="M14">
        <f>0.006693+0.015836</f>
        <v>2.2529E-2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10</v>
      </c>
      <c r="H15">
        <v>0</v>
      </c>
      <c r="I15">
        <v>6</v>
      </c>
      <c r="J15">
        <v>0</v>
      </c>
      <c r="K15">
        <v>4</v>
      </c>
      <c r="L15">
        <f>0.006693+0.020717</f>
        <v>2.741E-2</v>
      </c>
      <c r="M15">
        <f>0.006693+0.020717</f>
        <v>2.741E-2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10</v>
      </c>
      <c r="H16">
        <v>6</v>
      </c>
      <c r="I16">
        <v>22</v>
      </c>
      <c r="J16">
        <v>0</v>
      </c>
      <c r="K16">
        <v>4</v>
      </c>
      <c r="L16">
        <f>0.006693+0.028172</f>
        <v>3.4865E-2</v>
      </c>
      <c r="M16">
        <f>0.006693+0.028172</f>
        <v>3.4865E-2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10</v>
      </c>
      <c r="H17">
        <v>22</v>
      </c>
      <c r="I17">
        <v>24</v>
      </c>
      <c r="J17">
        <v>0</v>
      </c>
      <c r="K17">
        <v>4</v>
      </c>
      <c r="L17">
        <f t="shared" ref="L17:M19" si="1">0.006693+0.020717</f>
        <v>2.741E-2</v>
      </c>
      <c r="M17">
        <f t="shared" si="1"/>
        <v>2.741E-2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10</v>
      </c>
      <c r="H18">
        <v>0</v>
      </c>
      <c r="I18">
        <v>24</v>
      </c>
      <c r="J18">
        <v>0</v>
      </c>
      <c r="K18">
        <v>6</v>
      </c>
      <c r="L18">
        <f t="shared" si="1"/>
        <v>2.741E-2</v>
      </c>
      <c r="M18">
        <f t="shared" si="1"/>
        <v>2.741E-2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10</v>
      </c>
      <c r="J19">
        <v>0</v>
      </c>
      <c r="K19">
        <v>4</v>
      </c>
      <c r="L19">
        <f t="shared" si="1"/>
        <v>2.741E-2</v>
      </c>
      <c r="M19">
        <f t="shared" si="1"/>
        <v>2.741E-2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10</v>
      </c>
      <c r="I20">
        <v>22</v>
      </c>
      <c r="J20">
        <v>0</v>
      </c>
      <c r="K20">
        <v>4</v>
      </c>
      <c r="L20">
        <f>0.006693+0.028172</f>
        <v>3.4865E-2</v>
      </c>
      <c r="M20">
        <f>0.006693+0.028172</f>
        <v>3.4865E-2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22</v>
      </c>
      <c r="I21">
        <v>24</v>
      </c>
      <c r="J21">
        <v>0</v>
      </c>
      <c r="K21">
        <v>4</v>
      </c>
      <c r="L21">
        <f>0.006693+0.020717</f>
        <v>2.741E-2</v>
      </c>
      <c r="M21">
        <f>0.006693+0.020717</f>
        <v>2.741E-2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0.006693+0.020717</f>
        <v>2.741E-2</v>
      </c>
      <c r="M22">
        <f>0.006693+0.020717</f>
        <v>2.741E-2</v>
      </c>
      <c r="N22" t="s">
        <v>14</v>
      </c>
    </row>
    <row r="23" spans="1:15" x14ac:dyDescent="0.2">
      <c r="A23" t="s">
        <v>10</v>
      </c>
      <c r="B23" t="s">
        <v>15</v>
      </c>
      <c r="C23" t="s">
        <v>16</v>
      </c>
      <c r="D23">
        <v>0</v>
      </c>
      <c r="E23">
        <v>0</v>
      </c>
      <c r="F23">
        <v>1</v>
      </c>
      <c r="G23">
        <v>3</v>
      </c>
      <c r="H23">
        <v>10</v>
      </c>
      <c r="I23">
        <v>22</v>
      </c>
      <c r="J23">
        <v>0</v>
      </c>
      <c r="K23">
        <v>4</v>
      </c>
      <c r="L23">
        <f>5.2243+5.392192</f>
        <v>10.616492000000001</v>
      </c>
      <c r="M23">
        <f>5.2243+5.392192</f>
        <v>10.616492000000001</v>
      </c>
      <c r="N23" t="s">
        <v>17</v>
      </c>
    </row>
    <row r="24" spans="1:15" x14ac:dyDescent="0.2">
      <c r="A24" t="s">
        <v>10</v>
      </c>
      <c r="B24" t="s">
        <v>15</v>
      </c>
      <c r="C24" t="s">
        <v>19</v>
      </c>
      <c r="D24">
        <v>0</v>
      </c>
      <c r="E24">
        <v>0</v>
      </c>
      <c r="F24">
        <v>4</v>
      </c>
      <c r="G24">
        <v>5</v>
      </c>
      <c r="H24">
        <v>6</v>
      </c>
      <c r="I24">
        <v>22</v>
      </c>
      <c r="J24">
        <v>0</v>
      </c>
      <c r="K24">
        <v>4</v>
      </c>
      <c r="L24">
        <f>5.2243+5.392192</f>
        <v>10.616492000000001</v>
      </c>
      <c r="M24">
        <f>5.2243+5.392192</f>
        <v>10.616492000000001</v>
      </c>
      <c r="N24" t="s">
        <v>17</v>
      </c>
    </row>
    <row r="25" spans="1:15" x14ac:dyDescent="0.2">
      <c r="A25" t="s">
        <v>10</v>
      </c>
      <c r="B25" t="s">
        <v>15</v>
      </c>
      <c r="C25" t="s">
        <v>18</v>
      </c>
      <c r="D25">
        <v>0</v>
      </c>
      <c r="E25">
        <v>0</v>
      </c>
      <c r="F25">
        <v>6</v>
      </c>
      <c r="G25">
        <v>9</v>
      </c>
      <c r="H25">
        <v>6</v>
      </c>
      <c r="I25">
        <v>22</v>
      </c>
      <c r="J25">
        <v>0</v>
      </c>
      <c r="K25">
        <v>4</v>
      </c>
      <c r="L25">
        <f>5.2243+7.392075</f>
        <v>12.616375000000001</v>
      </c>
      <c r="M25">
        <f>5.2243+7.392075</f>
        <v>12.616375000000001</v>
      </c>
      <c r="N25" t="s">
        <v>17</v>
      </c>
    </row>
    <row r="26" spans="1:15" x14ac:dyDescent="0.2">
      <c r="A26" t="s">
        <v>10</v>
      </c>
      <c r="B26" t="s">
        <v>15</v>
      </c>
      <c r="C26" t="s">
        <v>66</v>
      </c>
      <c r="D26">
        <v>0</v>
      </c>
      <c r="E26">
        <v>0</v>
      </c>
      <c r="F26">
        <v>10</v>
      </c>
      <c r="G26">
        <v>10</v>
      </c>
      <c r="H26">
        <v>6</v>
      </c>
      <c r="I26">
        <v>22</v>
      </c>
      <c r="J26">
        <v>0</v>
      </c>
      <c r="K26">
        <v>4</v>
      </c>
      <c r="L26">
        <f>5.2243+5.392192</f>
        <v>10.616492000000001</v>
      </c>
      <c r="M26">
        <f>5.2243+5.392192</f>
        <v>10.616492000000001</v>
      </c>
      <c r="N26" t="s">
        <v>17</v>
      </c>
    </row>
    <row r="27" spans="1:15" x14ac:dyDescent="0.2">
      <c r="A27" t="s">
        <v>10</v>
      </c>
      <c r="B27" t="s">
        <v>15</v>
      </c>
      <c r="C27" t="s">
        <v>67</v>
      </c>
      <c r="D27">
        <v>0</v>
      </c>
      <c r="E27">
        <v>0</v>
      </c>
      <c r="F27">
        <v>11</v>
      </c>
      <c r="G27">
        <v>12</v>
      </c>
      <c r="H27">
        <v>10</v>
      </c>
      <c r="I27">
        <v>22</v>
      </c>
      <c r="J27">
        <v>0</v>
      </c>
      <c r="K27">
        <v>4</v>
      </c>
      <c r="L27">
        <f>5.2243+5.392192</f>
        <v>10.616492000000001</v>
      </c>
      <c r="M27">
        <f>5.2243+5.392192</f>
        <v>10.616492000000001</v>
      </c>
      <c r="N27" t="s">
        <v>17</v>
      </c>
    </row>
    <row r="28" spans="1:15" x14ac:dyDescent="0.2">
      <c r="A28" t="s">
        <v>21</v>
      </c>
      <c r="B28" t="s">
        <v>11</v>
      </c>
      <c r="L28">
        <v>55.59</v>
      </c>
      <c r="M28">
        <v>55.59</v>
      </c>
      <c r="N28" t="s">
        <v>12</v>
      </c>
    </row>
    <row r="29" spans="1:15" x14ac:dyDescent="0.2">
      <c r="A29" t="s">
        <v>21</v>
      </c>
      <c r="B29" t="s">
        <v>13</v>
      </c>
      <c r="D29">
        <v>0</v>
      </c>
      <c r="E29">
        <v>0</v>
      </c>
      <c r="F29">
        <v>1</v>
      </c>
      <c r="G29">
        <v>12</v>
      </c>
      <c r="H29">
        <v>0</v>
      </c>
      <c r="I29">
        <v>24</v>
      </c>
      <c r="J29">
        <v>0</v>
      </c>
      <c r="K29">
        <v>6</v>
      </c>
      <c r="L29">
        <f>(0.38042+0.45665)/1.037</f>
        <v>0.80720347155255545</v>
      </c>
      <c r="M29" s="7">
        <f>L29/2.83168</f>
        <v>0.28506168477813715</v>
      </c>
      <c r="N29" t="s">
        <v>85</v>
      </c>
      <c r="O29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115.31</v>
      </c>
      <c r="M2">
        <v>115.31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4.1200000000000001E-2</v>
      </c>
      <c r="M3">
        <v>4.1200000000000001E-2</v>
      </c>
      <c r="N3" t="s">
        <v>14</v>
      </c>
    </row>
    <row r="4" spans="1:15" x14ac:dyDescent="0.2">
      <c r="A4" t="s">
        <v>10</v>
      </c>
      <c r="B4" t="s">
        <v>13</v>
      </c>
      <c r="D4">
        <v>300</v>
      </c>
      <c r="E4">
        <v>300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3.5999999999999997E-2</v>
      </c>
      <c r="M4">
        <v>3.5999999999999997E-2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0</v>
      </c>
      <c r="I5">
        <v>24</v>
      </c>
      <c r="J5">
        <v>0</v>
      </c>
      <c r="K5">
        <v>6</v>
      </c>
      <c r="L5">
        <v>5.5E-2</v>
      </c>
      <c r="M5">
        <v>5.5E-2</v>
      </c>
      <c r="N5" t="s">
        <v>14</v>
      </c>
    </row>
    <row r="6" spans="1:15" x14ac:dyDescent="0.2">
      <c r="A6" t="s">
        <v>10</v>
      </c>
      <c r="B6" t="s">
        <v>13</v>
      </c>
      <c r="D6">
        <v>300</v>
      </c>
      <c r="E6">
        <v>300</v>
      </c>
      <c r="F6">
        <v>6</v>
      </c>
      <c r="G6">
        <v>9</v>
      </c>
      <c r="H6">
        <v>0</v>
      </c>
      <c r="I6">
        <v>24</v>
      </c>
      <c r="J6">
        <v>0</v>
      </c>
      <c r="K6">
        <v>6</v>
      </c>
      <c r="L6">
        <v>5.04E-2</v>
      </c>
      <c r="M6">
        <v>5.04E-2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v>4.1200000000000001E-2</v>
      </c>
      <c r="M7">
        <v>4.1200000000000001E-2</v>
      </c>
      <c r="N7" t="s">
        <v>14</v>
      </c>
    </row>
    <row r="8" spans="1:15" x14ac:dyDescent="0.2">
      <c r="A8" t="s">
        <v>10</v>
      </c>
      <c r="B8" t="s">
        <v>13</v>
      </c>
      <c r="D8">
        <v>300</v>
      </c>
      <c r="E8">
        <v>300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3.5999999999999997E-2</v>
      </c>
      <c r="M8">
        <v>3.5999999999999997E-2</v>
      </c>
      <c r="N8" t="s">
        <v>14</v>
      </c>
    </row>
    <row r="9" spans="1:15" x14ac:dyDescent="0.2">
      <c r="A9" t="s">
        <v>10</v>
      </c>
      <c r="B9" t="s">
        <v>15</v>
      </c>
      <c r="C9" t="s">
        <v>23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10.17</v>
      </c>
      <c r="M9">
        <v>10.17</v>
      </c>
      <c r="N9" t="s">
        <v>17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38"/>
  <sheetViews>
    <sheetView workbookViewId="0">
      <selection activeCell="P34" sqref="P3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</f>
        <v>2.6229999999999999E-3</v>
      </c>
      <c r="M3">
        <f>0.002568+0.000055</f>
        <v>2.6229999999999999E-3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</f>
        <v>3.869E-3</v>
      </c>
      <c r="M4">
        <f>0.003814+0.000055</f>
        <v>3.869E-3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</f>
        <v>2.6229999999999999E-3</v>
      </c>
      <c r="M5">
        <f>0.002568+0.000055</f>
        <v>2.6229999999999999E-3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</f>
        <v>2.6229999999999999E-3</v>
      </c>
      <c r="M6">
        <f>0.002568+0.000055</f>
        <v>2.6229999999999999E-3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</f>
        <v>3.869E-3</v>
      </c>
      <c r="M7">
        <f>0.003814+0.000055</f>
        <v>3.869E-3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</f>
        <v>2.6229999999999999E-3</v>
      </c>
      <c r="M8">
        <f t="shared" si="0"/>
        <v>2.6229999999999999E-3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2.6229999999999999E-3</v>
      </c>
      <c r="M9">
        <f t="shared" si="0"/>
        <v>2.6229999999999999E-3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2.6229999999999999E-3</v>
      </c>
      <c r="M10">
        <f t="shared" si="0"/>
        <v>2.6229999999999999E-3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2.6229999999999999E-3</v>
      </c>
      <c r="M11">
        <f t="shared" si="0"/>
        <v>2.6229999999999999E-3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</f>
        <v>3.869E-3</v>
      </c>
      <c r="M12">
        <f>0.003814+0.000055</f>
        <v>3.869E-3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</f>
        <v>2.6229999999999999E-3</v>
      </c>
      <c r="M13">
        <f>0.002568+0.000055</f>
        <v>2.6229999999999999E-3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</f>
        <v>2.6229999999999999E-3</v>
      </c>
      <c r="M14">
        <f>0.002568+0.000055</f>
        <v>2.6229999999999999E-3</v>
      </c>
      <c r="N14" t="s">
        <v>14</v>
      </c>
    </row>
    <row r="15" spans="1:15" x14ac:dyDescent="0.2">
      <c r="A15" t="s">
        <v>10</v>
      </c>
      <c r="B15" t="s">
        <v>15</v>
      </c>
      <c r="C15" t="s">
        <v>49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50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49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49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51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52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51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51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53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54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53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53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49</v>
      </c>
      <c r="D27">
        <v>5000</v>
      </c>
      <c r="E27">
        <v>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50</v>
      </c>
      <c r="D28">
        <v>5000</v>
      </c>
      <c r="E28">
        <v>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49</v>
      </c>
      <c r="D29">
        <v>5000</v>
      </c>
      <c r="E29">
        <v>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49</v>
      </c>
      <c r="D30">
        <v>5000</v>
      </c>
      <c r="E30">
        <v>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51</v>
      </c>
      <c r="D31">
        <v>5000</v>
      </c>
      <c r="E31">
        <v>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52</v>
      </c>
      <c r="D32">
        <v>5000</v>
      </c>
      <c r="E32">
        <v>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51</v>
      </c>
      <c r="D33">
        <v>5000</v>
      </c>
      <c r="E33">
        <v>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51</v>
      </c>
      <c r="D34">
        <v>5000</v>
      </c>
      <c r="E34">
        <v>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53</v>
      </c>
      <c r="D35">
        <v>5000</v>
      </c>
      <c r="E35">
        <v>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54</v>
      </c>
      <c r="D36">
        <v>5000</v>
      </c>
      <c r="E36">
        <v>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53</v>
      </c>
      <c r="D37">
        <v>5000</v>
      </c>
      <c r="E37">
        <v>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53</v>
      </c>
      <c r="D38">
        <v>5000</v>
      </c>
      <c r="E38">
        <v>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3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29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>L30/2.83168</f>
        <v>0.46354107808791956</v>
      </c>
      <c r="N30" t="s">
        <v>85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6">
        <f>L7/2.83168</f>
        <v>0.11479263193581196</v>
      </c>
      <c r="N7" t="s">
        <v>85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9"/>
  <sheetViews>
    <sheetView workbookViewId="0">
      <selection activeCell="L3" sqref="L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375</v>
      </c>
      <c r="M2">
        <v>375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9</v>
      </c>
      <c r="J3">
        <v>0</v>
      </c>
      <c r="K3">
        <v>6</v>
      </c>
      <c r="L3">
        <f>0.014523+0.0492</f>
        <v>6.3723000000000002E-2</v>
      </c>
      <c r="M3">
        <f>0.014523+0.0492</f>
        <v>6.3723000000000002E-2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9</v>
      </c>
      <c r="I4">
        <v>17</v>
      </c>
      <c r="J4">
        <v>0</v>
      </c>
      <c r="K4">
        <v>6</v>
      </c>
      <c r="L4">
        <f>0.014523-0.0008</f>
        <v>1.3722999999999999E-2</v>
      </c>
      <c r="M4">
        <f>0.014523-0.0008</f>
        <v>1.3722999999999999E-2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17</v>
      </c>
      <c r="I5">
        <v>22</v>
      </c>
      <c r="J5">
        <v>0</v>
      </c>
      <c r="K5">
        <v>6</v>
      </c>
      <c r="L5">
        <f>0.014523+0.0792</f>
        <v>9.3723000000000001E-2</v>
      </c>
      <c r="M5">
        <f>0.014523+0.0792</f>
        <v>9.3723000000000001E-2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22</v>
      </c>
      <c r="I6">
        <v>24</v>
      </c>
      <c r="J6">
        <v>0</v>
      </c>
      <c r="K6">
        <v>6</v>
      </c>
      <c r="L6">
        <f>0.014523+0.0492</f>
        <v>6.3723000000000002E-2</v>
      </c>
      <c r="M6">
        <f>0.014523+0.0492</f>
        <v>6.3723000000000002E-2</v>
      </c>
      <c r="N6" t="s">
        <v>14</v>
      </c>
    </row>
    <row r="7" spans="1:15" x14ac:dyDescent="0.2">
      <c r="A7" t="s">
        <v>10</v>
      </c>
      <c r="B7" t="s">
        <v>15</v>
      </c>
      <c r="C7" t="s">
        <v>23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26.5</v>
      </c>
      <c r="M7">
        <v>26.5</v>
      </c>
      <c r="N7" t="s">
        <v>17</v>
      </c>
    </row>
    <row r="8" spans="1:15" x14ac:dyDescent="0.2">
      <c r="A8" t="s">
        <v>21</v>
      </c>
      <c r="B8" t="s">
        <v>11</v>
      </c>
      <c r="L8">
        <v>500</v>
      </c>
      <c r="M8">
        <v>500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4</v>
      </c>
      <c r="L9">
        <v>2.7858200000000002</v>
      </c>
      <c r="M9" s="7">
        <f t="shared" ref="M9" si="0">L9/2.83168</f>
        <v>0.98380466719403326</v>
      </c>
      <c r="N9" t="s">
        <v>85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O8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85</v>
      </c>
      <c r="O6" t="s">
        <v>69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85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22"/>
  <sheetViews>
    <sheetView workbookViewId="0">
      <selection activeCell="G24" sqref="G2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150+238.878</f>
        <v>388.87799999999999</v>
      </c>
      <c r="M2">
        <f>150+238.878</f>
        <v>388.87799999999999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6</v>
      </c>
      <c r="J3">
        <v>0</v>
      </c>
      <c r="K3">
        <v>6</v>
      </c>
      <c r="L3">
        <f>0.003154+0.000447+0.001623+0.013815+0.024284</f>
        <v>4.3323E-2</v>
      </c>
      <c r="M3">
        <f>0.003154+0.000447+0.001623+0.013815+0.024284</f>
        <v>4.3323E-2</v>
      </c>
      <c r="N3" t="s">
        <v>14</v>
      </c>
      <c r="O3" t="s">
        <v>98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6</v>
      </c>
      <c r="I4">
        <v>12</v>
      </c>
      <c r="J4">
        <v>0</v>
      </c>
      <c r="K4">
        <v>6</v>
      </c>
      <c r="L4">
        <f>0.003154+0.000447+0.001623+0.013815+0.037215</f>
        <v>5.6253999999999998E-2</v>
      </c>
      <c r="M4">
        <f>0.003154+0.000447+0.001623+0.013815+0.037215</f>
        <v>5.6253999999999998E-2</v>
      </c>
      <c r="N4" t="s">
        <v>14</v>
      </c>
      <c r="O4" t="s">
        <v>99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12</v>
      </c>
      <c r="I5">
        <v>18</v>
      </c>
      <c r="J5">
        <v>0</v>
      </c>
      <c r="K5">
        <v>6</v>
      </c>
      <c r="L5">
        <f>0.003154+0.000447+0.001623+0.013815+0.048567</f>
        <v>6.7605999999999999E-2</v>
      </c>
      <c r="M5">
        <f>0.003154+0.000447+0.001623+0.013815+0.048567</f>
        <v>6.7605999999999999E-2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18</v>
      </c>
      <c r="I6">
        <v>22</v>
      </c>
      <c r="J6">
        <v>0</v>
      </c>
      <c r="K6">
        <v>6</v>
      </c>
      <c r="L6">
        <f>0.003154+0.000447+0.001623+0.013815+0.037215</f>
        <v>5.6253999999999998E-2</v>
      </c>
      <c r="M6">
        <f>0.003154+0.000447+0.001623+0.013815+0.037215</f>
        <v>5.6253999999999998E-2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22</v>
      </c>
      <c r="I7">
        <v>24</v>
      </c>
      <c r="J7">
        <v>0</v>
      </c>
      <c r="K7">
        <v>6</v>
      </c>
      <c r="L7">
        <f>0.003154+0.000447+0.001623+0.013815+0.024284</f>
        <v>4.3323E-2</v>
      </c>
      <c r="M7">
        <f>0.003154+0.000447+0.001623+0.013815+0.024284</f>
        <v>4.3323E-2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0</v>
      </c>
      <c r="I8">
        <v>6</v>
      </c>
      <c r="J8">
        <v>0</v>
      </c>
      <c r="K8">
        <v>6</v>
      </c>
      <c r="L8">
        <f>0.003154+0.000447+0.001623+0.013815+0.031373</f>
        <v>5.0411999999999998E-2</v>
      </c>
      <c r="M8">
        <f>0.003154+0.000447+0.001623+0.013815+0.031373</f>
        <v>5.0411999999999998E-2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6</v>
      </c>
      <c r="I9">
        <v>12</v>
      </c>
      <c r="J9">
        <v>0</v>
      </c>
      <c r="K9">
        <v>6</v>
      </c>
      <c r="L9">
        <f>0.003154+0.000447+0.001623+0.013815+0.040864</f>
        <v>5.9902999999999998E-2</v>
      </c>
      <c r="M9">
        <f>0.003154+0.000447+0.001623+0.013815+0.040864</f>
        <v>5.9902999999999998E-2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12</v>
      </c>
      <c r="I10">
        <v>18</v>
      </c>
      <c r="J10">
        <v>0</v>
      </c>
      <c r="K10">
        <v>6</v>
      </c>
      <c r="L10">
        <f>0.003154+0.000447+0.001623+0.013815+0.062747</f>
        <v>8.1785999999999998E-2</v>
      </c>
      <c r="M10">
        <f>0.003154+0.000447+0.001623+0.013815+0.062747</f>
        <v>8.1785999999999998E-2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18</v>
      </c>
      <c r="I11">
        <v>22</v>
      </c>
      <c r="J11">
        <v>0</v>
      </c>
      <c r="K11">
        <v>6</v>
      </c>
      <c r="L11">
        <f>0.003154+0.000447+0.001623+0.013815+0.040864</f>
        <v>5.9902999999999998E-2</v>
      </c>
      <c r="M11">
        <f>0.003154+0.000447+0.001623+0.013815+0.040864</f>
        <v>5.9902999999999998E-2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22</v>
      </c>
      <c r="I12">
        <v>24</v>
      </c>
      <c r="J12">
        <v>0</v>
      </c>
      <c r="K12">
        <v>6</v>
      </c>
      <c r="L12">
        <f>0.003154+0.000447+0.001623+0.013815+0.031373</f>
        <v>5.0411999999999998E-2</v>
      </c>
      <c r="M12">
        <f>0.003154+0.000447+0.001623+0.013815+0.031373</f>
        <v>5.0411999999999998E-2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9</v>
      </c>
      <c r="G13">
        <v>12</v>
      </c>
      <c r="H13">
        <v>0</v>
      </c>
      <c r="I13">
        <v>6</v>
      </c>
      <c r="J13">
        <v>0</v>
      </c>
      <c r="K13">
        <v>6</v>
      </c>
      <c r="L13">
        <f>0.003154+0.000447+0.001623+0.013815+0.024284</f>
        <v>4.3323E-2</v>
      </c>
      <c r="M13">
        <f>0.003154+0.000447+0.001623+0.013815+0.024284</f>
        <v>4.3323E-2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6</v>
      </c>
      <c r="I14">
        <v>12</v>
      </c>
      <c r="J14">
        <v>0</v>
      </c>
      <c r="K14">
        <v>6</v>
      </c>
      <c r="L14">
        <f>0.003154+0.000447+0.001623+0.013815+0.037215</f>
        <v>5.6253999999999998E-2</v>
      </c>
      <c r="M14">
        <f>0.003154+0.000447+0.001623+0.013815+0.037215</f>
        <v>5.6253999999999998E-2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12</v>
      </c>
      <c r="I15">
        <v>18</v>
      </c>
      <c r="J15">
        <v>0</v>
      </c>
      <c r="K15">
        <v>6</v>
      </c>
      <c r="L15">
        <f>0.003154+0.000447+0.001623+0.013815+0.048567</f>
        <v>6.7605999999999999E-2</v>
      </c>
      <c r="M15">
        <f>0.003154+0.000447+0.001623+0.013815+0.048567</f>
        <v>6.7605999999999999E-2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18</v>
      </c>
      <c r="I16">
        <v>22</v>
      </c>
      <c r="J16">
        <v>0</v>
      </c>
      <c r="K16">
        <v>6</v>
      </c>
      <c r="L16">
        <f>0.003154+0.000447+0.001623+0.013815+0.037215</f>
        <v>5.6253999999999998E-2</v>
      </c>
      <c r="M16">
        <f>0.003154+0.000447+0.001623+0.013815+0.037215</f>
        <v>5.6253999999999998E-2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22</v>
      </c>
      <c r="I17">
        <v>24</v>
      </c>
      <c r="J17">
        <v>0</v>
      </c>
      <c r="K17">
        <v>6</v>
      </c>
      <c r="L17">
        <f>0.003154+0.000447+0.001623+0.013815+0.024284</f>
        <v>4.3323E-2</v>
      </c>
      <c r="M17">
        <f>0.003154+0.000447+0.001623+0.013815+0.024284</f>
        <v>4.3323E-2</v>
      </c>
      <c r="N17" t="s">
        <v>14</v>
      </c>
    </row>
    <row r="18" spans="1:15" x14ac:dyDescent="0.2">
      <c r="A18" t="s">
        <v>10</v>
      </c>
      <c r="B18" t="s">
        <v>15</v>
      </c>
      <c r="C18" t="s">
        <v>33</v>
      </c>
      <c r="D18">
        <v>0</v>
      </c>
      <c r="E18">
        <v>0</v>
      </c>
      <c r="F18">
        <v>1</v>
      </c>
      <c r="G18">
        <v>12</v>
      </c>
      <c r="H18">
        <v>0</v>
      </c>
      <c r="I18">
        <v>24</v>
      </c>
      <c r="J18">
        <v>0</v>
      </c>
      <c r="K18">
        <v>6</v>
      </c>
      <c r="L18">
        <f>2.255+1.1102</f>
        <v>3.3651999999999997</v>
      </c>
      <c r="M18">
        <f>2.255+1.1102</f>
        <v>3.3651999999999997</v>
      </c>
      <c r="N18" t="s">
        <v>17</v>
      </c>
      <c r="O18" t="s">
        <v>89</v>
      </c>
    </row>
    <row r="19" spans="1:15" x14ac:dyDescent="0.2">
      <c r="A19" t="s">
        <v>21</v>
      </c>
      <c r="B19" t="s">
        <v>11</v>
      </c>
      <c r="L19">
        <v>60</v>
      </c>
      <c r="M19">
        <v>60</v>
      </c>
      <c r="N19" t="s">
        <v>12</v>
      </c>
    </row>
    <row r="20" spans="1:15" x14ac:dyDescent="0.2">
      <c r="A20" t="s">
        <v>21</v>
      </c>
      <c r="B20" t="s">
        <v>13</v>
      </c>
      <c r="D20">
        <v>0</v>
      </c>
      <c r="E20"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f>(1.25+5.597)/10.37</f>
        <v>0.66027000964320159</v>
      </c>
      <c r="M20" s="6">
        <f>L20/2.83168</f>
        <v>0.23317253702508814</v>
      </c>
      <c r="N20" t="s">
        <v>85</v>
      </c>
      <c r="O20" t="s">
        <v>70</v>
      </c>
    </row>
    <row r="21" spans="1:15" x14ac:dyDescent="0.2">
      <c r="A21" t="s">
        <v>21</v>
      </c>
      <c r="B21" t="s">
        <v>13</v>
      </c>
      <c r="D21">
        <f>100*10.37</f>
        <v>1037</v>
      </c>
      <c r="E21" s="10">
        <f>D21*2.83168</f>
        <v>2936.4521599999998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(0.97+5.597)/10.37</f>
        <v>0.63326904532304729</v>
      </c>
      <c r="M21" s="6">
        <f>L21/2.83168</f>
        <v>0.22363722077460987</v>
      </c>
      <c r="N21" t="s">
        <v>85</v>
      </c>
    </row>
    <row r="22" spans="1:15" x14ac:dyDescent="0.2">
      <c r="A22" t="s">
        <v>21</v>
      </c>
      <c r="B22" t="s">
        <v>13</v>
      </c>
      <c r="D22">
        <f>500*10.37</f>
        <v>5185</v>
      </c>
      <c r="E22" s="10">
        <f>D22*2.83168</f>
        <v>14682.2608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f>(0.82+5.597)/10.37</f>
        <v>0.61880424300867898</v>
      </c>
      <c r="M22" s="6">
        <f>L22/2.83168</f>
        <v>0.21852901564042512</v>
      </c>
      <c r="N22" t="s">
        <v>85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14"/>
  <sheetViews>
    <sheetView workbookViewId="0">
      <selection activeCell="E15" sqref="E1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85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85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>L13/2.83168</f>
        <v>0.17092326816589445</v>
      </c>
      <c r="N13" t="s">
        <v>85</v>
      </c>
    </row>
    <row r="14" spans="1:15" x14ac:dyDescent="0.2">
      <c r="A14" t="s">
        <v>21</v>
      </c>
      <c r="B14" t="s">
        <v>13</v>
      </c>
      <c r="D14">
        <v>3000</v>
      </c>
      <c r="E14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>L14/2.83168</f>
        <v>0.11777460730025992</v>
      </c>
      <c r="N14" t="s">
        <v>85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O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115.29</v>
      </c>
      <c r="M2">
        <v>115.29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3.1829999999999998</v>
      </c>
      <c r="M4">
        <v>3.1829999999999998</v>
      </c>
      <c r="N4" t="s">
        <v>17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honeticPr fontId="3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O30"/>
  <sheetViews>
    <sheetView workbookViewId="0">
      <selection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6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"/>
  <sheetViews>
    <sheetView workbookViewId="0">
      <selection activeCell="D1" sqref="D1:E1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7</v>
      </c>
      <c r="J3">
        <v>0</v>
      </c>
      <c r="K3">
        <v>6</v>
      </c>
      <c r="L3">
        <v>0.117135</v>
      </c>
      <c r="M3">
        <v>0.117135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24</v>
      </c>
      <c r="J4">
        <v>0</v>
      </c>
      <c r="K4">
        <v>6</v>
      </c>
      <c r="L4">
        <f>0.0221+0.113535</f>
        <v>0.13563500000000001</v>
      </c>
      <c r="M4">
        <f>0.0221+0.113535</f>
        <v>0.13563500000000001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7</v>
      </c>
      <c r="I5">
        <v>10</v>
      </c>
      <c r="J5">
        <v>0</v>
      </c>
      <c r="K5">
        <v>5</v>
      </c>
      <c r="L5">
        <f>0.0221+0.113535</f>
        <v>0.13563500000000001</v>
      </c>
      <c r="M5">
        <f>0.0221+0.113535</f>
        <v>0.13563500000000001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10</v>
      </c>
      <c r="I6">
        <v>22</v>
      </c>
      <c r="J6">
        <v>0</v>
      </c>
      <c r="K6">
        <v>5</v>
      </c>
      <c r="L6">
        <f>0.0344+0.113535</f>
        <v>0.14793499999999998</v>
      </c>
      <c r="M6">
        <f>0.0344+0.113535</f>
        <v>0.14793499999999998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22</v>
      </c>
      <c r="I7">
        <v>24</v>
      </c>
      <c r="J7">
        <v>0</v>
      </c>
      <c r="K7">
        <v>5</v>
      </c>
      <c r="L7">
        <f t="shared" ref="L7:M9" si="0">0.0221+0.113535</f>
        <v>0.13563500000000001</v>
      </c>
      <c r="M7">
        <f t="shared" si="0"/>
        <v>0.13563500000000001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7</v>
      </c>
      <c r="I8">
        <v>24</v>
      </c>
      <c r="J8">
        <v>6</v>
      </c>
      <c r="K8">
        <v>6</v>
      </c>
      <c r="L8">
        <f t="shared" si="0"/>
        <v>0.13563500000000001</v>
      </c>
      <c r="M8">
        <f t="shared" si="0"/>
        <v>0.13563500000000001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7</v>
      </c>
      <c r="I9">
        <v>24</v>
      </c>
      <c r="J9">
        <v>0</v>
      </c>
      <c r="K9">
        <v>6</v>
      </c>
      <c r="L9">
        <f t="shared" si="0"/>
        <v>0.13563500000000001</v>
      </c>
      <c r="M9">
        <f t="shared" si="0"/>
        <v>0.13563500000000001</v>
      </c>
      <c r="N9" t="s">
        <v>14</v>
      </c>
    </row>
    <row r="10" spans="1:15" x14ac:dyDescent="0.2">
      <c r="A10" t="s">
        <v>10</v>
      </c>
      <c r="B10" t="s">
        <v>15</v>
      </c>
      <c r="C10" t="s">
        <v>20</v>
      </c>
      <c r="D10">
        <v>0</v>
      </c>
      <c r="E10">
        <v>0</v>
      </c>
      <c r="F10">
        <v>1</v>
      </c>
      <c r="G10">
        <v>12</v>
      </c>
      <c r="H10">
        <v>0</v>
      </c>
      <c r="I10">
        <v>7</v>
      </c>
      <c r="J10">
        <v>0</v>
      </c>
      <c r="K10">
        <v>6</v>
      </c>
      <c r="L10">
        <v>0</v>
      </c>
      <c r="M10">
        <v>0</v>
      </c>
      <c r="N10" t="s">
        <v>17</v>
      </c>
    </row>
    <row r="11" spans="1:15" x14ac:dyDescent="0.2">
      <c r="A11" t="s">
        <v>10</v>
      </c>
      <c r="B11" t="s">
        <v>15</v>
      </c>
      <c r="C11" t="s">
        <v>25</v>
      </c>
      <c r="D11">
        <v>0</v>
      </c>
      <c r="E11">
        <v>0</v>
      </c>
      <c r="F11">
        <v>1</v>
      </c>
      <c r="G11">
        <v>5</v>
      </c>
      <c r="H11">
        <v>7</v>
      </c>
      <c r="I11">
        <v>24</v>
      </c>
      <c r="J11">
        <v>0</v>
      </c>
      <c r="K11">
        <v>6</v>
      </c>
      <c r="L11">
        <v>6.28</v>
      </c>
      <c r="M11">
        <v>6.28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7</v>
      </c>
      <c r="I12">
        <v>10</v>
      </c>
      <c r="J12">
        <v>0</v>
      </c>
      <c r="K12">
        <v>5</v>
      </c>
      <c r="L12">
        <v>6.28</v>
      </c>
      <c r="M12">
        <v>6.28</v>
      </c>
      <c r="N12" t="s">
        <v>17</v>
      </c>
    </row>
    <row r="13" spans="1:15" x14ac:dyDescent="0.2">
      <c r="A13" t="s">
        <v>10</v>
      </c>
      <c r="B13" t="s">
        <v>15</v>
      </c>
      <c r="C13" t="s">
        <v>27</v>
      </c>
      <c r="D13">
        <v>0</v>
      </c>
      <c r="E13">
        <v>0</v>
      </c>
      <c r="F13">
        <v>6</v>
      </c>
      <c r="G13">
        <v>9</v>
      </c>
      <c r="H13">
        <v>10</v>
      </c>
      <c r="I13">
        <v>22</v>
      </c>
      <c r="J13">
        <v>0</v>
      </c>
      <c r="K13">
        <v>5</v>
      </c>
      <c r="L13">
        <v>25.63</v>
      </c>
      <c r="M13">
        <v>25.63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22</v>
      </c>
      <c r="I14">
        <v>24</v>
      </c>
      <c r="J14">
        <v>0</v>
      </c>
      <c r="K14">
        <v>5</v>
      </c>
      <c r="L14">
        <v>6.28</v>
      </c>
      <c r="M14">
        <v>6.28</v>
      </c>
      <c r="N14" t="s">
        <v>17</v>
      </c>
    </row>
    <row r="15" spans="1:15" x14ac:dyDescent="0.2">
      <c r="A15" t="s">
        <v>10</v>
      </c>
      <c r="B15" t="s">
        <v>15</v>
      </c>
      <c r="C15" t="s">
        <v>28</v>
      </c>
      <c r="D15">
        <v>0</v>
      </c>
      <c r="E15">
        <v>0</v>
      </c>
      <c r="F15">
        <v>1</v>
      </c>
      <c r="G15">
        <v>5</v>
      </c>
      <c r="H15">
        <v>7</v>
      </c>
      <c r="I15">
        <v>24</v>
      </c>
      <c r="J15">
        <v>0</v>
      </c>
      <c r="K15">
        <v>6</v>
      </c>
      <c r="L15">
        <v>6.28</v>
      </c>
      <c r="M15">
        <v>6.28</v>
      </c>
      <c r="N15" t="s">
        <v>17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 s="7">
        <f>(14.07+17.1+2.92)/4.5</f>
        <v>7.5755555555555567</v>
      </c>
      <c r="M3" s="7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58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 s="7">
        <f>(14.07+17.1+2.92)/4.5</f>
        <v>7.5755555555555567</v>
      </c>
      <c r="M5" s="7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 s="7">
        <f>(14.07+17.1+2.92)/4.5</f>
        <v>7.5755555555555567</v>
      </c>
      <c r="M6" s="7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O1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1149.23</v>
      </c>
      <c r="M2">
        <v>1149.23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7.4120000000000005E-2</v>
      </c>
      <c r="M3">
        <v>7.4120000000000005E-2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v>8.7440000000000004E-2</v>
      </c>
      <c r="M4">
        <v>8.7440000000000004E-2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7.4120000000000005E-2</v>
      </c>
      <c r="M5">
        <v>7.4120000000000005E-2</v>
      </c>
      <c r="N5" t="s">
        <v>14</v>
      </c>
    </row>
    <row r="6" spans="1:15" x14ac:dyDescent="0.2">
      <c r="A6" t="s">
        <v>10</v>
      </c>
      <c r="B6" t="s">
        <v>15</v>
      </c>
      <c r="C6" t="s">
        <v>39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9.9149999999999991</v>
      </c>
      <c r="M6">
        <v>9.9149999999999991</v>
      </c>
      <c r="N6" t="s">
        <v>17</v>
      </c>
    </row>
    <row r="7" spans="1:15" x14ac:dyDescent="0.2">
      <c r="A7" t="s">
        <v>10</v>
      </c>
      <c r="B7" t="s">
        <v>15</v>
      </c>
      <c r="C7" t="s">
        <v>40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14.589</v>
      </c>
      <c r="M7">
        <v>14.589</v>
      </c>
      <c r="N7" t="s">
        <v>17</v>
      </c>
    </row>
    <row r="8" spans="1:15" x14ac:dyDescent="0.2">
      <c r="A8" t="s">
        <v>10</v>
      </c>
      <c r="B8" t="s">
        <v>15</v>
      </c>
      <c r="C8" t="s">
        <v>41</v>
      </c>
      <c r="D8">
        <v>0</v>
      </c>
      <c r="E8">
        <v>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9.9149999999999991</v>
      </c>
      <c r="M8">
        <v>9.9149999999999991</v>
      </c>
      <c r="N8" t="s">
        <v>17</v>
      </c>
    </row>
    <row r="9" spans="1:15" x14ac:dyDescent="0.2">
      <c r="A9" t="s">
        <v>10</v>
      </c>
      <c r="B9" t="s">
        <v>15</v>
      </c>
      <c r="C9" t="s">
        <v>39</v>
      </c>
      <c r="D9">
        <v>2500</v>
      </c>
      <c r="E9">
        <v>2500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v>7.74</v>
      </c>
      <c r="M9">
        <v>7.74</v>
      </c>
      <c r="N9" t="s">
        <v>17</v>
      </c>
    </row>
    <row r="10" spans="1:15" x14ac:dyDescent="0.2">
      <c r="A10" t="s">
        <v>10</v>
      </c>
      <c r="B10" t="s">
        <v>15</v>
      </c>
      <c r="C10" t="s">
        <v>40</v>
      </c>
      <c r="D10">
        <v>2500</v>
      </c>
      <c r="E10">
        <v>2500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v>11.672000000000001</v>
      </c>
      <c r="M10">
        <v>11.672000000000001</v>
      </c>
      <c r="N10" t="s">
        <v>17</v>
      </c>
    </row>
    <row r="11" spans="1:15" x14ac:dyDescent="0.2">
      <c r="A11" t="s">
        <v>10</v>
      </c>
      <c r="B11" t="s">
        <v>15</v>
      </c>
      <c r="C11" t="s">
        <v>41</v>
      </c>
      <c r="D11">
        <v>2500</v>
      </c>
      <c r="E11">
        <v>2500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7.74</v>
      </c>
      <c r="M11">
        <v>7.74</v>
      </c>
      <c r="N11" t="s">
        <v>17</v>
      </c>
    </row>
    <row r="12" spans="1:15" x14ac:dyDescent="0.2">
      <c r="A12" t="s">
        <v>10</v>
      </c>
      <c r="B12" t="s">
        <v>15</v>
      </c>
      <c r="C12" t="s">
        <v>39</v>
      </c>
      <c r="D12">
        <v>5000</v>
      </c>
      <c r="E12">
        <v>5000</v>
      </c>
      <c r="F12">
        <v>1</v>
      </c>
      <c r="G12">
        <v>5</v>
      </c>
      <c r="H12">
        <v>0</v>
      </c>
      <c r="I12">
        <v>24</v>
      </c>
      <c r="J12">
        <v>0</v>
      </c>
      <c r="K12">
        <v>6</v>
      </c>
      <c r="L12">
        <v>6.827</v>
      </c>
      <c r="M12">
        <v>6.827</v>
      </c>
      <c r="N12" t="s">
        <v>17</v>
      </c>
    </row>
    <row r="13" spans="1:15" x14ac:dyDescent="0.2">
      <c r="A13" t="s">
        <v>10</v>
      </c>
      <c r="B13" t="s">
        <v>15</v>
      </c>
      <c r="C13" t="s">
        <v>40</v>
      </c>
      <c r="D13">
        <v>5000</v>
      </c>
      <c r="E13">
        <v>5000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v>9.7759999999999998</v>
      </c>
      <c r="M13">
        <v>9.7759999999999998</v>
      </c>
      <c r="N13" t="s">
        <v>17</v>
      </c>
    </row>
    <row r="14" spans="1:15" x14ac:dyDescent="0.2">
      <c r="A14" t="s">
        <v>10</v>
      </c>
      <c r="B14" t="s">
        <v>15</v>
      </c>
      <c r="C14" t="s">
        <v>41</v>
      </c>
      <c r="D14">
        <v>5000</v>
      </c>
      <c r="E14">
        <v>5000</v>
      </c>
      <c r="F14">
        <v>10</v>
      </c>
      <c r="G14">
        <v>12</v>
      </c>
      <c r="H14">
        <v>0</v>
      </c>
      <c r="I14">
        <v>24</v>
      </c>
      <c r="J14">
        <v>0</v>
      </c>
      <c r="K14">
        <v>6</v>
      </c>
      <c r="L14">
        <v>6.827</v>
      </c>
      <c r="M14">
        <v>6.827</v>
      </c>
      <c r="N14" t="s">
        <v>17</v>
      </c>
    </row>
    <row r="15" spans="1:15" x14ac:dyDescent="0.2">
      <c r="A15" t="s">
        <v>10</v>
      </c>
      <c r="B15" t="s">
        <v>15</v>
      </c>
      <c r="C15" t="s">
        <v>39</v>
      </c>
      <c r="D15">
        <v>7500</v>
      </c>
      <c r="E15">
        <v>7500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v>5.2569999999999997</v>
      </c>
      <c r="M15">
        <v>5.2569999999999997</v>
      </c>
      <c r="N15" t="s">
        <v>17</v>
      </c>
    </row>
    <row r="16" spans="1:15" x14ac:dyDescent="0.2">
      <c r="A16" t="s">
        <v>10</v>
      </c>
      <c r="B16" t="s">
        <v>15</v>
      </c>
      <c r="C16" t="s">
        <v>40</v>
      </c>
      <c r="D16">
        <v>7500</v>
      </c>
      <c r="E16">
        <v>7500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v>7.1379999999999999</v>
      </c>
      <c r="M16">
        <v>7.1379999999999999</v>
      </c>
      <c r="N16" t="s">
        <v>17</v>
      </c>
    </row>
    <row r="17" spans="1:14" x14ac:dyDescent="0.2">
      <c r="A17" t="s">
        <v>10</v>
      </c>
      <c r="B17" t="s">
        <v>15</v>
      </c>
      <c r="C17" t="s">
        <v>41</v>
      </c>
      <c r="D17">
        <v>7500</v>
      </c>
      <c r="E17">
        <v>7500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v>5.2569999999999997</v>
      </c>
      <c r="M17">
        <v>5.2569999999999997</v>
      </c>
      <c r="N17" t="s">
        <v>17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O18"/>
  <sheetViews>
    <sheetView workbookViewId="0">
      <selection activeCell="B16" sqref="B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21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7">
        <f t="shared" ref="M7" si="0">L7/2.83168</f>
        <v>0.11479263193581196</v>
      </c>
      <c r="N7" t="s">
        <v>85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1.7327999999999999</v>
      </c>
      <c r="M3">
        <v>1.7327999999999999</v>
      </c>
      <c r="N3" t="s">
        <v>17</v>
      </c>
    </row>
    <row r="4" spans="1:15" x14ac:dyDescent="0.2">
      <c r="A4" t="s">
        <v>21</v>
      </c>
      <c r="B4" t="s">
        <v>11</v>
      </c>
      <c r="L4">
        <v>559.53</v>
      </c>
      <c r="M4">
        <v>559.53</v>
      </c>
      <c r="N4" t="s">
        <v>12</v>
      </c>
    </row>
    <row r="5" spans="1:15" x14ac:dyDescent="0.2">
      <c r="A5" t="s">
        <v>21</v>
      </c>
      <c r="B5" t="s">
        <v>13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 s="7">
        <f>0.3865/10.87</f>
        <v>3.5556577736890527E-2</v>
      </c>
      <c r="M5" s="7">
        <f t="shared" ref="M5" si="0">L5/2.83168</f>
        <v>1.2556707585917381E-2</v>
      </c>
      <c r="N5" t="s">
        <v>85</v>
      </c>
    </row>
    <row r="6" spans="1:15" x14ac:dyDescent="0.2">
      <c r="A6" t="s">
        <v>21</v>
      </c>
      <c r="B6" t="s">
        <v>13</v>
      </c>
      <c r="D6">
        <f>2000*10.87</f>
        <v>21740</v>
      </c>
      <c r="E6" s="10">
        <f>D6*2.83168</f>
        <v>61560.7232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 s="7">
        <f>0.237/10.87</f>
        <v>2.1803127874885007E-2</v>
      </c>
      <c r="M6" s="7">
        <f>L6/2.83168</f>
        <v>7.6997146128393772E-3</v>
      </c>
      <c r="N6" t="s">
        <v>85</v>
      </c>
    </row>
    <row r="7" spans="1:15" x14ac:dyDescent="0.2">
      <c r="A7" t="s">
        <v>21</v>
      </c>
      <c r="B7" t="s">
        <v>13</v>
      </c>
      <c r="D7">
        <f>13000*10.87+D6</f>
        <v>163050</v>
      </c>
      <c r="E7" s="10">
        <f>D7*2.83168</f>
        <v>461705.424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 s="7">
        <f>0.2068/10.87</f>
        <v>1.9024839006439746E-2</v>
      </c>
      <c r="M7" s="7">
        <f t="shared" ref="M7" si="1">L7/2.83168</f>
        <v>6.7185695440303093E-3</v>
      </c>
      <c r="N7" t="s">
        <v>85</v>
      </c>
    </row>
    <row r="8" spans="1:15" x14ac:dyDescent="0.2">
      <c r="A8" t="s">
        <v>21</v>
      </c>
      <c r="B8" t="s">
        <v>13</v>
      </c>
      <c r="D8">
        <f>85000*10.87+D7</f>
        <v>1087000</v>
      </c>
      <c r="E8">
        <f>D8*2.83168</f>
        <v>3078036.16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 s="7">
        <f>0.1635/10.87</f>
        <v>1.5041398344066238E-2</v>
      </c>
      <c r="M8" s="7">
        <f t="shared" ref="M8" si="2">L8/2.83168</f>
        <v>5.3118284354398233E-3</v>
      </c>
      <c r="N8" t="s">
        <v>85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4.9320000000000003E-2</v>
      </c>
      <c r="M3">
        <v>4.9320000000000003E-2</v>
      </c>
      <c r="N3" t="s">
        <v>14</v>
      </c>
      <c r="O3" t="s">
        <v>61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10.77</v>
      </c>
      <c r="M4">
        <v>10.77</v>
      </c>
      <c r="N4" t="s">
        <v>17</v>
      </c>
    </row>
    <row r="7" spans="1:15" x14ac:dyDescent="0.2">
      <c r="A7" s="1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O1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O26"/>
  <sheetViews>
    <sheetView workbookViewId="0">
      <selection activeCell="L10" sqref="L1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4" t="s">
        <v>1</v>
      </c>
      <c r="D1" s="1" t="s">
        <v>88</v>
      </c>
      <c r="E1" s="1" t="s">
        <v>87</v>
      </c>
      <c r="F1" s="1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1" t="s">
        <v>84</v>
      </c>
      <c r="M1" s="1" t="s">
        <v>83</v>
      </c>
      <c r="N1" s="4" t="s">
        <v>8</v>
      </c>
      <c r="O1" s="4" t="s">
        <v>9</v>
      </c>
    </row>
    <row r="2" spans="1:15" x14ac:dyDescent="0.2">
      <c r="A2" t="s">
        <v>10</v>
      </c>
      <c r="B2" t="s">
        <v>11</v>
      </c>
      <c r="F2" s="2"/>
      <c r="L2">
        <v>230</v>
      </c>
      <c r="M2">
        <v>230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0.134901+0.02471</f>
        <v>0.159611</v>
      </c>
      <c r="M3">
        <f>0.134901+0.02471</f>
        <v>0.159611</v>
      </c>
      <c r="N3" t="s">
        <v>14</v>
      </c>
      <c r="O3" t="s">
        <v>94</v>
      </c>
    </row>
    <row r="4" spans="1:15" x14ac:dyDescent="0.2">
      <c r="A4" t="s">
        <v>10</v>
      </c>
      <c r="B4" t="s">
        <v>13</v>
      </c>
      <c r="D4">
        <v>3000</v>
      </c>
      <c r="E4">
        <v>3000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0.12234+0.02471</f>
        <v>0.14705000000000001</v>
      </c>
      <c r="M4">
        <f>0.12234+0.02471</f>
        <v>0.14705000000000001</v>
      </c>
      <c r="N4" t="s">
        <v>14</v>
      </c>
    </row>
    <row r="5" spans="1:15" x14ac:dyDescent="0.2">
      <c r="A5" t="s">
        <v>10</v>
      </c>
      <c r="B5" s="5" t="s">
        <v>13</v>
      </c>
      <c r="D5">
        <v>10000</v>
      </c>
      <c r="E5">
        <v>10000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f>0.104345+0.02471</f>
        <v>0.129055</v>
      </c>
      <c r="M5">
        <f>0.104345+0.02471</f>
        <v>0.129055</v>
      </c>
      <c r="N5" t="s">
        <v>14</v>
      </c>
    </row>
    <row r="6" spans="1:15" x14ac:dyDescent="0.2">
      <c r="A6" t="s">
        <v>10</v>
      </c>
      <c r="B6" t="s">
        <v>13</v>
      </c>
      <c r="D6">
        <v>200000</v>
      </c>
      <c r="E6">
        <v>200000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f>0.080448+0.02471</f>
        <v>0.105158</v>
      </c>
      <c r="M6">
        <f>0.080448+0.02471</f>
        <v>0.105158</v>
      </c>
      <c r="N6" t="s">
        <v>14</v>
      </c>
    </row>
    <row r="7" spans="1:15" x14ac:dyDescent="0.2">
      <c r="A7" t="s">
        <v>10</v>
      </c>
      <c r="B7" t="s">
        <v>13</v>
      </c>
      <c r="D7" s="10">
        <v>1276333.33333333</v>
      </c>
      <c r="E7" s="10">
        <v>1276333.33333333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f>0.013858+0.02471</f>
        <v>3.8567999999999998E-2</v>
      </c>
      <c r="M7">
        <f>0.013858+0.02471</f>
        <v>3.8567999999999998E-2</v>
      </c>
      <c r="N7" t="s">
        <v>14</v>
      </c>
    </row>
    <row r="8" spans="1:15" x14ac:dyDescent="0.2">
      <c r="A8" t="s">
        <v>10</v>
      </c>
      <c r="B8" t="s">
        <v>13</v>
      </c>
      <c r="D8" s="10">
        <v>2552666.6666666698</v>
      </c>
      <c r="E8" s="10">
        <v>2552666.6666666698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f>0.010449+0.02471</f>
        <v>3.5158999999999996E-2</v>
      </c>
      <c r="M8">
        <f>0.010449+0.02471</f>
        <v>3.5158999999999996E-2</v>
      </c>
      <c r="N8" t="s">
        <v>14</v>
      </c>
    </row>
    <row r="9" spans="1:15" x14ac:dyDescent="0.2">
      <c r="A9" t="s">
        <v>10</v>
      </c>
      <c r="B9" t="s">
        <v>13</v>
      </c>
      <c r="D9">
        <v>3829000</v>
      </c>
      <c r="E9">
        <v>3829000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f>0.007841+0.02471</f>
        <v>3.2550999999999997E-2</v>
      </c>
      <c r="M9">
        <f>0.007841+0.02471</f>
        <v>3.2550999999999997E-2</v>
      </c>
      <c r="N9" t="s">
        <v>14</v>
      </c>
      <c r="O9" s="1"/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f>0.134901+0.025022</f>
        <v>0.15992299999999998</v>
      </c>
      <c r="M10">
        <f>0.134901+0.025022</f>
        <v>0.15992299999999998</v>
      </c>
      <c r="N10" t="s">
        <v>14</v>
      </c>
    </row>
    <row r="11" spans="1:15" x14ac:dyDescent="0.2">
      <c r="A11" t="s">
        <v>10</v>
      </c>
      <c r="B11" t="s">
        <v>13</v>
      </c>
      <c r="D11">
        <v>3000</v>
      </c>
      <c r="E11">
        <v>3000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f>0.12234+0.025022</f>
        <v>0.14736199999999999</v>
      </c>
      <c r="M11">
        <f>0.12234+0.025022</f>
        <v>0.14736199999999999</v>
      </c>
      <c r="N11" t="s">
        <v>14</v>
      </c>
    </row>
    <row r="12" spans="1:15" x14ac:dyDescent="0.2">
      <c r="A12" t="s">
        <v>10</v>
      </c>
      <c r="B12" s="5" t="s">
        <v>13</v>
      </c>
      <c r="D12">
        <v>10000</v>
      </c>
      <c r="E12">
        <v>10000</v>
      </c>
      <c r="F12">
        <v>6</v>
      </c>
      <c r="G12">
        <v>9</v>
      </c>
      <c r="H12">
        <v>0</v>
      </c>
      <c r="I12">
        <v>24</v>
      </c>
      <c r="J12">
        <v>0</v>
      </c>
      <c r="K12">
        <v>6</v>
      </c>
      <c r="L12">
        <f>0.104345+0.025022</f>
        <v>0.12936699999999998</v>
      </c>
      <c r="M12">
        <f>0.104345+0.025022</f>
        <v>0.12936699999999998</v>
      </c>
      <c r="N12" t="s">
        <v>14</v>
      </c>
    </row>
    <row r="13" spans="1:15" x14ac:dyDescent="0.2">
      <c r="A13" t="s">
        <v>10</v>
      </c>
      <c r="B13" t="s">
        <v>13</v>
      </c>
      <c r="D13">
        <v>200000</v>
      </c>
      <c r="E13">
        <v>200000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f>0.080448+0.025022</f>
        <v>0.10547000000000001</v>
      </c>
      <c r="M13">
        <f>0.080448+0.025022</f>
        <v>0.10547000000000001</v>
      </c>
      <c r="N13" t="s">
        <v>14</v>
      </c>
    </row>
    <row r="14" spans="1:15" x14ac:dyDescent="0.2">
      <c r="A14" t="s">
        <v>10</v>
      </c>
      <c r="B14" t="s">
        <v>13</v>
      </c>
      <c r="D14" s="10">
        <v>1276333.33333333</v>
      </c>
      <c r="E14" s="10">
        <v>1276333.33333333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0.013858+0.025022</f>
        <v>3.8879999999999998E-2</v>
      </c>
      <c r="M14">
        <f>0.013858+0.025022</f>
        <v>3.8879999999999998E-2</v>
      </c>
      <c r="N14" t="s">
        <v>14</v>
      </c>
    </row>
    <row r="15" spans="1:15" x14ac:dyDescent="0.2">
      <c r="A15" t="s">
        <v>10</v>
      </c>
      <c r="B15" t="s">
        <v>13</v>
      </c>
      <c r="D15" s="10">
        <v>2552666.6666666698</v>
      </c>
      <c r="E15" s="10">
        <v>2552666.6666666698</v>
      </c>
      <c r="F15">
        <v>6</v>
      </c>
      <c r="G15">
        <v>9</v>
      </c>
      <c r="H15">
        <v>0</v>
      </c>
      <c r="I15">
        <v>24</v>
      </c>
      <c r="J15">
        <v>0</v>
      </c>
      <c r="K15">
        <v>6</v>
      </c>
      <c r="L15">
        <f>0.010449+0.025022</f>
        <v>3.5471000000000003E-2</v>
      </c>
      <c r="M15">
        <f>0.010449+0.025022</f>
        <v>3.5471000000000003E-2</v>
      </c>
      <c r="N15" t="s">
        <v>14</v>
      </c>
    </row>
    <row r="16" spans="1:15" x14ac:dyDescent="0.2">
      <c r="A16" t="s">
        <v>10</v>
      </c>
      <c r="B16" t="s">
        <v>13</v>
      </c>
      <c r="D16">
        <v>3829000</v>
      </c>
      <c r="E16">
        <v>3829000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f>0.007841+0.025022</f>
        <v>3.2863000000000003E-2</v>
      </c>
      <c r="M16">
        <f>0.007841+0.025022</f>
        <v>3.2863000000000003E-2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f>0.134901+0.02471</f>
        <v>0.159611</v>
      </c>
      <c r="M17">
        <f>0.134901+0.02471</f>
        <v>0.159611</v>
      </c>
      <c r="N17" t="s">
        <v>14</v>
      </c>
    </row>
    <row r="18" spans="1:14" x14ac:dyDescent="0.2">
      <c r="A18" t="s">
        <v>10</v>
      </c>
      <c r="B18" t="s">
        <v>13</v>
      </c>
      <c r="D18">
        <v>3000</v>
      </c>
      <c r="E18">
        <v>3000</v>
      </c>
      <c r="F18">
        <v>10</v>
      </c>
      <c r="G18">
        <v>12</v>
      </c>
      <c r="H18">
        <v>0</v>
      </c>
      <c r="I18">
        <v>24</v>
      </c>
      <c r="J18">
        <v>0</v>
      </c>
      <c r="K18">
        <v>6</v>
      </c>
      <c r="L18">
        <f>0.12234+0.02471</f>
        <v>0.14705000000000001</v>
      </c>
      <c r="M18">
        <f>0.12234+0.02471</f>
        <v>0.14705000000000001</v>
      </c>
      <c r="N18" t="s">
        <v>14</v>
      </c>
    </row>
    <row r="19" spans="1:14" x14ac:dyDescent="0.2">
      <c r="A19" t="s">
        <v>10</v>
      </c>
      <c r="B19" s="5" t="s">
        <v>13</v>
      </c>
      <c r="D19">
        <v>10000</v>
      </c>
      <c r="E19">
        <v>10000</v>
      </c>
      <c r="F19">
        <v>10</v>
      </c>
      <c r="G19">
        <v>12</v>
      </c>
      <c r="H19">
        <v>0</v>
      </c>
      <c r="I19">
        <v>24</v>
      </c>
      <c r="J19">
        <v>0</v>
      </c>
      <c r="K19">
        <v>6</v>
      </c>
      <c r="L19">
        <f>0.104345+0.02471</f>
        <v>0.129055</v>
      </c>
      <c r="M19">
        <f>0.104345+0.02471</f>
        <v>0.129055</v>
      </c>
      <c r="N19" t="s">
        <v>14</v>
      </c>
    </row>
    <row r="20" spans="1:14" x14ac:dyDescent="0.2">
      <c r="A20" t="s">
        <v>10</v>
      </c>
      <c r="B20" t="s">
        <v>13</v>
      </c>
      <c r="D20">
        <v>200000</v>
      </c>
      <c r="E20">
        <v>200000</v>
      </c>
      <c r="F20">
        <v>10</v>
      </c>
      <c r="G20">
        <v>12</v>
      </c>
      <c r="H20">
        <v>0</v>
      </c>
      <c r="I20">
        <v>24</v>
      </c>
      <c r="J20">
        <v>0</v>
      </c>
      <c r="K20">
        <v>6</v>
      </c>
      <c r="L20">
        <f>0.080448+0.02471</f>
        <v>0.105158</v>
      </c>
      <c r="M20">
        <f>0.080448+0.02471</f>
        <v>0.105158</v>
      </c>
      <c r="N20" t="s">
        <v>14</v>
      </c>
    </row>
    <row r="21" spans="1:14" x14ac:dyDescent="0.2">
      <c r="A21" t="s">
        <v>10</v>
      </c>
      <c r="B21" t="s">
        <v>13</v>
      </c>
      <c r="D21" s="10">
        <v>1276333.33333333</v>
      </c>
      <c r="E21" s="10">
        <v>1276333.33333333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f>0.013858+0.02471</f>
        <v>3.8567999999999998E-2</v>
      </c>
      <c r="M21">
        <f>0.013858+0.02471</f>
        <v>3.8567999999999998E-2</v>
      </c>
      <c r="N21" t="s">
        <v>14</v>
      </c>
    </row>
    <row r="22" spans="1:14" x14ac:dyDescent="0.2">
      <c r="A22" t="s">
        <v>10</v>
      </c>
      <c r="B22" t="s">
        <v>13</v>
      </c>
      <c r="D22" s="10">
        <v>2552666.6666666698</v>
      </c>
      <c r="E22" s="10">
        <v>2552666.6666666698</v>
      </c>
      <c r="F22">
        <v>10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0.010449+0.02471</f>
        <v>3.5158999999999996E-2</v>
      </c>
      <c r="M22">
        <f>0.010449+0.02471</f>
        <v>3.5158999999999996E-2</v>
      </c>
      <c r="N22" t="s">
        <v>14</v>
      </c>
    </row>
    <row r="23" spans="1:14" x14ac:dyDescent="0.2">
      <c r="A23" t="s">
        <v>10</v>
      </c>
      <c r="B23" t="s">
        <v>13</v>
      </c>
      <c r="D23">
        <v>3829000</v>
      </c>
      <c r="E23">
        <v>3829000</v>
      </c>
      <c r="F23">
        <v>10</v>
      </c>
      <c r="G23">
        <v>12</v>
      </c>
      <c r="H23">
        <v>0</v>
      </c>
      <c r="I23">
        <v>24</v>
      </c>
      <c r="J23">
        <v>0</v>
      </c>
      <c r="K23">
        <v>6</v>
      </c>
      <c r="L23">
        <f>0.007841+0.02471</f>
        <v>3.2550999999999997E-2</v>
      </c>
      <c r="M23">
        <f>0.007841+0.02471</f>
        <v>3.2550999999999997E-2</v>
      </c>
      <c r="N23" t="s">
        <v>14</v>
      </c>
    </row>
    <row r="24" spans="1:14" x14ac:dyDescent="0.2">
      <c r="A24" t="s">
        <v>10</v>
      </c>
      <c r="B24" t="s">
        <v>15</v>
      </c>
      <c r="C24" t="s">
        <v>33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9.6999999999999993</v>
      </c>
      <c r="M24">
        <v>9.6999999999999993</v>
      </c>
      <c r="N24" t="s">
        <v>17</v>
      </c>
    </row>
    <row r="25" spans="1:14" x14ac:dyDescent="0.2">
      <c r="A25" t="s">
        <v>21</v>
      </c>
      <c r="B25" t="s">
        <v>11</v>
      </c>
      <c r="L25">
        <v>1263.96</v>
      </c>
      <c r="M25">
        <v>1263.96</v>
      </c>
      <c r="N25" t="s">
        <v>12</v>
      </c>
    </row>
    <row r="26" spans="1:14" x14ac:dyDescent="0.2">
      <c r="A26" t="s">
        <v>21</v>
      </c>
      <c r="B26" t="s">
        <v>13</v>
      </c>
      <c r="D26">
        <v>0</v>
      </c>
      <c r="E26">
        <v>0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>
        <v>1.1292</v>
      </c>
      <c r="M26" s="6">
        <f>L26/2.83168</f>
        <v>0.39877387275398352</v>
      </c>
      <c r="N26" t="s">
        <v>85</v>
      </c>
    </row>
  </sheetData>
  <hyperlinks>
    <hyperlink ref="F2" r:id="rId1" display="https://www.atlantagaslight.com/content/dam/southern-co-gas/agl/pdfs/agl-bill-calculators/2021-bill-calculators/december-2021/agl-tariff_effective_12-1-21_clean.docx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O22"/>
  <sheetViews>
    <sheetView workbookViewId="0">
      <selection activeCell="E16"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85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85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39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56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57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6"/>
  <sheetViews>
    <sheetView workbookViewId="0">
      <selection activeCell="D17" sqref="D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0.113535</v>
      </c>
      <c r="M3">
        <v>0.113535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7</v>
      </c>
      <c r="J4">
        <v>0</v>
      </c>
      <c r="K4">
        <v>6</v>
      </c>
      <c r="L4">
        <v>3.5999999999999999E-3</v>
      </c>
      <c r="M4">
        <v>3.5999999999999999E-3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7</v>
      </c>
      <c r="I5">
        <v>24</v>
      </c>
      <c r="J5">
        <v>0</v>
      </c>
      <c r="K5">
        <v>6</v>
      </c>
      <c r="L5">
        <v>2.2100000000000002E-2</v>
      </c>
      <c r="M5">
        <v>2.2100000000000002E-2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7</v>
      </c>
      <c r="I6">
        <v>10</v>
      </c>
      <c r="J6">
        <v>0</v>
      </c>
      <c r="K6">
        <v>5</v>
      </c>
      <c r="L6">
        <v>2.2100000000000002E-2</v>
      </c>
      <c r="M6">
        <v>2.2100000000000002E-2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5</v>
      </c>
      <c r="L7">
        <v>3.44E-2</v>
      </c>
      <c r="M7">
        <v>3.44E-2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5</v>
      </c>
      <c r="L8">
        <v>2.2100000000000002E-2</v>
      </c>
      <c r="M8">
        <v>2.2100000000000002E-2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7</v>
      </c>
      <c r="I9">
        <v>24</v>
      </c>
      <c r="J9">
        <v>6</v>
      </c>
      <c r="K9">
        <v>6</v>
      </c>
      <c r="L9">
        <v>2.2100000000000002E-2</v>
      </c>
      <c r="M9">
        <v>2.2100000000000002E-2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10</v>
      </c>
      <c r="G10">
        <v>12</v>
      </c>
      <c r="H10">
        <v>7</v>
      </c>
      <c r="I10">
        <v>24</v>
      </c>
      <c r="J10">
        <v>0</v>
      </c>
      <c r="K10">
        <v>6</v>
      </c>
      <c r="L10">
        <v>2.2100000000000002E-2</v>
      </c>
      <c r="M10">
        <v>2.2100000000000002E-2</v>
      </c>
      <c r="N10" t="s">
        <v>14</v>
      </c>
    </row>
    <row r="11" spans="1:15" x14ac:dyDescent="0.2">
      <c r="A11" t="s">
        <v>10</v>
      </c>
      <c r="B11" t="s">
        <v>15</v>
      </c>
      <c r="C11" t="s">
        <v>20</v>
      </c>
      <c r="D11">
        <v>0</v>
      </c>
      <c r="E11">
        <v>0</v>
      </c>
      <c r="F11">
        <v>1</v>
      </c>
      <c r="G11">
        <v>12</v>
      </c>
      <c r="H11">
        <v>0</v>
      </c>
      <c r="I11">
        <v>7</v>
      </c>
      <c r="J11">
        <v>0</v>
      </c>
      <c r="K11">
        <v>6</v>
      </c>
      <c r="L11">
        <v>0</v>
      </c>
      <c r="M11">
        <v>0</v>
      </c>
      <c r="N11" t="s">
        <v>17</v>
      </c>
    </row>
    <row r="12" spans="1:15" x14ac:dyDescent="0.2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1</v>
      </c>
      <c r="G12">
        <v>5</v>
      </c>
      <c r="H12">
        <v>7</v>
      </c>
      <c r="I12">
        <v>24</v>
      </c>
      <c r="J12">
        <v>0</v>
      </c>
      <c r="K12">
        <v>6</v>
      </c>
      <c r="L12">
        <v>6.28</v>
      </c>
      <c r="M12">
        <v>6.28</v>
      </c>
      <c r="N12" t="s">
        <v>17</v>
      </c>
    </row>
    <row r="13" spans="1:15" x14ac:dyDescent="0.2">
      <c r="A13" t="s">
        <v>10</v>
      </c>
      <c r="B13" t="s">
        <v>15</v>
      </c>
      <c r="C13" t="s">
        <v>26</v>
      </c>
      <c r="D13">
        <v>0</v>
      </c>
      <c r="E13">
        <v>0</v>
      </c>
      <c r="F13">
        <v>6</v>
      </c>
      <c r="G13">
        <v>9</v>
      </c>
      <c r="H13">
        <v>7</v>
      </c>
      <c r="I13">
        <v>10</v>
      </c>
      <c r="J13">
        <v>0</v>
      </c>
      <c r="K13">
        <v>5</v>
      </c>
      <c r="L13">
        <v>6.28</v>
      </c>
      <c r="M13">
        <v>6.28</v>
      </c>
      <c r="N13" t="s">
        <v>17</v>
      </c>
    </row>
    <row r="14" spans="1:15" x14ac:dyDescent="0.2">
      <c r="A14" t="s">
        <v>10</v>
      </c>
      <c r="B14" t="s">
        <v>15</v>
      </c>
      <c r="C14" t="s">
        <v>27</v>
      </c>
      <c r="D14">
        <v>0</v>
      </c>
      <c r="E14">
        <v>0</v>
      </c>
      <c r="F14">
        <v>6</v>
      </c>
      <c r="G14">
        <v>9</v>
      </c>
      <c r="H14">
        <v>10</v>
      </c>
      <c r="I14">
        <v>22</v>
      </c>
      <c r="J14">
        <v>0</v>
      </c>
      <c r="K14">
        <v>5</v>
      </c>
      <c r="L14">
        <v>25.63</v>
      </c>
      <c r="M14">
        <v>25.63</v>
      </c>
      <c r="N14" t="s">
        <v>17</v>
      </c>
    </row>
    <row r="15" spans="1:15" x14ac:dyDescent="0.2">
      <c r="A15" t="s">
        <v>10</v>
      </c>
      <c r="B15" t="s">
        <v>15</v>
      </c>
      <c r="C15" t="s">
        <v>26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5</v>
      </c>
      <c r="L15">
        <v>6.28</v>
      </c>
      <c r="M15">
        <v>6.28</v>
      </c>
      <c r="N15" t="s">
        <v>17</v>
      </c>
    </row>
    <row r="16" spans="1:15" x14ac:dyDescent="0.2">
      <c r="A16" t="s">
        <v>10</v>
      </c>
      <c r="B16" t="s">
        <v>15</v>
      </c>
      <c r="C16" t="s">
        <v>28</v>
      </c>
      <c r="D16">
        <v>0</v>
      </c>
      <c r="E16">
        <v>0</v>
      </c>
      <c r="F16">
        <v>1</v>
      </c>
      <c r="G16">
        <v>5</v>
      </c>
      <c r="H16">
        <v>7</v>
      </c>
      <c r="I16">
        <v>24</v>
      </c>
      <c r="J16">
        <v>0</v>
      </c>
      <c r="K16">
        <v>6</v>
      </c>
      <c r="L16">
        <v>6.28</v>
      </c>
      <c r="M16">
        <v>6.28</v>
      </c>
      <c r="N16" t="s">
        <v>17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O54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  <c r="O3" t="s">
        <v>92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</row>
    <row r="51" spans="1:14" x14ac:dyDescent="0.2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4" x14ac:dyDescent="0.2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4" x14ac:dyDescent="0.2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4" x14ac:dyDescent="0.2">
      <c r="A54" t="s">
        <v>10</v>
      </c>
      <c r="B54" t="s">
        <v>15</v>
      </c>
      <c r="C54" t="s">
        <v>33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O50"/>
  <sheetViews>
    <sheetView workbookViewId="0">
      <selection activeCell="N2" sqref="N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2000+350</f>
        <v>2350</v>
      </c>
      <c r="M2">
        <f>2000+350</f>
        <v>2350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0.06514+0.01679</f>
        <v>8.1930000000000003E-2</v>
      </c>
      <c r="M3">
        <f>0.06514+0.01679</f>
        <v>8.1930000000000003E-2</v>
      </c>
      <c r="N3" t="s">
        <v>14</v>
      </c>
      <c r="O3" t="s">
        <v>92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0.07648+0.01679</f>
        <v>9.3270000000000006E-2</v>
      </c>
      <c r="M4">
        <f>0.07648+0.01679</f>
        <v>9.3270000000000006E-2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0.06514+0.01679</f>
        <v>8.1930000000000003E-2</v>
      </c>
      <c r="M5">
        <f>0.06514+0.01679</f>
        <v>8.1930000000000003E-2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0.06514+0.01679</f>
        <v>8.1930000000000003E-2</v>
      </c>
      <c r="M6">
        <f>0.06514+0.01679</f>
        <v>8.1930000000000003E-2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4</v>
      </c>
      <c r="J7">
        <v>0</v>
      </c>
      <c r="K7">
        <v>4</v>
      </c>
      <c r="L7">
        <f>0.06514+0.0159</f>
        <v>8.1040000000000001E-2</v>
      </c>
      <c r="M7">
        <f>0.06514+0.0159</f>
        <v>8.1040000000000001E-2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4</v>
      </c>
      <c r="I8">
        <v>10</v>
      </c>
      <c r="J8">
        <v>0</v>
      </c>
      <c r="K8">
        <v>4</v>
      </c>
      <c r="L8">
        <f>0.07648+0.0159</f>
        <v>9.2380000000000004E-2</v>
      </c>
      <c r="M8">
        <f>0.07648+0.0159</f>
        <v>9.2380000000000004E-2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10</v>
      </c>
      <c r="I9">
        <v>24</v>
      </c>
      <c r="J9">
        <v>0</v>
      </c>
      <c r="K9">
        <v>4</v>
      </c>
      <c r="L9">
        <f>0.06514+0.0159</f>
        <v>8.1040000000000001E-2</v>
      </c>
      <c r="M9">
        <f>0.06514+0.0159</f>
        <v>8.1040000000000001E-2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0.06514+0.0159</f>
        <v>8.1040000000000001E-2</v>
      </c>
      <c r="M10">
        <f>0.06514+0.0159</f>
        <v>8.1040000000000001E-2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4</v>
      </c>
      <c r="J11">
        <v>0</v>
      </c>
      <c r="K11">
        <v>4</v>
      </c>
      <c r="L11">
        <f>0.06514+0.01664</f>
        <v>8.1780000000000005E-2</v>
      </c>
      <c r="M11">
        <f>0.06514+0.01664</f>
        <v>8.1780000000000005E-2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4</v>
      </c>
      <c r="I12">
        <v>10</v>
      </c>
      <c r="J12">
        <v>0</v>
      </c>
      <c r="K12">
        <v>4</v>
      </c>
      <c r="L12">
        <f>0.07648+0.01664</f>
        <v>9.3120000000000008E-2</v>
      </c>
      <c r="M12">
        <f>0.07648+0.01664</f>
        <v>9.3120000000000008E-2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10</v>
      </c>
      <c r="I13">
        <v>24</v>
      </c>
      <c r="J13">
        <v>0</v>
      </c>
      <c r="K13">
        <v>4</v>
      </c>
      <c r="L13">
        <f>0.06514+0.01664</f>
        <v>8.1780000000000005E-2</v>
      </c>
      <c r="M13">
        <f>0.06514+0.01664</f>
        <v>8.1780000000000005E-2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0.06514+0.01664</f>
        <v>8.1780000000000005E-2</v>
      </c>
      <c r="M14">
        <f>0.06514+0.01664</f>
        <v>8.1780000000000005E-2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6</v>
      </c>
      <c r="L15">
        <f>0.0626+0.02167</f>
        <v>8.4269999999999998E-2</v>
      </c>
      <c r="M15">
        <f>0.0626+0.02167</f>
        <v>8.4269999999999998E-2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0</v>
      </c>
      <c r="I16">
        <v>24</v>
      </c>
      <c r="J16">
        <v>0</v>
      </c>
      <c r="K16">
        <v>6</v>
      </c>
      <c r="L16">
        <f>0.0626+0.01837</f>
        <v>8.097E-2</v>
      </c>
      <c r="M16">
        <f>0.0626+0.01837</f>
        <v>8.097E-2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13</v>
      </c>
      <c r="J17">
        <v>0</v>
      </c>
      <c r="K17">
        <v>4</v>
      </c>
      <c r="L17">
        <f>0.06292+0.01845</f>
        <v>8.1369999999999998E-2</v>
      </c>
      <c r="M17">
        <v>6.2920000000000004E-2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13</v>
      </c>
      <c r="I18">
        <v>19</v>
      </c>
      <c r="J18">
        <v>0</v>
      </c>
      <c r="K18">
        <v>4</v>
      </c>
      <c r="L18">
        <f>0.08783+0.01845</f>
        <v>0.10628000000000001</v>
      </c>
      <c r="M18">
        <v>8.7830000000000005E-2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20</v>
      </c>
      <c r="I19">
        <v>24</v>
      </c>
      <c r="J19">
        <v>0</v>
      </c>
      <c r="K19">
        <v>4</v>
      </c>
      <c r="L19">
        <f>0.06292+0.01845</f>
        <v>8.1369999999999998E-2</v>
      </c>
      <c r="M19">
        <v>6.2920000000000004E-2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0</v>
      </c>
      <c r="I20">
        <v>24</v>
      </c>
      <c r="J20">
        <v>5</v>
      </c>
      <c r="K20">
        <v>6</v>
      </c>
      <c r="L20">
        <f>0.06292+0.01845</f>
        <v>8.1369999999999998E-2</v>
      </c>
      <c r="M20">
        <v>6.2920000000000004E-2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0.06292+0.02024</f>
        <v>8.3160000000000012E-2</v>
      </c>
      <c r="M21">
        <v>6.2920000000000004E-2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0.08783+0.02024</f>
        <v>0.10807</v>
      </c>
      <c r="M22">
        <v>8.7830000000000005E-2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0.06292+0.02024</f>
        <v>8.3160000000000012E-2</v>
      </c>
      <c r="M23">
        <v>6.2920000000000004E-2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7</v>
      </c>
      <c r="H24">
        <v>0</v>
      </c>
      <c r="I24">
        <v>24</v>
      </c>
      <c r="J24">
        <v>5</v>
      </c>
      <c r="K24">
        <v>6</v>
      </c>
      <c r="L24">
        <f>0.06292+0.02024</f>
        <v>8.3160000000000012E-2</v>
      </c>
      <c r="M24">
        <v>6.2920000000000004E-2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13</v>
      </c>
      <c r="J25">
        <v>0</v>
      </c>
      <c r="K25">
        <v>4</v>
      </c>
      <c r="L25">
        <f>0.06292+0.01995</f>
        <v>8.2869999999999999E-2</v>
      </c>
      <c r="M25">
        <v>6.2920000000000004E-2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13</v>
      </c>
      <c r="I26">
        <v>19</v>
      </c>
      <c r="J26">
        <v>0</v>
      </c>
      <c r="K26">
        <v>4</v>
      </c>
      <c r="L26">
        <f>0.08783+0.01995</f>
        <v>0.10778</v>
      </c>
      <c r="M26">
        <v>8.7830000000000005E-2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20</v>
      </c>
      <c r="I27">
        <v>24</v>
      </c>
      <c r="J27">
        <v>0</v>
      </c>
      <c r="K27">
        <v>4</v>
      </c>
      <c r="L27">
        <f>0.06292+0.01995</f>
        <v>8.2869999999999999E-2</v>
      </c>
      <c r="M27">
        <v>6.2920000000000004E-2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8</v>
      </c>
      <c r="G28">
        <v>8</v>
      </c>
      <c r="H28">
        <v>0</v>
      </c>
      <c r="I28">
        <v>24</v>
      </c>
      <c r="J28">
        <v>5</v>
      </c>
      <c r="K28">
        <v>6</v>
      </c>
      <c r="L28">
        <f>0.06292+0.01995</f>
        <v>8.2869999999999999E-2</v>
      </c>
      <c r="M28">
        <v>6.2920000000000004E-2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0</v>
      </c>
      <c r="I29">
        <v>13</v>
      </c>
      <c r="J29">
        <v>0</v>
      </c>
      <c r="K29">
        <v>4</v>
      </c>
      <c r="L29">
        <f>0.06292+0.01918</f>
        <v>8.2100000000000006E-2</v>
      </c>
      <c r="M29">
        <v>6.2920000000000004E-2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13</v>
      </c>
      <c r="I30">
        <v>19</v>
      </c>
      <c r="J30">
        <v>0</v>
      </c>
      <c r="K30">
        <v>4</v>
      </c>
      <c r="L30">
        <f>0.08783+0.01918</f>
        <v>0.10701000000000001</v>
      </c>
      <c r="M30">
        <v>8.7830000000000005E-2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20</v>
      </c>
      <c r="I31">
        <v>24</v>
      </c>
      <c r="J31">
        <v>0</v>
      </c>
      <c r="K31">
        <v>4</v>
      </c>
      <c r="L31">
        <f>0.06292+0.01918</f>
        <v>8.2100000000000006E-2</v>
      </c>
      <c r="M31">
        <v>6.2920000000000004E-2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0</v>
      </c>
      <c r="I32">
        <v>24</v>
      </c>
      <c r="J32">
        <v>5</v>
      </c>
      <c r="K32">
        <v>6</v>
      </c>
      <c r="L32">
        <f>0.06292+0.01918</f>
        <v>8.2100000000000006E-2</v>
      </c>
      <c r="M32">
        <v>6.2920000000000004E-2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24</v>
      </c>
      <c r="J33">
        <v>0</v>
      </c>
      <c r="K33">
        <v>6</v>
      </c>
      <c r="L33">
        <f>0.0626+0.0002126</f>
        <v>6.2812599999999996E-2</v>
      </c>
      <c r="M33">
        <v>6.2600000000000003E-2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0</v>
      </c>
      <c r="I34">
        <v>24</v>
      </c>
      <c r="J34">
        <v>0</v>
      </c>
      <c r="K34">
        <v>6</v>
      </c>
      <c r="L34">
        <f>0.0626+0.02334</f>
        <v>8.5940000000000003E-2</v>
      </c>
      <c r="M34">
        <v>6.2600000000000003E-2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12</v>
      </c>
      <c r="G35">
        <v>12</v>
      </c>
      <c r="H35">
        <v>0</v>
      </c>
      <c r="I35">
        <v>4</v>
      </c>
      <c r="J35">
        <v>0</v>
      </c>
      <c r="K35">
        <v>4</v>
      </c>
      <c r="L35">
        <f>0.06514+0.02511</f>
        <v>9.0249999999999997E-2</v>
      </c>
      <c r="M35">
        <v>6.5140000000000003E-2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4</v>
      </c>
      <c r="I36">
        <v>10</v>
      </c>
      <c r="J36">
        <v>0</v>
      </c>
      <c r="K36">
        <v>4</v>
      </c>
      <c r="L36">
        <f>0.07648+0.02511</f>
        <v>0.10159000000000001</v>
      </c>
      <c r="M36">
        <v>7.6480000000000006E-2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10</v>
      </c>
      <c r="I37">
        <v>24</v>
      </c>
      <c r="J37">
        <v>0</v>
      </c>
      <c r="K37">
        <v>4</v>
      </c>
      <c r="L37">
        <f>0.06514+0.02511</f>
        <v>9.0249999999999997E-2</v>
      </c>
      <c r="M37">
        <v>6.5140000000000003E-2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0</v>
      </c>
      <c r="I38">
        <v>24</v>
      </c>
      <c r="J38">
        <v>5</v>
      </c>
      <c r="K38">
        <v>6</v>
      </c>
      <c r="L38">
        <f>0.06514+0.02511</f>
        <v>9.0249999999999997E-2</v>
      </c>
      <c r="M38">
        <v>6.5140000000000003E-2</v>
      </c>
      <c r="N38" t="s">
        <v>14</v>
      </c>
    </row>
    <row r="39" spans="1:14" x14ac:dyDescent="0.2">
      <c r="A39" t="s">
        <v>10</v>
      </c>
      <c r="B39" t="s">
        <v>15</v>
      </c>
      <c r="C39" t="s">
        <v>16</v>
      </c>
      <c r="D39">
        <v>0</v>
      </c>
      <c r="E39">
        <v>0</v>
      </c>
      <c r="F39">
        <v>1</v>
      </c>
      <c r="G39">
        <v>3</v>
      </c>
      <c r="H39">
        <v>4</v>
      </c>
      <c r="I39">
        <v>10</v>
      </c>
      <c r="J39">
        <v>0</v>
      </c>
      <c r="K39">
        <v>4</v>
      </c>
      <c r="L39">
        <v>9.9</v>
      </c>
      <c r="M39">
        <v>9.9</v>
      </c>
      <c r="N39" t="s">
        <v>17</v>
      </c>
    </row>
    <row r="40" spans="1:14" x14ac:dyDescent="0.2">
      <c r="A40" t="s">
        <v>10</v>
      </c>
      <c r="B40" t="s">
        <v>15</v>
      </c>
      <c r="C40" t="s">
        <v>59</v>
      </c>
      <c r="D40">
        <v>0</v>
      </c>
      <c r="E40">
        <v>0</v>
      </c>
      <c r="F40">
        <v>4</v>
      </c>
      <c r="G40">
        <v>5</v>
      </c>
      <c r="H40">
        <v>13</v>
      </c>
      <c r="I40">
        <v>19</v>
      </c>
      <c r="J40">
        <v>0</v>
      </c>
      <c r="K40">
        <v>4</v>
      </c>
      <c r="L40">
        <v>9.9</v>
      </c>
      <c r="M40">
        <v>9.9</v>
      </c>
      <c r="N40" t="s">
        <v>17</v>
      </c>
    </row>
    <row r="41" spans="1:14" x14ac:dyDescent="0.2">
      <c r="A41" t="s">
        <v>10</v>
      </c>
      <c r="B41" t="s">
        <v>15</v>
      </c>
      <c r="C41" t="s">
        <v>18</v>
      </c>
      <c r="D41">
        <v>0</v>
      </c>
      <c r="E41">
        <v>0</v>
      </c>
      <c r="F41">
        <v>6</v>
      </c>
      <c r="G41">
        <v>9</v>
      </c>
      <c r="H41">
        <v>13</v>
      </c>
      <c r="I41">
        <v>19</v>
      </c>
      <c r="J41">
        <v>0</v>
      </c>
      <c r="K41">
        <v>4</v>
      </c>
      <c r="L41">
        <v>10.87</v>
      </c>
      <c r="M41">
        <v>10.87</v>
      </c>
      <c r="N41" t="s">
        <v>17</v>
      </c>
    </row>
    <row r="42" spans="1:14" x14ac:dyDescent="0.2">
      <c r="A42" t="s">
        <v>10</v>
      </c>
      <c r="B42" t="s">
        <v>15</v>
      </c>
      <c r="C42" t="s">
        <v>59</v>
      </c>
      <c r="D42">
        <v>0</v>
      </c>
      <c r="E42">
        <v>0</v>
      </c>
      <c r="F42">
        <v>10</v>
      </c>
      <c r="G42">
        <v>11</v>
      </c>
      <c r="H42">
        <v>13</v>
      </c>
      <c r="I42">
        <v>19</v>
      </c>
      <c r="J42">
        <v>0</v>
      </c>
      <c r="K42">
        <v>4</v>
      </c>
      <c r="L42">
        <v>9.9</v>
      </c>
      <c r="M42">
        <v>9.9</v>
      </c>
      <c r="N42" t="s">
        <v>17</v>
      </c>
    </row>
    <row r="43" spans="1:14" x14ac:dyDescent="0.2">
      <c r="A43" t="s">
        <v>10</v>
      </c>
      <c r="B43" t="s">
        <v>15</v>
      </c>
      <c r="C43" t="s">
        <v>19</v>
      </c>
      <c r="D43">
        <v>0</v>
      </c>
      <c r="E43">
        <v>0</v>
      </c>
      <c r="F43">
        <v>12</v>
      </c>
      <c r="G43">
        <v>12</v>
      </c>
      <c r="H43">
        <v>4</v>
      </c>
      <c r="I43">
        <v>10</v>
      </c>
      <c r="J43">
        <v>0</v>
      </c>
      <c r="K43">
        <v>4</v>
      </c>
      <c r="L43">
        <v>9.9</v>
      </c>
      <c r="M43">
        <v>9.9</v>
      </c>
      <c r="N43" t="s">
        <v>17</v>
      </c>
    </row>
    <row r="44" spans="1:14" x14ac:dyDescent="0.2">
      <c r="A44" t="s">
        <v>10</v>
      </c>
      <c r="B44" t="s">
        <v>15</v>
      </c>
      <c r="C44" t="s">
        <v>33</v>
      </c>
      <c r="D44">
        <v>0</v>
      </c>
      <c r="E44">
        <v>0</v>
      </c>
      <c r="F44">
        <v>1</v>
      </c>
      <c r="G44">
        <v>12</v>
      </c>
      <c r="H44">
        <v>0</v>
      </c>
      <c r="I44">
        <v>24</v>
      </c>
      <c r="J44">
        <v>0</v>
      </c>
      <c r="K44">
        <v>6</v>
      </c>
      <c r="L44">
        <v>5.38</v>
      </c>
      <c r="M44">
        <v>5.38</v>
      </c>
      <c r="N44" t="s">
        <v>17</v>
      </c>
    </row>
    <row r="45" spans="1:14" x14ac:dyDescent="0.2">
      <c r="A45" t="s">
        <v>21</v>
      </c>
      <c r="B45" t="s">
        <v>11</v>
      </c>
      <c r="L45">
        <v>800</v>
      </c>
      <c r="M45">
        <v>800</v>
      </c>
      <c r="N45" t="s">
        <v>12</v>
      </c>
    </row>
    <row r="46" spans="1:14" x14ac:dyDescent="0.2">
      <c r="A46" t="s">
        <v>21</v>
      </c>
      <c r="B46" t="s">
        <v>15</v>
      </c>
      <c r="C46" t="s">
        <v>33</v>
      </c>
      <c r="D46">
        <v>0</v>
      </c>
      <c r="E46">
        <v>0</v>
      </c>
      <c r="F46">
        <v>1</v>
      </c>
      <c r="G46">
        <v>12</v>
      </c>
      <c r="H46">
        <v>0</v>
      </c>
      <c r="I46">
        <v>24</v>
      </c>
      <c r="J46">
        <v>0</v>
      </c>
      <c r="K46">
        <v>6</v>
      </c>
      <c r="L46">
        <v>0.8</v>
      </c>
      <c r="M46" s="9">
        <f>L46/2.83168</f>
        <v>0.28251779862131315</v>
      </c>
      <c r="N46" t="s">
        <v>86</v>
      </c>
    </row>
    <row r="47" spans="1:14" x14ac:dyDescent="0.2">
      <c r="A47" t="s">
        <v>21</v>
      </c>
      <c r="B47" t="s">
        <v>13</v>
      </c>
      <c r="D47">
        <v>0</v>
      </c>
      <c r="E47">
        <v>0</v>
      </c>
      <c r="F47">
        <v>1</v>
      </c>
      <c r="G47">
        <v>12</v>
      </c>
      <c r="H47">
        <v>0</v>
      </c>
      <c r="I47">
        <v>24</v>
      </c>
      <c r="J47">
        <v>0</v>
      </c>
      <c r="K47">
        <v>6</v>
      </c>
      <c r="L47">
        <v>0.187</v>
      </c>
      <c r="M47" s="9">
        <f>L47/2.83168</f>
        <v>6.6038535427731943E-2</v>
      </c>
      <c r="N47" t="s">
        <v>85</v>
      </c>
    </row>
    <row r="48" spans="1:14" x14ac:dyDescent="0.2">
      <c r="A48" t="s">
        <v>21</v>
      </c>
      <c r="B48" t="s">
        <v>13</v>
      </c>
      <c r="D48">
        <v>15000</v>
      </c>
      <c r="E48">
        <f>D48*2.83168</f>
        <v>42475.199999999997</v>
      </c>
      <c r="F48">
        <v>1</v>
      </c>
      <c r="G48">
        <v>12</v>
      </c>
      <c r="H48">
        <v>0</v>
      </c>
      <c r="I48">
        <v>24</v>
      </c>
      <c r="J48">
        <v>0</v>
      </c>
      <c r="K48">
        <v>6</v>
      </c>
      <c r="L48">
        <v>0.16800000000000001</v>
      </c>
      <c r="M48" s="9">
        <f>L48/2.83168</f>
        <v>5.9328737710475761E-2</v>
      </c>
      <c r="N48" t="s">
        <v>85</v>
      </c>
    </row>
    <row r="49" spans="1:14" x14ac:dyDescent="0.2">
      <c r="A49" t="s">
        <v>21</v>
      </c>
      <c r="B49" t="s">
        <v>13</v>
      </c>
      <c r="D49">
        <v>40000</v>
      </c>
      <c r="E49">
        <f>D49*2.83168</f>
        <v>113267.2</v>
      </c>
      <c r="F49">
        <v>1</v>
      </c>
      <c r="G49">
        <v>12</v>
      </c>
      <c r="H49">
        <v>0</v>
      </c>
      <c r="I49">
        <v>24</v>
      </c>
      <c r="J49">
        <v>0</v>
      </c>
      <c r="K49">
        <v>6</v>
      </c>
      <c r="L49">
        <v>0.14000000000000001</v>
      </c>
      <c r="M49" s="9">
        <f>L49/2.83168</f>
        <v>4.9440614758729802E-2</v>
      </c>
      <c r="N49" t="s">
        <v>85</v>
      </c>
    </row>
    <row r="50" spans="1:14" x14ac:dyDescent="0.2">
      <c r="A50" t="s">
        <v>21</v>
      </c>
      <c r="B50" t="s">
        <v>13</v>
      </c>
      <c r="D50">
        <v>90000</v>
      </c>
      <c r="E50">
        <f>D50*2.83168</f>
        <v>254851.20000000001</v>
      </c>
      <c r="F50">
        <v>1</v>
      </c>
      <c r="G50">
        <v>12</v>
      </c>
      <c r="H50">
        <v>0</v>
      </c>
      <c r="I50">
        <v>24</v>
      </c>
      <c r="J50">
        <v>0</v>
      </c>
      <c r="K50">
        <v>6</v>
      </c>
      <c r="L50">
        <v>0.08</v>
      </c>
      <c r="M50" s="9">
        <f>L50/2.83168</f>
        <v>2.8251779862131315E-2</v>
      </c>
      <c r="N50" t="s">
        <v>85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2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678.31</v>
      </c>
      <c r="M2">
        <v>678.31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6.7809999999999995E-2</v>
      </c>
      <c r="M3">
        <v>6.7809999999999995E-2</v>
      </c>
      <c r="N3" t="s">
        <v>14</v>
      </c>
    </row>
    <row r="4" spans="1:15" x14ac:dyDescent="0.2">
      <c r="A4" t="s">
        <v>10</v>
      </c>
      <c r="B4" t="s">
        <v>13</v>
      </c>
      <c r="D4">
        <v>5000</v>
      </c>
      <c r="E4">
        <v>5000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3.6609999999999997E-2</v>
      </c>
      <c r="M4">
        <v>3.6609999999999997E-2</v>
      </c>
      <c r="N4" t="s">
        <v>14</v>
      </c>
    </row>
    <row r="5" spans="1:15" x14ac:dyDescent="0.2">
      <c r="A5" t="s">
        <v>10</v>
      </c>
      <c r="B5" t="s">
        <v>13</v>
      </c>
      <c r="D5">
        <v>15000</v>
      </c>
      <c r="E5">
        <v>15000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3.5369999999999999E-2</v>
      </c>
      <c r="M5">
        <v>3.5369999999999999E-2</v>
      </c>
      <c r="N5" t="s">
        <v>14</v>
      </c>
    </row>
    <row r="6" spans="1:15" x14ac:dyDescent="0.2">
      <c r="A6" t="s">
        <v>10</v>
      </c>
      <c r="B6" t="s">
        <v>13</v>
      </c>
      <c r="D6">
        <v>30000</v>
      </c>
      <c r="E6">
        <v>30000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3.5020000000000003E-2</v>
      </c>
      <c r="M6">
        <v>3.5020000000000003E-2</v>
      </c>
      <c r="N6" t="s">
        <v>14</v>
      </c>
    </row>
    <row r="7" spans="1:15" x14ac:dyDescent="0.2">
      <c r="A7" t="s">
        <v>10</v>
      </c>
      <c r="B7" t="s">
        <v>15</v>
      </c>
      <c r="C7" t="s">
        <v>33</v>
      </c>
      <c r="D7">
        <v>50</v>
      </c>
      <c r="E7">
        <v>50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11.45</v>
      </c>
      <c r="M7">
        <v>11.45</v>
      </c>
      <c r="N7" t="s">
        <v>17</v>
      </c>
    </row>
    <row r="8" spans="1:15" x14ac:dyDescent="0.2">
      <c r="A8" t="s">
        <v>10</v>
      </c>
      <c r="B8" t="s">
        <v>15</v>
      </c>
      <c r="C8" t="s">
        <v>33</v>
      </c>
      <c r="D8">
        <v>100</v>
      </c>
      <c r="E8">
        <v>100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10.71</v>
      </c>
      <c r="M8">
        <v>10.71</v>
      </c>
      <c r="N8" t="s">
        <v>17</v>
      </c>
    </row>
    <row r="9" spans="1:15" x14ac:dyDescent="0.2">
      <c r="A9" t="s">
        <v>10</v>
      </c>
      <c r="B9" t="s">
        <v>15</v>
      </c>
      <c r="C9" t="s">
        <v>33</v>
      </c>
      <c r="D9">
        <v>200</v>
      </c>
      <c r="E9">
        <v>200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10.27</v>
      </c>
      <c r="M9">
        <v>10.27</v>
      </c>
      <c r="N9" t="s">
        <v>17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O12"/>
  <sheetViews>
    <sheetView zoomScaleNormal="100"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  <pageSetup orientation="portrait" horizontalDpi="0" verticalDpi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O7"/>
  <sheetViews>
    <sheetView workbookViewId="0">
      <selection activeCell="K6" sqref="K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O25"/>
  <sheetViews>
    <sheetView workbookViewId="0">
      <selection activeCell="D26" sqref="D2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85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"/>
  <sheetViews>
    <sheetView zoomScaleNormal="100"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115.29</v>
      </c>
      <c r="M2">
        <v>115.29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3.1829999999999998</v>
      </c>
      <c r="M4">
        <v>3.1829999999999998</v>
      </c>
      <c r="N4" t="s">
        <v>17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284.78+4.51</f>
        <v>289.28999999999996</v>
      </c>
      <c r="M2">
        <f>284.78+4.51</f>
        <v>289.28999999999996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2.3345400000000001</v>
      </c>
      <c r="M4">
        <v>2.3345400000000001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O12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3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4200</v>
      </c>
      <c r="M2">
        <v>4200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12</v>
      </c>
      <c r="J3">
        <v>0</v>
      </c>
      <c r="K3">
        <v>4</v>
      </c>
      <c r="L3">
        <v>6.2199999999999998E-3</v>
      </c>
      <c r="M3">
        <v>6.2199999999999998E-3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12</v>
      </c>
      <c r="I4">
        <v>20</v>
      </c>
      <c r="J4">
        <v>0</v>
      </c>
      <c r="K4">
        <v>4</v>
      </c>
      <c r="L4">
        <v>2.9080000000000002E-2</v>
      </c>
      <c r="M4">
        <v>2.9080000000000002E-2</v>
      </c>
      <c r="N4" t="s">
        <v>14</v>
      </c>
      <c r="O4" t="s">
        <v>29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20</v>
      </c>
      <c r="I5">
        <v>24</v>
      </c>
      <c r="J5">
        <v>0</v>
      </c>
      <c r="K5">
        <v>4</v>
      </c>
      <c r="L5">
        <v>6.2199999999999998E-3</v>
      </c>
      <c r="M5">
        <v>6.2199999999999998E-3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v>6.2199999999999998E-3</v>
      </c>
      <c r="M6">
        <v>6.2199999999999998E-3</v>
      </c>
      <c r="N6" t="s">
        <v>14</v>
      </c>
    </row>
    <row r="7" spans="1:15" x14ac:dyDescent="0.2">
      <c r="A7" t="s">
        <v>10</v>
      </c>
      <c r="B7" t="s">
        <v>15</v>
      </c>
      <c r="C7" t="s">
        <v>23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10.5+0.55+7.53-0.51</f>
        <v>18.07</v>
      </c>
      <c r="M7">
        <f>10.5+0.55+7.53-0.51</f>
        <v>18.07</v>
      </c>
      <c r="N7" t="s">
        <v>17</v>
      </c>
      <c r="O7" t="s">
        <v>30</v>
      </c>
    </row>
    <row r="13" spans="1:15" x14ac:dyDescent="0.2">
      <c r="L13" s="1"/>
      <c r="M13" s="1"/>
      <c r="N13" s="1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O12"/>
  <sheetViews>
    <sheetView workbookViewId="0">
      <selection activeCell="D3" sqref="D3:D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10.84*30</f>
        <v>325.2</v>
      </c>
      <c r="M2">
        <f>10.84*30</f>
        <v>325.2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2.6620000000000001E-2</v>
      </c>
      <c r="M3">
        <v>2.6620000000000001E-2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4</v>
      </c>
      <c r="H4">
        <v>6</v>
      </c>
      <c r="I4">
        <v>22</v>
      </c>
      <c r="J4">
        <v>0</v>
      </c>
      <c r="K4">
        <v>4</v>
      </c>
      <c r="L4">
        <v>7.49</v>
      </c>
      <c r="M4">
        <v>7.49</v>
      </c>
      <c r="N4" t="s">
        <v>17</v>
      </c>
    </row>
    <row r="5" spans="1:15" x14ac:dyDescent="0.2">
      <c r="A5" t="s">
        <v>10</v>
      </c>
      <c r="B5" t="s">
        <v>15</v>
      </c>
      <c r="C5" t="s">
        <v>72</v>
      </c>
      <c r="D5">
        <v>0</v>
      </c>
      <c r="E5">
        <v>0</v>
      </c>
      <c r="F5">
        <v>1</v>
      </c>
      <c r="G5">
        <v>4</v>
      </c>
      <c r="H5">
        <v>6</v>
      </c>
      <c r="I5">
        <v>12</v>
      </c>
      <c r="J5">
        <v>0</v>
      </c>
      <c r="K5">
        <v>4</v>
      </c>
      <c r="L5">
        <v>9.7799999999999994</v>
      </c>
      <c r="M5">
        <v>9.7799999999999994</v>
      </c>
      <c r="N5" t="s">
        <v>17</v>
      </c>
    </row>
    <row r="6" spans="1:15" x14ac:dyDescent="0.2">
      <c r="A6" t="s">
        <v>10</v>
      </c>
      <c r="B6" t="s">
        <v>15</v>
      </c>
      <c r="C6" t="s">
        <v>45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2.4500000000000002</v>
      </c>
      <c r="M6">
        <v>2.4500000000000002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4</v>
      </c>
      <c r="L7">
        <v>7.49</v>
      </c>
      <c r="M7">
        <v>7.49</v>
      </c>
      <c r="N7" t="s">
        <v>17</v>
      </c>
    </row>
    <row r="8" spans="1:15" x14ac:dyDescent="0.2">
      <c r="A8" t="s">
        <v>10</v>
      </c>
      <c r="B8" t="s">
        <v>15</v>
      </c>
      <c r="C8" t="s">
        <v>46</v>
      </c>
      <c r="D8">
        <v>0</v>
      </c>
      <c r="E8">
        <v>0</v>
      </c>
      <c r="F8">
        <v>6</v>
      </c>
      <c r="G8">
        <v>9</v>
      </c>
      <c r="H8">
        <v>13</v>
      </c>
      <c r="I8">
        <v>19</v>
      </c>
      <c r="J8">
        <v>0</v>
      </c>
      <c r="K8">
        <v>4</v>
      </c>
      <c r="L8">
        <v>9.7799999999999994</v>
      </c>
      <c r="M8">
        <v>9.7799999999999994</v>
      </c>
      <c r="N8" t="s">
        <v>17</v>
      </c>
    </row>
    <row r="9" spans="1:15" x14ac:dyDescent="0.2">
      <c r="A9" t="s">
        <v>10</v>
      </c>
      <c r="B9" t="s">
        <v>15</v>
      </c>
      <c r="C9" t="s">
        <v>47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2.4500000000000002</v>
      </c>
      <c r="M9">
        <v>2.4500000000000002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6</v>
      </c>
      <c r="I10">
        <v>22</v>
      </c>
      <c r="J10">
        <v>0</v>
      </c>
      <c r="K10">
        <v>4</v>
      </c>
      <c r="L10">
        <v>7.49</v>
      </c>
      <c r="M10">
        <v>7.49</v>
      </c>
      <c r="N10" t="s">
        <v>17</v>
      </c>
    </row>
    <row r="11" spans="1:15" x14ac:dyDescent="0.2">
      <c r="A11" t="s">
        <v>10</v>
      </c>
      <c r="B11" t="s">
        <v>15</v>
      </c>
      <c r="C11" t="s">
        <v>73</v>
      </c>
      <c r="D11">
        <v>0</v>
      </c>
      <c r="E11">
        <v>0</v>
      </c>
      <c r="F11">
        <v>10</v>
      </c>
      <c r="G11">
        <v>12</v>
      </c>
      <c r="H11">
        <v>6</v>
      </c>
      <c r="I11">
        <v>12</v>
      </c>
      <c r="J11">
        <v>0</v>
      </c>
      <c r="K11">
        <v>4</v>
      </c>
      <c r="L11">
        <v>9.7799999999999994</v>
      </c>
      <c r="M11">
        <v>9.7799999999999994</v>
      </c>
      <c r="N11" t="s">
        <v>17</v>
      </c>
    </row>
    <row r="12" spans="1:15" x14ac:dyDescent="0.2">
      <c r="A12" t="s">
        <v>10</v>
      </c>
      <c r="B12" t="s">
        <v>15</v>
      </c>
      <c r="C12" t="s">
        <v>48</v>
      </c>
      <c r="D12">
        <v>0</v>
      </c>
      <c r="E12">
        <v>0</v>
      </c>
      <c r="F12">
        <v>10</v>
      </c>
      <c r="G12">
        <v>12</v>
      </c>
      <c r="H12">
        <v>0</v>
      </c>
      <c r="I12">
        <v>24</v>
      </c>
      <c r="J12">
        <v>0</v>
      </c>
      <c r="K12">
        <v>6</v>
      </c>
      <c r="L12">
        <v>2.4500000000000002</v>
      </c>
      <c r="M12">
        <v>2.4500000000000002</v>
      </c>
      <c r="N12" t="s">
        <v>17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O12"/>
  <sheetViews>
    <sheetView workbookViewId="0">
      <selection activeCell="L7" sqref="L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 *30</f>
        <v>330</v>
      </c>
      <c r="M2">
        <f>11 *30</f>
        <v>330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v>6.0199999999999997E-2</v>
      </c>
      <c r="M3">
        <v>6.0199999999999997E-2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v>9.1300000000000006E-2</v>
      </c>
      <c r="M4">
        <v>9.1300000000000006E-2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v>6.0199999999999997E-2</v>
      </c>
      <c r="M5">
        <v>6.0199999999999997E-2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v>6.0199999999999997E-2</v>
      </c>
      <c r="M6">
        <v>6.0199999999999997E-2</v>
      </c>
      <c r="N6" t="s">
        <v>14</v>
      </c>
    </row>
    <row r="7" spans="1:15" x14ac:dyDescent="0.2">
      <c r="A7" t="s">
        <v>10</v>
      </c>
      <c r="B7" t="s">
        <v>15</v>
      </c>
      <c r="C7" t="s">
        <v>20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5</v>
      </c>
      <c r="L7">
        <v>0.27</v>
      </c>
      <c r="M7">
        <v>0.27</v>
      </c>
      <c r="N7" t="s">
        <v>17</v>
      </c>
    </row>
    <row r="8" spans="1:15" x14ac:dyDescent="0.2">
      <c r="A8" t="s">
        <v>10</v>
      </c>
      <c r="B8" t="s">
        <v>15</v>
      </c>
      <c r="C8" t="s">
        <v>58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v>3.85</v>
      </c>
      <c r="M8">
        <v>3.85</v>
      </c>
      <c r="N8" t="s">
        <v>17</v>
      </c>
    </row>
    <row r="9" spans="1:15" x14ac:dyDescent="0.2">
      <c r="A9" t="s">
        <v>10</v>
      </c>
      <c r="B9" t="s">
        <v>15</v>
      </c>
      <c r="C9" t="s">
        <v>20</v>
      </c>
      <c r="D9">
        <v>0</v>
      </c>
      <c r="E9">
        <v>0</v>
      </c>
      <c r="F9">
        <v>1</v>
      </c>
      <c r="G9">
        <v>12</v>
      </c>
      <c r="H9">
        <v>22</v>
      </c>
      <c r="I9">
        <v>24</v>
      </c>
      <c r="J9">
        <v>0</v>
      </c>
      <c r="K9">
        <v>5</v>
      </c>
      <c r="L9">
        <v>0.27</v>
      </c>
      <c r="M9">
        <v>0.27</v>
      </c>
      <c r="N9" t="s">
        <v>17</v>
      </c>
    </row>
    <row r="10" spans="1:15" x14ac:dyDescent="0.2">
      <c r="A10" t="s">
        <v>10</v>
      </c>
      <c r="B10" t="s">
        <v>15</v>
      </c>
      <c r="C10" t="s">
        <v>20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6</v>
      </c>
      <c r="K10">
        <v>6</v>
      </c>
      <c r="L10">
        <v>0.27</v>
      </c>
      <c r="M10">
        <v>0.27</v>
      </c>
      <c r="N10" t="s">
        <v>17</v>
      </c>
    </row>
    <row r="11" spans="1:15" x14ac:dyDescent="0.2">
      <c r="A11" t="s">
        <v>21</v>
      </c>
      <c r="B11" t="s">
        <v>11</v>
      </c>
      <c r="L11">
        <v>33.840000000000003</v>
      </c>
      <c r="M11">
        <v>33.840000000000003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0.91727999999999998</v>
      </c>
      <c r="M12" s="7">
        <f>L12/2.83168</f>
        <v>0.32393490789919765</v>
      </c>
      <c r="N12" t="s">
        <v>85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O1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10</v>
      </c>
      <c r="J3">
        <v>0</v>
      </c>
      <c r="K3">
        <v>4</v>
      </c>
      <c r="L3">
        <f>0.03-0.0018</f>
        <v>2.8199999999999999E-2</v>
      </c>
      <c r="M3">
        <f>0.03-0.0018</f>
        <v>2.8199999999999999E-2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10</v>
      </c>
      <c r="I4">
        <v>22</v>
      </c>
      <c r="J4">
        <v>0</v>
      </c>
      <c r="K4">
        <v>4</v>
      </c>
      <c r="L4">
        <f>0.03+0.0029</f>
        <v>3.2899999999999999E-2</v>
      </c>
      <c r="M4">
        <f>0.03+0.0029</f>
        <v>3.2899999999999999E-2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0.03-0.0018</f>
        <v>2.8199999999999999E-2</v>
      </c>
      <c r="M5">
        <f>0.03-0.0018</f>
        <v>2.8199999999999999E-2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0.03-0.0018</f>
        <v>2.8199999999999999E-2</v>
      </c>
      <c r="M6">
        <f>0.03-0.0018</f>
        <v>2.8199999999999999E-2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0.0328-0.0035</f>
        <v>2.9300000000000003E-2</v>
      </c>
      <c r="M7">
        <f>0.0328-0.0035</f>
        <v>2.9300000000000003E-2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>0.0328-0.0035</f>
        <v>2.9300000000000003E-2</v>
      </c>
      <c r="M8">
        <f>0.0328-0.0035</f>
        <v>2.9300000000000003E-2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>0.0328+0.0064</f>
        <v>3.9200000000000006E-2</v>
      </c>
      <c r="M9">
        <f>0.0328+0.0064</f>
        <v>3.9200000000000006E-2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>0.0328-0.0035</f>
        <v>2.9300000000000003E-2</v>
      </c>
      <c r="M10">
        <f>0.0328-0.0035</f>
        <v>2.9300000000000003E-2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10</v>
      </c>
      <c r="J11">
        <v>0</v>
      </c>
      <c r="K11">
        <v>4</v>
      </c>
      <c r="L11">
        <f>0.03-0.0018</f>
        <v>2.8199999999999999E-2</v>
      </c>
      <c r="M11">
        <f>0.03-0.0018</f>
        <v>2.8199999999999999E-2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10</v>
      </c>
      <c r="I12">
        <v>22</v>
      </c>
      <c r="J12">
        <v>0</v>
      </c>
      <c r="K12">
        <v>4</v>
      </c>
      <c r="L12">
        <f>0.03+0.0029</f>
        <v>3.2899999999999999E-2</v>
      </c>
      <c r="M12">
        <f>0.03+0.0029</f>
        <v>3.2899999999999999E-2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0.03-0.0018</f>
        <v>2.8199999999999999E-2</v>
      </c>
      <c r="M13">
        <f>0.03-0.0018</f>
        <v>2.8199999999999999E-2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0.03-0.0018</f>
        <v>2.8199999999999999E-2</v>
      </c>
      <c r="M14">
        <f>0.03-0.0018</f>
        <v>2.8199999999999999E-2</v>
      </c>
      <c r="N14" t="s">
        <v>14</v>
      </c>
    </row>
    <row r="15" spans="1:15" x14ac:dyDescent="0.2">
      <c r="A15" t="s">
        <v>10</v>
      </c>
      <c r="B15" t="s">
        <v>15</v>
      </c>
      <c r="C15" t="s">
        <v>74</v>
      </c>
      <c r="D15">
        <v>0</v>
      </c>
      <c r="E15">
        <v>0</v>
      </c>
      <c r="F15">
        <v>1</v>
      </c>
      <c r="G15">
        <v>5</v>
      </c>
      <c r="H15">
        <v>10</v>
      </c>
      <c r="I15">
        <v>22</v>
      </c>
      <c r="J15">
        <v>0</v>
      </c>
      <c r="K15">
        <v>6</v>
      </c>
      <c r="L15">
        <v>8.58</v>
      </c>
      <c r="M15">
        <v>8.58</v>
      </c>
      <c r="N15" t="s">
        <v>17</v>
      </c>
    </row>
    <row r="16" spans="1:15" x14ac:dyDescent="0.2">
      <c r="A16" t="s">
        <v>10</v>
      </c>
      <c r="B16" t="s">
        <v>15</v>
      </c>
      <c r="C16" t="s">
        <v>18</v>
      </c>
      <c r="D16">
        <v>0</v>
      </c>
      <c r="E16">
        <v>0</v>
      </c>
      <c r="F16">
        <v>6</v>
      </c>
      <c r="G16">
        <v>9</v>
      </c>
      <c r="H16">
        <v>10</v>
      </c>
      <c r="I16">
        <v>22</v>
      </c>
      <c r="J16">
        <v>0</v>
      </c>
      <c r="K16">
        <v>6</v>
      </c>
      <c r="L16">
        <v>19.27</v>
      </c>
      <c r="M16">
        <v>19.27</v>
      </c>
      <c r="N16" t="s">
        <v>17</v>
      </c>
    </row>
    <row r="17" spans="1:14" x14ac:dyDescent="0.2">
      <c r="A17" t="s">
        <v>10</v>
      </c>
      <c r="B17" t="s">
        <v>15</v>
      </c>
      <c r="C17" t="s">
        <v>19</v>
      </c>
      <c r="D17">
        <v>0</v>
      </c>
      <c r="E17">
        <v>0</v>
      </c>
      <c r="F17">
        <v>10</v>
      </c>
      <c r="G17">
        <v>12</v>
      </c>
      <c r="H17">
        <v>10</v>
      </c>
      <c r="I17">
        <v>22</v>
      </c>
      <c r="J17">
        <v>0</v>
      </c>
      <c r="K17">
        <v>6</v>
      </c>
      <c r="L17">
        <v>8.58</v>
      </c>
      <c r="M17">
        <v>8.58</v>
      </c>
      <c r="N17" t="s">
        <v>17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O1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10</v>
      </c>
      <c r="J3">
        <v>0</v>
      </c>
      <c r="K3">
        <v>4</v>
      </c>
      <c r="L3">
        <f>0.03-0.0018</f>
        <v>2.8199999999999999E-2</v>
      </c>
      <c r="M3">
        <f>0.03-0.0018</f>
        <v>2.8199999999999999E-2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10</v>
      </c>
      <c r="I4">
        <v>22</v>
      </c>
      <c r="J4">
        <v>0</v>
      </c>
      <c r="K4">
        <v>4</v>
      </c>
      <c r="L4">
        <f>0.03+0.0029</f>
        <v>3.2899999999999999E-2</v>
      </c>
      <c r="M4">
        <f>0.03+0.0029</f>
        <v>3.2899999999999999E-2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0.03-0.0018</f>
        <v>2.8199999999999999E-2</v>
      </c>
      <c r="M5">
        <f>0.03-0.0018</f>
        <v>2.8199999999999999E-2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0.03-0.0018</f>
        <v>2.8199999999999999E-2</v>
      </c>
      <c r="M6">
        <f>0.03-0.0018</f>
        <v>2.8199999999999999E-2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0.0328-0.0035</f>
        <v>2.9300000000000003E-2</v>
      </c>
      <c r="M7">
        <f>0.0328-0.0035</f>
        <v>2.9300000000000003E-2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>0.0328-0.0035</f>
        <v>2.9300000000000003E-2</v>
      </c>
      <c r="M8">
        <f>0.0328-0.0035</f>
        <v>2.9300000000000003E-2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>0.0328+0.0064</f>
        <v>3.9200000000000006E-2</v>
      </c>
      <c r="M9">
        <f>0.0328+0.0064</f>
        <v>3.9200000000000006E-2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>0.0328-0.0035</f>
        <v>2.9300000000000003E-2</v>
      </c>
      <c r="M10">
        <f>0.0328-0.0035</f>
        <v>2.9300000000000003E-2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10</v>
      </c>
      <c r="J11">
        <v>0</v>
      </c>
      <c r="K11">
        <v>4</v>
      </c>
      <c r="L11">
        <f>0.03-0.0018</f>
        <v>2.8199999999999999E-2</v>
      </c>
      <c r="M11">
        <f>0.03-0.0018</f>
        <v>2.8199999999999999E-2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10</v>
      </c>
      <c r="I12">
        <v>22</v>
      </c>
      <c r="J12">
        <v>0</v>
      </c>
      <c r="K12">
        <v>4</v>
      </c>
      <c r="L12">
        <f>0.03+0.0029</f>
        <v>3.2899999999999999E-2</v>
      </c>
      <c r="M12">
        <f>0.03+0.0029</f>
        <v>3.2899999999999999E-2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0.03-0.0018</f>
        <v>2.8199999999999999E-2</v>
      </c>
      <c r="M13">
        <f>0.03-0.0018</f>
        <v>2.8199999999999999E-2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0.03-0.0018</f>
        <v>2.8199999999999999E-2</v>
      </c>
      <c r="M14">
        <f>0.03-0.0018</f>
        <v>2.8199999999999999E-2</v>
      </c>
      <c r="N14" t="s">
        <v>14</v>
      </c>
    </row>
    <row r="15" spans="1:15" x14ac:dyDescent="0.2">
      <c r="A15" t="s">
        <v>10</v>
      </c>
      <c r="B15" t="s">
        <v>15</v>
      </c>
      <c r="C15" t="s">
        <v>74</v>
      </c>
      <c r="D15">
        <v>0</v>
      </c>
      <c r="E15">
        <v>0</v>
      </c>
      <c r="F15">
        <v>1</v>
      </c>
      <c r="G15">
        <v>5</v>
      </c>
      <c r="H15">
        <v>10</v>
      </c>
      <c r="I15">
        <v>22</v>
      </c>
      <c r="J15">
        <v>0</v>
      </c>
      <c r="K15">
        <v>6</v>
      </c>
      <c r="L15">
        <v>8.58</v>
      </c>
      <c r="M15">
        <v>8.58</v>
      </c>
      <c r="N15" t="s">
        <v>17</v>
      </c>
    </row>
    <row r="16" spans="1:15" x14ac:dyDescent="0.2">
      <c r="A16" t="s">
        <v>10</v>
      </c>
      <c r="B16" t="s">
        <v>15</v>
      </c>
      <c r="C16" t="s">
        <v>18</v>
      </c>
      <c r="D16">
        <v>0</v>
      </c>
      <c r="E16">
        <v>0</v>
      </c>
      <c r="F16">
        <v>6</v>
      </c>
      <c r="G16">
        <v>9</v>
      </c>
      <c r="H16">
        <v>10</v>
      </c>
      <c r="I16">
        <v>22</v>
      </c>
      <c r="J16">
        <v>0</v>
      </c>
      <c r="K16">
        <v>6</v>
      </c>
      <c r="L16">
        <v>19.27</v>
      </c>
      <c r="M16">
        <v>19.27</v>
      </c>
      <c r="N16" t="s">
        <v>17</v>
      </c>
    </row>
    <row r="17" spans="1:14" x14ac:dyDescent="0.2">
      <c r="A17" t="s">
        <v>10</v>
      </c>
      <c r="B17" t="s">
        <v>15</v>
      </c>
      <c r="C17" t="s">
        <v>19</v>
      </c>
      <c r="D17">
        <v>0</v>
      </c>
      <c r="E17">
        <v>0</v>
      </c>
      <c r="F17">
        <v>10</v>
      </c>
      <c r="G17">
        <v>12</v>
      </c>
      <c r="H17">
        <v>10</v>
      </c>
      <c r="I17">
        <v>22</v>
      </c>
      <c r="J17">
        <v>0</v>
      </c>
      <c r="K17">
        <v>6</v>
      </c>
      <c r="L17">
        <v>8.58</v>
      </c>
      <c r="M17">
        <v>8.58</v>
      </c>
      <c r="N17" t="s">
        <v>17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O7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120</v>
      </c>
      <c r="M2">
        <v>120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3.6204E-2</v>
      </c>
      <c r="M3">
        <v>3.6204E-2</v>
      </c>
      <c r="N3" t="s">
        <v>14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23.23</v>
      </c>
      <c r="M4">
        <v>23.23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O14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85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85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>L13/2.83168</f>
        <v>0.17092326816589445</v>
      </c>
      <c r="N13" t="s">
        <v>85</v>
      </c>
    </row>
    <row r="14" spans="1:15" x14ac:dyDescent="0.2">
      <c r="A14" t="s">
        <v>21</v>
      </c>
      <c r="B14" t="s">
        <v>13</v>
      </c>
      <c r="D14">
        <v>3000</v>
      </c>
      <c r="E14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>L14/2.83168</f>
        <v>0.11777460730025992</v>
      </c>
      <c r="N14" t="s">
        <v>85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62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O25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85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O12"/>
  <sheetViews>
    <sheetView workbookViewId="0">
      <selection sqref="A1:O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O1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13</v>
      </c>
      <c r="D2">
        <v>0</v>
      </c>
      <c r="E2">
        <v>0</v>
      </c>
      <c r="F2">
        <v>1</v>
      </c>
      <c r="G2">
        <v>5</v>
      </c>
      <c r="H2">
        <v>0</v>
      </c>
      <c r="I2">
        <v>24</v>
      </c>
      <c r="J2">
        <v>0</v>
      </c>
      <c r="K2">
        <v>6</v>
      </c>
      <c r="L2">
        <v>0</v>
      </c>
      <c r="M2">
        <v>0</v>
      </c>
      <c r="N2" t="s">
        <v>14</v>
      </c>
    </row>
    <row r="3" spans="1:15" x14ac:dyDescent="0.2">
      <c r="A3" t="s">
        <v>10</v>
      </c>
      <c r="B3" t="s">
        <v>13</v>
      </c>
      <c r="D3">
        <v>115</v>
      </c>
      <c r="E3">
        <v>115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9.1999999999999998E-3</v>
      </c>
      <c r="M3">
        <v>9.1999999999999998E-3</v>
      </c>
      <c r="N3" t="s">
        <v>14</v>
      </c>
    </row>
    <row r="4" spans="1:15" x14ac:dyDescent="0.2">
      <c r="A4" t="s">
        <v>10</v>
      </c>
      <c r="B4" t="s">
        <v>13</v>
      </c>
      <c r="D4">
        <v>305</v>
      </c>
      <c r="E4">
        <v>305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5.3E-3</v>
      </c>
      <c r="M4">
        <v>5.3E-3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10</v>
      </c>
      <c r="H5">
        <v>0</v>
      </c>
      <c r="I5">
        <v>24</v>
      </c>
      <c r="J5">
        <v>0</v>
      </c>
      <c r="K5">
        <v>6</v>
      </c>
      <c r="L5">
        <v>0</v>
      </c>
      <c r="M5">
        <v>0</v>
      </c>
      <c r="N5" t="s">
        <v>14</v>
      </c>
    </row>
    <row r="6" spans="1:15" x14ac:dyDescent="0.2">
      <c r="A6" t="s">
        <v>10</v>
      </c>
      <c r="B6" t="s">
        <v>13</v>
      </c>
      <c r="D6">
        <v>115</v>
      </c>
      <c r="E6">
        <v>115</v>
      </c>
      <c r="F6">
        <v>6</v>
      </c>
      <c r="G6">
        <v>10</v>
      </c>
      <c r="H6">
        <v>0</v>
      </c>
      <c r="I6">
        <v>24</v>
      </c>
      <c r="J6">
        <v>0</v>
      </c>
      <c r="K6">
        <v>6</v>
      </c>
      <c r="L6">
        <v>1.15E-2</v>
      </c>
      <c r="M6">
        <v>1.15E-2</v>
      </c>
      <c r="N6" t="s">
        <v>14</v>
      </c>
    </row>
    <row r="7" spans="1:15" x14ac:dyDescent="0.2">
      <c r="A7" t="s">
        <v>10</v>
      </c>
      <c r="B7" t="s">
        <v>13</v>
      </c>
      <c r="D7">
        <v>305</v>
      </c>
      <c r="E7">
        <v>305</v>
      </c>
      <c r="F7">
        <v>6</v>
      </c>
      <c r="G7">
        <v>10</v>
      </c>
      <c r="H7">
        <v>0</v>
      </c>
      <c r="I7">
        <v>24</v>
      </c>
      <c r="J7">
        <v>0</v>
      </c>
      <c r="K7">
        <v>6</v>
      </c>
      <c r="L7">
        <v>5.0000000000000001E-3</v>
      </c>
      <c r="M7">
        <v>5.0000000000000001E-3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11</v>
      </c>
      <c r="G8">
        <v>12</v>
      </c>
      <c r="H8">
        <v>0</v>
      </c>
      <c r="I8">
        <v>24</v>
      </c>
      <c r="J8">
        <v>0</v>
      </c>
      <c r="K8">
        <v>6</v>
      </c>
      <c r="L8">
        <v>0</v>
      </c>
      <c r="M8">
        <v>0</v>
      </c>
      <c r="N8" t="s">
        <v>14</v>
      </c>
    </row>
    <row r="9" spans="1:15" x14ac:dyDescent="0.2">
      <c r="A9" t="s">
        <v>10</v>
      </c>
      <c r="B9" t="s">
        <v>13</v>
      </c>
      <c r="D9">
        <v>115</v>
      </c>
      <c r="E9">
        <v>115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v>9.1999999999999998E-3</v>
      </c>
      <c r="M9">
        <v>9.1999999999999998E-3</v>
      </c>
      <c r="N9" t="s">
        <v>14</v>
      </c>
    </row>
    <row r="10" spans="1:15" x14ac:dyDescent="0.2">
      <c r="A10" t="s">
        <v>10</v>
      </c>
      <c r="B10" t="s">
        <v>13</v>
      </c>
      <c r="D10">
        <v>305</v>
      </c>
      <c r="E10">
        <v>305</v>
      </c>
      <c r="F10">
        <v>11</v>
      </c>
      <c r="G10">
        <v>12</v>
      </c>
      <c r="H10">
        <v>0</v>
      </c>
      <c r="I10">
        <v>24</v>
      </c>
      <c r="J10">
        <v>0</v>
      </c>
      <c r="K10">
        <v>6</v>
      </c>
      <c r="L10">
        <v>5.3E-3</v>
      </c>
      <c r="M10">
        <v>5.3E-3</v>
      </c>
      <c r="N10" t="s">
        <v>14</v>
      </c>
    </row>
    <row r="11" spans="1:15" x14ac:dyDescent="0.2">
      <c r="A11" t="s">
        <v>10</v>
      </c>
      <c r="B11" t="s">
        <v>15</v>
      </c>
      <c r="C11" t="s">
        <v>39</v>
      </c>
      <c r="D11">
        <v>0</v>
      </c>
      <c r="E11">
        <v>0</v>
      </c>
      <c r="F11">
        <v>1</v>
      </c>
      <c r="G11">
        <v>5</v>
      </c>
      <c r="H11">
        <v>0</v>
      </c>
      <c r="I11">
        <v>24</v>
      </c>
      <c r="J11">
        <v>0</v>
      </c>
      <c r="K11">
        <v>6</v>
      </c>
      <c r="L11">
        <v>7.35</v>
      </c>
      <c r="M11">
        <v>7.35</v>
      </c>
      <c r="N11" t="s">
        <v>17</v>
      </c>
    </row>
    <row r="12" spans="1:15" x14ac:dyDescent="0.2">
      <c r="A12" t="s">
        <v>10</v>
      </c>
      <c r="B12" t="s">
        <v>15</v>
      </c>
      <c r="C12" t="s">
        <v>40</v>
      </c>
      <c r="D12">
        <v>0</v>
      </c>
      <c r="E12">
        <v>0</v>
      </c>
      <c r="F12">
        <v>6</v>
      </c>
      <c r="G12">
        <v>10</v>
      </c>
      <c r="H12">
        <v>0</v>
      </c>
      <c r="I12">
        <v>24</v>
      </c>
      <c r="J12">
        <v>0</v>
      </c>
      <c r="K12">
        <v>6</v>
      </c>
      <c r="L12">
        <v>8.15</v>
      </c>
      <c r="M12">
        <v>8.15</v>
      </c>
      <c r="N12" t="s">
        <v>17</v>
      </c>
    </row>
    <row r="13" spans="1:15" x14ac:dyDescent="0.2">
      <c r="A13" t="s">
        <v>10</v>
      </c>
      <c r="B13" t="s">
        <v>15</v>
      </c>
      <c r="C13" t="s">
        <v>41</v>
      </c>
      <c r="D13">
        <v>0</v>
      </c>
      <c r="E13">
        <v>0</v>
      </c>
      <c r="F13">
        <v>11</v>
      </c>
      <c r="G13">
        <v>12</v>
      </c>
      <c r="H13">
        <v>0</v>
      </c>
      <c r="I13">
        <v>24</v>
      </c>
      <c r="J13">
        <v>0</v>
      </c>
      <c r="K13">
        <v>6</v>
      </c>
      <c r="L13">
        <v>7.35</v>
      </c>
      <c r="M13">
        <v>7.35</v>
      </c>
      <c r="N13" t="s">
        <v>17</v>
      </c>
    </row>
    <row r="14" spans="1:15" x14ac:dyDescent="0.2">
      <c r="A14" t="s">
        <v>10</v>
      </c>
      <c r="B14" t="s">
        <v>15</v>
      </c>
      <c r="C14" t="s">
        <v>39</v>
      </c>
      <c r="D14">
        <v>10000</v>
      </c>
      <c r="E14">
        <v>10000</v>
      </c>
      <c r="F14">
        <v>1</v>
      </c>
      <c r="G14">
        <v>5</v>
      </c>
      <c r="H14">
        <v>0</v>
      </c>
      <c r="I14">
        <v>24</v>
      </c>
      <c r="J14">
        <v>0</v>
      </c>
      <c r="K14">
        <v>6</v>
      </c>
      <c r="L14">
        <v>7.09</v>
      </c>
      <c r="M14">
        <v>7.09</v>
      </c>
      <c r="N14" t="s">
        <v>17</v>
      </c>
    </row>
    <row r="15" spans="1:15" x14ac:dyDescent="0.2">
      <c r="A15" t="s">
        <v>10</v>
      </c>
      <c r="B15" t="s">
        <v>15</v>
      </c>
      <c r="C15" t="s">
        <v>40</v>
      </c>
      <c r="D15">
        <v>10000</v>
      </c>
      <c r="E15">
        <v>10000</v>
      </c>
      <c r="F15">
        <v>6</v>
      </c>
      <c r="G15">
        <v>10</v>
      </c>
      <c r="H15">
        <v>0</v>
      </c>
      <c r="I15">
        <v>24</v>
      </c>
      <c r="J15">
        <v>0</v>
      </c>
      <c r="K15">
        <v>6</v>
      </c>
      <c r="L15">
        <v>7.85</v>
      </c>
      <c r="M15">
        <v>7.85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10000</v>
      </c>
      <c r="E16">
        <v>10000</v>
      </c>
      <c r="F16">
        <v>11</v>
      </c>
      <c r="G16">
        <v>12</v>
      </c>
      <c r="H16">
        <v>0</v>
      </c>
      <c r="I16">
        <v>24</v>
      </c>
      <c r="J16">
        <v>0</v>
      </c>
      <c r="K16">
        <v>6</v>
      </c>
      <c r="L16">
        <v>7.09</v>
      </c>
      <c r="M16">
        <v>7.09</v>
      </c>
      <c r="N16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0"/>
  <sheetViews>
    <sheetView workbookViewId="0">
      <selection activeCell="C35" sqref="C3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66406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6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6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6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6">
        <f>L28/2.83168</f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6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6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85</v>
      </c>
      <c r="O6" t="s">
        <v>69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85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85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O38"/>
  <sheetViews>
    <sheetView workbookViewId="0">
      <selection activeCell="L9" sqref="L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807.57</v>
      </c>
      <c r="M2">
        <v>807.57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4</v>
      </c>
      <c r="H3">
        <v>5</v>
      </c>
      <c r="I3">
        <v>9</v>
      </c>
      <c r="J3">
        <v>0</v>
      </c>
      <c r="K3">
        <v>4</v>
      </c>
      <c r="L3">
        <f>1.77</f>
        <v>1.77</v>
      </c>
      <c r="M3">
        <f>1.77</f>
        <v>1.77</v>
      </c>
      <c r="N3" t="s">
        <v>17</v>
      </c>
    </row>
    <row r="4" spans="1:15" x14ac:dyDescent="0.2">
      <c r="A4" t="s">
        <v>10</v>
      </c>
      <c r="B4" t="s">
        <v>15</v>
      </c>
      <c r="C4" t="s">
        <v>75</v>
      </c>
      <c r="D4">
        <v>0</v>
      </c>
      <c r="E4">
        <v>0</v>
      </c>
      <c r="F4">
        <v>5</v>
      </c>
      <c r="G4">
        <v>6</v>
      </c>
      <c r="H4">
        <v>14</v>
      </c>
      <c r="I4">
        <v>19</v>
      </c>
      <c r="J4">
        <v>0</v>
      </c>
      <c r="K4">
        <v>6</v>
      </c>
      <c r="L4">
        <f>6.53</f>
        <v>6.53</v>
      </c>
      <c r="M4">
        <f>6.53</f>
        <v>6.53</v>
      </c>
      <c r="N4" t="s">
        <v>17</v>
      </c>
    </row>
    <row r="5" spans="1:15" x14ac:dyDescent="0.2">
      <c r="A5" t="s">
        <v>10</v>
      </c>
      <c r="B5" t="s">
        <v>15</v>
      </c>
      <c r="C5" t="s">
        <v>46</v>
      </c>
      <c r="D5">
        <v>0</v>
      </c>
      <c r="E5">
        <v>0</v>
      </c>
      <c r="F5">
        <v>7</v>
      </c>
      <c r="G5">
        <v>8</v>
      </c>
      <c r="H5">
        <v>14</v>
      </c>
      <c r="I5">
        <v>19</v>
      </c>
      <c r="J5">
        <v>0</v>
      </c>
      <c r="K5">
        <v>6</v>
      </c>
      <c r="L5">
        <f>10.13</f>
        <v>10.130000000000001</v>
      </c>
      <c r="M5">
        <f>10.13</f>
        <v>10.130000000000001</v>
      </c>
      <c r="N5" t="s">
        <v>17</v>
      </c>
    </row>
    <row r="6" spans="1:15" x14ac:dyDescent="0.2">
      <c r="A6" t="s">
        <v>10</v>
      </c>
      <c r="B6" t="s">
        <v>15</v>
      </c>
      <c r="C6" t="s">
        <v>76</v>
      </c>
      <c r="D6">
        <v>0</v>
      </c>
      <c r="E6">
        <v>0</v>
      </c>
      <c r="F6">
        <v>9</v>
      </c>
      <c r="G6">
        <v>10</v>
      </c>
      <c r="H6">
        <v>14</v>
      </c>
      <c r="I6">
        <v>19</v>
      </c>
      <c r="J6">
        <v>0</v>
      </c>
      <c r="K6">
        <v>6</v>
      </c>
      <c r="L6">
        <f>6.53</f>
        <v>6.53</v>
      </c>
      <c r="M6">
        <f>6.53</f>
        <v>6.53</v>
      </c>
      <c r="N6" t="s">
        <v>17</v>
      </c>
    </row>
    <row r="7" spans="1:15" x14ac:dyDescent="0.2">
      <c r="A7" t="s">
        <v>10</v>
      </c>
      <c r="B7" t="s">
        <v>15</v>
      </c>
      <c r="C7" t="s">
        <v>19</v>
      </c>
      <c r="D7">
        <v>0</v>
      </c>
      <c r="E7">
        <v>0</v>
      </c>
      <c r="F7">
        <v>11</v>
      </c>
      <c r="G7">
        <v>12</v>
      </c>
      <c r="H7">
        <v>5</v>
      </c>
      <c r="I7">
        <v>9</v>
      </c>
      <c r="J7">
        <v>0</v>
      </c>
      <c r="K7">
        <v>4</v>
      </c>
      <c r="L7">
        <f>1.77</f>
        <v>1.77</v>
      </c>
      <c r="M7">
        <f>1.77</f>
        <v>1.77</v>
      </c>
      <c r="N7" t="s">
        <v>17</v>
      </c>
    </row>
    <row r="8" spans="1:15" x14ac:dyDescent="0.2">
      <c r="A8" t="s">
        <v>10</v>
      </c>
      <c r="B8" t="s">
        <v>15</v>
      </c>
      <c r="C8" t="s">
        <v>33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2.4900000000000002</v>
      </c>
      <c r="M8">
        <v>2.4900000000000002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4</v>
      </c>
      <c r="H9">
        <v>0</v>
      </c>
      <c r="I9">
        <v>5</v>
      </c>
      <c r="J9">
        <v>0</v>
      </c>
      <c r="K9">
        <v>4</v>
      </c>
      <c r="L9">
        <v>4.6899999999999997E-2</v>
      </c>
      <c r="M9">
        <v>4.6899999999999997E-2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4</v>
      </c>
      <c r="H10">
        <v>5</v>
      </c>
      <c r="I10">
        <v>9</v>
      </c>
      <c r="J10">
        <v>0</v>
      </c>
      <c r="K10">
        <v>4</v>
      </c>
      <c r="L10">
        <v>7.0099999999999996E-2</v>
      </c>
      <c r="M10">
        <v>7.0099999999999996E-2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4</v>
      </c>
      <c r="H11">
        <v>9</v>
      </c>
      <c r="I11">
        <v>17</v>
      </c>
      <c r="J11">
        <v>0</v>
      </c>
      <c r="K11">
        <v>4</v>
      </c>
      <c r="L11">
        <v>4.6899999999999997E-2</v>
      </c>
      <c r="M11">
        <v>4.6899999999999997E-2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4</v>
      </c>
      <c r="H12">
        <v>17</v>
      </c>
      <c r="I12">
        <v>21</v>
      </c>
      <c r="J12">
        <v>0</v>
      </c>
      <c r="K12">
        <v>4</v>
      </c>
      <c r="L12">
        <v>6.7199999999999996E-2</v>
      </c>
      <c r="M12">
        <v>6.7199999999999996E-2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4</v>
      </c>
      <c r="H13">
        <v>21</v>
      </c>
      <c r="I13">
        <v>24</v>
      </c>
      <c r="J13">
        <v>0</v>
      </c>
      <c r="K13">
        <v>4</v>
      </c>
      <c r="L13">
        <v>4.6899999999999997E-2</v>
      </c>
      <c r="M13">
        <v>4.6899999999999997E-2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4</v>
      </c>
      <c r="H14">
        <v>0</v>
      </c>
      <c r="I14">
        <v>24</v>
      </c>
      <c r="J14">
        <v>5</v>
      </c>
      <c r="K14">
        <v>6</v>
      </c>
      <c r="L14">
        <v>4.6899999999999997E-2</v>
      </c>
      <c r="M14">
        <v>4.6899999999999997E-2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6</v>
      </c>
      <c r="H15">
        <v>0</v>
      </c>
      <c r="I15">
        <v>11</v>
      </c>
      <c r="J15">
        <v>0</v>
      </c>
      <c r="K15">
        <v>6</v>
      </c>
      <c r="L15">
        <v>4.7800000000000002E-2</v>
      </c>
      <c r="M15">
        <v>4.7800000000000002E-2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6</v>
      </c>
      <c r="H16">
        <v>11</v>
      </c>
      <c r="I16">
        <v>14</v>
      </c>
      <c r="J16">
        <v>0</v>
      </c>
      <c r="K16">
        <v>6</v>
      </c>
      <c r="L16">
        <v>7.2099999999999997E-2</v>
      </c>
      <c r="M16">
        <v>7.2099999999999997E-2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6</v>
      </c>
      <c r="H17">
        <v>14</v>
      </c>
      <c r="I17">
        <v>19</v>
      </c>
      <c r="J17">
        <v>0</v>
      </c>
      <c r="K17">
        <v>6</v>
      </c>
      <c r="L17">
        <v>8.2100000000000006E-2</v>
      </c>
      <c r="M17">
        <v>8.2100000000000006E-2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5</v>
      </c>
      <c r="G18">
        <v>6</v>
      </c>
      <c r="H18">
        <v>19</v>
      </c>
      <c r="I18">
        <v>23</v>
      </c>
      <c r="J18">
        <v>0</v>
      </c>
      <c r="K18">
        <v>6</v>
      </c>
      <c r="L18">
        <v>7.2099999999999997E-2</v>
      </c>
      <c r="M18">
        <v>7.2099999999999997E-2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6</v>
      </c>
      <c r="H19">
        <v>23</v>
      </c>
      <c r="I19">
        <v>24</v>
      </c>
      <c r="J19">
        <v>0</v>
      </c>
      <c r="K19">
        <v>6</v>
      </c>
      <c r="L19">
        <v>4.7800000000000002E-2</v>
      </c>
      <c r="M19">
        <v>4.7800000000000002E-2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8</v>
      </c>
      <c r="H20">
        <v>0</v>
      </c>
      <c r="I20">
        <v>11</v>
      </c>
      <c r="J20">
        <v>0</v>
      </c>
      <c r="K20">
        <v>6</v>
      </c>
      <c r="L20">
        <v>5.7599999999999998E-2</v>
      </c>
      <c r="M20">
        <v>5.7599999999999998E-2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8</v>
      </c>
      <c r="H21">
        <v>11</v>
      </c>
      <c r="I21">
        <v>14</v>
      </c>
      <c r="J21">
        <v>0</v>
      </c>
      <c r="K21">
        <v>6</v>
      </c>
      <c r="L21">
        <v>9.2899999999999996E-2</v>
      </c>
      <c r="M21">
        <v>9.2899999999999996E-2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8</v>
      </c>
      <c r="H22">
        <v>14</v>
      </c>
      <c r="I22">
        <v>19</v>
      </c>
      <c r="J22">
        <v>0</v>
      </c>
      <c r="K22">
        <v>6</v>
      </c>
      <c r="L22">
        <v>0.11409999999999999</v>
      </c>
      <c r="M22">
        <v>0.11409999999999999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8</v>
      </c>
      <c r="H23">
        <v>19</v>
      </c>
      <c r="I23">
        <v>23</v>
      </c>
      <c r="J23">
        <v>0</v>
      </c>
      <c r="K23">
        <v>6</v>
      </c>
      <c r="L23">
        <v>9.2899999999999996E-2</v>
      </c>
      <c r="M23">
        <v>9.2899999999999996E-2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8</v>
      </c>
      <c r="H24">
        <v>23</v>
      </c>
      <c r="I24">
        <v>24</v>
      </c>
      <c r="J24">
        <v>0</v>
      </c>
      <c r="K24">
        <v>6</v>
      </c>
      <c r="L24">
        <v>5.7599999999999998E-2</v>
      </c>
      <c r="M24">
        <v>5.7599999999999998E-2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10</v>
      </c>
      <c r="H25">
        <v>0</v>
      </c>
      <c r="I25">
        <v>11</v>
      </c>
      <c r="J25">
        <v>0</v>
      </c>
      <c r="K25">
        <v>6</v>
      </c>
      <c r="L25">
        <v>4.7800000000000002E-2</v>
      </c>
      <c r="M25">
        <v>4.7800000000000002E-2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9</v>
      </c>
      <c r="G26">
        <v>10</v>
      </c>
      <c r="H26">
        <v>11</v>
      </c>
      <c r="I26">
        <v>14</v>
      </c>
      <c r="J26">
        <v>0</v>
      </c>
      <c r="K26">
        <v>6</v>
      </c>
      <c r="L26">
        <v>7.2099999999999997E-2</v>
      </c>
      <c r="M26">
        <v>7.2099999999999997E-2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10</v>
      </c>
      <c r="H27">
        <v>14</v>
      </c>
      <c r="I27">
        <v>19</v>
      </c>
      <c r="J27">
        <v>0</v>
      </c>
      <c r="K27">
        <v>6</v>
      </c>
      <c r="L27">
        <v>8.2100000000000006E-2</v>
      </c>
      <c r="M27">
        <v>8.2100000000000006E-2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10</v>
      </c>
      <c r="H28">
        <v>19</v>
      </c>
      <c r="I28">
        <v>23</v>
      </c>
      <c r="J28">
        <v>0</v>
      </c>
      <c r="K28">
        <v>6</v>
      </c>
      <c r="L28">
        <v>7.2099999999999997E-2</v>
      </c>
      <c r="M28">
        <v>7.2099999999999997E-2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10</v>
      </c>
      <c r="H29">
        <v>23</v>
      </c>
      <c r="I29">
        <v>24</v>
      </c>
      <c r="J29">
        <v>0</v>
      </c>
      <c r="K29">
        <v>6</v>
      </c>
      <c r="L29">
        <v>4.7800000000000002E-2</v>
      </c>
      <c r="M29">
        <v>4.7800000000000002E-2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11</v>
      </c>
      <c r="G30">
        <v>12</v>
      </c>
      <c r="H30">
        <v>0</v>
      </c>
      <c r="I30">
        <v>5</v>
      </c>
      <c r="J30">
        <v>0</v>
      </c>
      <c r="K30">
        <v>4</v>
      </c>
      <c r="L30">
        <v>4.6899999999999997E-2</v>
      </c>
      <c r="M30">
        <v>4.6899999999999997E-2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11</v>
      </c>
      <c r="G31">
        <v>12</v>
      </c>
      <c r="H31">
        <v>5</v>
      </c>
      <c r="I31">
        <v>9</v>
      </c>
      <c r="J31">
        <v>0</v>
      </c>
      <c r="K31">
        <v>4</v>
      </c>
      <c r="L31">
        <v>7.0099999999999996E-2</v>
      </c>
      <c r="M31">
        <v>7.0099999999999996E-2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11</v>
      </c>
      <c r="G32">
        <v>12</v>
      </c>
      <c r="H32">
        <v>9</v>
      </c>
      <c r="I32">
        <v>17</v>
      </c>
      <c r="J32">
        <v>0</v>
      </c>
      <c r="K32">
        <v>4</v>
      </c>
      <c r="L32">
        <v>4.6899999999999997E-2</v>
      </c>
      <c r="M32">
        <v>4.6899999999999997E-2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12</v>
      </c>
      <c r="H33">
        <v>17</v>
      </c>
      <c r="I33">
        <v>21</v>
      </c>
      <c r="J33">
        <v>0</v>
      </c>
      <c r="K33">
        <v>4</v>
      </c>
      <c r="L33">
        <v>6.7199999999999996E-2</v>
      </c>
      <c r="M33">
        <v>6.7199999999999996E-2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12</v>
      </c>
      <c r="H34">
        <v>21</v>
      </c>
      <c r="I34">
        <v>24</v>
      </c>
      <c r="J34">
        <v>0</v>
      </c>
      <c r="K34">
        <v>4</v>
      </c>
      <c r="L34">
        <v>4.6899999999999997E-2</v>
      </c>
      <c r="M34">
        <v>4.6899999999999997E-2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12</v>
      </c>
      <c r="H35">
        <v>0</v>
      </c>
      <c r="I35">
        <v>24</v>
      </c>
      <c r="J35">
        <v>5</v>
      </c>
      <c r="K35">
        <v>6</v>
      </c>
      <c r="L35">
        <v>4.6899999999999997E-2</v>
      </c>
      <c r="M35">
        <v>4.6899999999999997E-2</v>
      </c>
      <c r="N35" t="s">
        <v>14</v>
      </c>
    </row>
    <row r="36" spans="1:14" x14ac:dyDescent="0.2">
      <c r="A36" t="s">
        <v>21</v>
      </c>
      <c r="B36" t="s">
        <v>11</v>
      </c>
      <c r="L36">
        <v>950</v>
      </c>
      <c r="M36">
        <v>950</v>
      </c>
      <c r="N36" t="s">
        <v>12</v>
      </c>
    </row>
    <row r="37" spans="1:14" x14ac:dyDescent="0.2">
      <c r="A37" t="s">
        <v>21</v>
      </c>
      <c r="B37" t="s">
        <v>13</v>
      </c>
      <c r="D37">
        <v>0</v>
      </c>
      <c r="E37">
        <v>0</v>
      </c>
      <c r="F37">
        <v>1</v>
      </c>
      <c r="G37">
        <v>12</v>
      </c>
      <c r="H37">
        <v>0</v>
      </c>
      <c r="I37">
        <v>24</v>
      </c>
      <c r="J37">
        <v>0</v>
      </c>
      <c r="K37">
        <v>6</v>
      </c>
      <c r="L37">
        <v>0.62851000000000001</v>
      </c>
      <c r="M37" s="6">
        <f>L37/2.83168</f>
        <v>0.22195657701435192</v>
      </c>
      <c r="N37" t="s">
        <v>85</v>
      </c>
    </row>
    <row r="38" spans="1:14" x14ac:dyDescent="0.2">
      <c r="A38" t="s">
        <v>21</v>
      </c>
      <c r="B38" t="s">
        <v>15</v>
      </c>
      <c r="C38" t="s">
        <v>33</v>
      </c>
      <c r="D38">
        <v>0</v>
      </c>
      <c r="E38">
        <v>0</v>
      </c>
      <c r="F38">
        <v>1</v>
      </c>
      <c r="G38">
        <v>12</v>
      </c>
      <c r="H38">
        <v>0</v>
      </c>
      <c r="I38">
        <v>24</v>
      </c>
      <c r="J38">
        <v>0</v>
      </c>
      <c r="K38">
        <v>6</v>
      </c>
      <c r="L38">
        <v>8.6705000000000004E-2</v>
      </c>
      <c r="M38" s="6">
        <f>L38/2.83168</f>
        <v>3.0619632161826196E-2</v>
      </c>
      <c r="N38" t="s">
        <v>86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O30"/>
  <sheetViews>
    <sheetView workbookViewId="0">
      <selection activeCell="D1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4.9320000000000003E-2</v>
      </c>
      <c r="M3">
        <v>4.9320000000000003E-2</v>
      </c>
      <c r="N3" t="s">
        <v>14</v>
      </c>
      <c r="O3" t="s">
        <v>61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10.77</v>
      </c>
      <c r="M4">
        <v>10.77</v>
      </c>
      <c r="N4" t="s">
        <v>17</v>
      </c>
    </row>
    <row r="7" spans="1:15" x14ac:dyDescent="0.2">
      <c r="A7" s="1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O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G2" s="1"/>
      <c r="H2" s="1"/>
      <c r="I2" s="1"/>
      <c r="J2" s="1"/>
      <c r="K2" s="1"/>
      <c r="L2">
        <v>100</v>
      </c>
      <c r="M2">
        <v>100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4.5704000000000002</v>
      </c>
      <c r="M4">
        <v>4.5704000000000002</v>
      </c>
      <c r="N4" t="s">
        <v>17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O22"/>
  <sheetViews>
    <sheetView workbookViewId="0">
      <selection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85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85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85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O4"/>
  <sheetViews>
    <sheetView workbookViewId="0">
      <selection activeCell="D2" sqref="D2:D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62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O13"/>
  <sheetViews>
    <sheetView workbookViewId="0">
      <selection activeCell="G16" sqref="G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346.29</v>
      </c>
      <c r="M2">
        <v>346.29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13</v>
      </c>
      <c r="J3">
        <v>0</v>
      </c>
      <c r="K3">
        <v>4</v>
      </c>
      <c r="L3">
        <f>0.02325+0.00458</f>
        <v>2.7830000000000001E-2</v>
      </c>
      <c r="M3">
        <f>0.02325+0.00458</f>
        <v>2.7830000000000001E-2</v>
      </c>
      <c r="N3" t="s">
        <v>14</v>
      </c>
      <c r="O3" t="s">
        <v>91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13</v>
      </c>
      <c r="I4">
        <v>19</v>
      </c>
      <c r="J4">
        <v>0</v>
      </c>
      <c r="K4">
        <v>4</v>
      </c>
      <c r="L4">
        <f>0.04069+0.00458</f>
        <v>4.5269999999999998E-2</v>
      </c>
      <c r="M4">
        <f>0.04069+0.00458</f>
        <v>4.5269999999999998E-2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0.02325+0.00458</f>
        <v>2.7830000000000001E-2</v>
      </c>
      <c r="M5">
        <f>0.02325+0.00458</f>
        <v>2.7830000000000001E-2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0.02325+0.00458</f>
        <v>2.7830000000000001E-2</v>
      </c>
      <c r="M6">
        <f>0.02325+0.00458</f>
        <v>2.7830000000000001E-2</v>
      </c>
      <c r="N6" t="s">
        <v>14</v>
      </c>
    </row>
    <row r="7" spans="1:15" x14ac:dyDescent="0.2">
      <c r="A7" t="s">
        <v>10</v>
      </c>
      <c r="B7" t="s">
        <v>15</v>
      </c>
      <c r="C7" t="s">
        <v>39</v>
      </c>
      <c r="D7">
        <v>0</v>
      </c>
      <c r="E7">
        <v>0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v>9.5500000000000007</v>
      </c>
      <c r="M7">
        <v>9.5500000000000007</v>
      </c>
      <c r="N7" t="s">
        <v>17</v>
      </c>
    </row>
    <row r="8" spans="1:15" x14ac:dyDescent="0.2">
      <c r="A8" t="s">
        <v>10</v>
      </c>
      <c r="B8" t="s">
        <v>15</v>
      </c>
      <c r="C8" t="s">
        <v>40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14.26</v>
      </c>
      <c r="M8">
        <v>14.26</v>
      </c>
      <c r="N8" t="s">
        <v>17</v>
      </c>
    </row>
    <row r="9" spans="1:15" x14ac:dyDescent="0.2">
      <c r="A9" t="s">
        <v>10</v>
      </c>
      <c r="B9" t="s">
        <v>15</v>
      </c>
      <c r="C9" t="s">
        <v>41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9.5500000000000007</v>
      </c>
      <c r="M9">
        <v>9.5500000000000007</v>
      </c>
      <c r="N9" t="s">
        <v>17</v>
      </c>
    </row>
    <row r="10" spans="1:15" x14ac:dyDescent="0.2">
      <c r="A10" t="s">
        <v>10</v>
      </c>
      <c r="B10" t="s">
        <v>15</v>
      </c>
      <c r="C10" t="s">
        <v>33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f>3.86+0.53+0.31+1.18</f>
        <v>5.879999999999999</v>
      </c>
      <c r="M10">
        <f>3.86+0.53+0.31+1.18</f>
        <v>5.879999999999999</v>
      </c>
      <c r="N10" t="s">
        <v>17</v>
      </c>
      <c r="O10" t="s">
        <v>90</v>
      </c>
    </row>
    <row r="11" spans="1:15" x14ac:dyDescent="0.2">
      <c r="A11" t="s">
        <v>21</v>
      </c>
      <c r="B11" t="s">
        <v>11</v>
      </c>
      <c r="L11">
        <v>136.22</v>
      </c>
      <c r="M11">
        <v>136.22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2.759E-2</v>
      </c>
      <c r="M12" s="7">
        <f t="shared" ref="M12:M13" si="0">L12/2.83168</f>
        <v>9.7433325799525378E-3</v>
      </c>
      <c r="N12" t="s">
        <v>85</v>
      </c>
    </row>
    <row r="13" spans="1:15" x14ac:dyDescent="0.2">
      <c r="A13" t="s">
        <v>21</v>
      </c>
      <c r="B13" t="s">
        <v>15</v>
      </c>
      <c r="C13" t="s">
        <v>33</v>
      </c>
      <c r="D13">
        <v>0</v>
      </c>
      <c r="E13">
        <v>0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1.1000000000000001</v>
      </c>
      <c r="M13" s="9">
        <f t="shared" si="0"/>
        <v>0.38846197310430558</v>
      </c>
      <c r="N13" t="s">
        <v>86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O2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23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  <row r="22" spans="1:14" x14ac:dyDescent="0.2">
      <c r="A22" t="s">
        <v>21</v>
      </c>
      <c r="B22" t="s">
        <v>11</v>
      </c>
      <c r="L22">
        <f>36.3+65</f>
        <v>101.3</v>
      </c>
      <c r="M22">
        <f>36.3+65</f>
        <v>101.3</v>
      </c>
      <c r="N22" t="s">
        <v>12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0.5357+0.0006</f>
        <v>0.5363</v>
      </c>
      <c r="M23" s="7">
        <f t="shared" ref="M23" si="2">L23/2.83168</f>
        <v>0.18939286925076279</v>
      </c>
      <c r="N23" t="s">
        <v>85</v>
      </c>
    </row>
    <row r="24" spans="1:14" x14ac:dyDescent="0.2">
      <c r="A24" t="s">
        <v>21</v>
      </c>
      <c r="B24" t="s">
        <v>13</v>
      </c>
      <c r="D24">
        <v>10000</v>
      </c>
      <c r="E24">
        <f>D24*2.83168</f>
        <v>28316.799999999999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0.2845+0.0006</f>
        <v>0.28509999999999996</v>
      </c>
      <c r="M24" s="7">
        <f>L24/2.83168</f>
        <v>0.10068228048367046</v>
      </c>
      <c r="N24" t="s">
        <v>85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41800</v>
      </c>
      <c r="M2">
        <v>41800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17</v>
      </c>
      <c r="O4" t="s">
        <v>77</v>
      </c>
    </row>
    <row r="5" spans="1:15" x14ac:dyDescent="0.2">
      <c r="A5" t="s">
        <v>10</v>
      </c>
      <c r="B5" t="s">
        <v>15</v>
      </c>
      <c r="C5" t="s">
        <v>33</v>
      </c>
      <c r="D5">
        <v>5000</v>
      </c>
      <c r="E5">
        <v>5000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16.63</v>
      </c>
      <c r="M5">
        <v>16.63</v>
      </c>
      <c r="N5" t="s">
        <v>17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3074.01</v>
      </c>
      <c r="M2">
        <v>3074.01</v>
      </c>
      <c r="N2" t="s">
        <v>12</v>
      </c>
    </row>
    <row r="3" spans="1:15" x14ac:dyDescent="0.2">
      <c r="A3" t="s">
        <v>10</v>
      </c>
      <c r="B3" t="s">
        <v>15</v>
      </c>
      <c r="C3" t="s">
        <v>37</v>
      </c>
      <c r="D3">
        <v>0</v>
      </c>
      <c r="E3">
        <v>0</v>
      </c>
      <c r="F3">
        <v>1</v>
      </c>
      <c r="G3">
        <v>5</v>
      </c>
      <c r="H3">
        <v>8</v>
      </c>
      <c r="I3">
        <v>20</v>
      </c>
      <c r="J3">
        <v>0</v>
      </c>
      <c r="K3">
        <v>4</v>
      </c>
      <c r="L3">
        <v>11.56</v>
      </c>
      <c r="M3">
        <v>11.56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8</v>
      </c>
      <c r="H4">
        <v>8</v>
      </c>
      <c r="I4">
        <v>20</v>
      </c>
      <c r="J4">
        <v>0</v>
      </c>
      <c r="K4">
        <v>4</v>
      </c>
      <c r="L4">
        <v>19.03</v>
      </c>
      <c r="M4">
        <v>19.03</v>
      </c>
      <c r="N4" t="s">
        <v>17</v>
      </c>
    </row>
    <row r="5" spans="1:15" x14ac:dyDescent="0.2">
      <c r="A5" t="s">
        <v>10</v>
      </c>
      <c r="B5" t="s">
        <v>15</v>
      </c>
      <c r="C5" t="s">
        <v>38</v>
      </c>
      <c r="D5">
        <v>0</v>
      </c>
      <c r="E5">
        <v>0</v>
      </c>
      <c r="F5">
        <v>9</v>
      </c>
      <c r="G5">
        <v>12</v>
      </c>
      <c r="H5">
        <v>8</v>
      </c>
      <c r="I5">
        <v>20</v>
      </c>
      <c r="J5">
        <v>0</v>
      </c>
      <c r="K5">
        <v>4</v>
      </c>
      <c r="L5">
        <v>11.56</v>
      </c>
      <c r="M5">
        <v>11.56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8</v>
      </c>
      <c r="H6">
        <v>0</v>
      </c>
      <c r="I6">
        <v>8</v>
      </c>
      <c r="J6">
        <v>0</v>
      </c>
      <c r="K6">
        <v>4</v>
      </c>
      <c r="L6">
        <v>1.4697200000000001E-2</v>
      </c>
      <c r="M6">
        <v>1.4697200000000001E-2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8</v>
      </c>
      <c r="H7">
        <v>8</v>
      </c>
      <c r="I7">
        <v>20</v>
      </c>
      <c r="J7">
        <v>0</v>
      </c>
      <c r="K7">
        <v>4</v>
      </c>
      <c r="L7">
        <v>3.3165800000000002E-2</v>
      </c>
      <c r="M7">
        <v>3.3165800000000002E-2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20</v>
      </c>
      <c r="I8">
        <v>24</v>
      </c>
      <c r="J8">
        <v>0</v>
      </c>
      <c r="K8">
        <v>4</v>
      </c>
      <c r="L8">
        <v>1.4697200000000001E-2</v>
      </c>
      <c r="M8">
        <v>1.4697200000000001E-2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24</v>
      </c>
      <c r="J9">
        <v>5</v>
      </c>
      <c r="K9">
        <v>6</v>
      </c>
      <c r="L9">
        <v>1.4697200000000001E-2</v>
      </c>
      <c r="M9">
        <v>1.4697200000000001E-2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5</v>
      </c>
      <c r="H10">
        <v>0</v>
      </c>
      <c r="I10">
        <v>8</v>
      </c>
      <c r="J10">
        <v>0</v>
      </c>
      <c r="K10">
        <v>4</v>
      </c>
      <c r="L10">
        <v>1.4697200000000001E-2</v>
      </c>
      <c r="M10">
        <v>1.4697200000000001E-2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8</v>
      </c>
      <c r="I11">
        <v>20</v>
      </c>
      <c r="J11">
        <v>0</v>
      </c>
      <c r="K11">
        <v>4</v>
      </c>
      <c r="L11">
        <v>2.3671500000000002E-2</v>
      </c>
      <c r="M11">
        <v>2.3671500000000002E-2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20</v>
      </c>
      <c r="I12">
        <v>24</v>
      </c>
      <c r="J12">
        <v>0</v>
      </c>
      <c r="K12">
        <v>4</v>
      </c>
      <c r="L12">
        <v>1.4697200000000001E-2</v>
      </c>
      <c r="M12">
        <v>1.4697200000000001E-2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0</v>
      </c>
      <c r="I13">
        <v>24</v>
      </c>
      <c r="J13">
        <v>5</v>
      </c>
      <c r="K13">
        <v>6</v>
      </c>
      <c r="L13">
        <v>1.4697200000000001E-2</v>
      </c>
      <c r="M13">
        <v>1.4697200000000001E-2</v>
      </c>
      <c r="N13" t="s">
        <v>14</v>
      </c>
    </row>
    <row r="14" spans="1:15" x14ac:dyDescent="0.2">
      <c r="A14" t="s">
        <v>10</v>
      </c>
      <c r="B14" t="s">
        <v>13</v>
      </c>
      <c r="C14" s="6"/>
      <c r="D14">
        <v>0</v>
      </c>
      <c r="E14">
        <v>0</v>
      </c>
      <c r="F14">
        <v>9</v>
      </c>
      <c r="G14">
        <v>12</v>
      </c>
      <c r="H14">
        <v>0</v>
      </c>
      <c r="I14">
        <v>8</v>
      </c>
      <c r="J14">
        <v>0</v>
      </c>
      <c r="K14">
        <v>4</v>
      </c>
      <c r="L14">
        <v>1.4697200000000001E-2</v>
      </c>
      <c r="M14">
        <v>1.4697200000000001E-2</v>
      </c>
      <c r="N14" t="s">
        <v>14</v>
      </c>
    </row>
    <row r="15" spans="1:15" x14ac:dyDescent="0.2">
      <c r="A15" t="s">
        <v>10</v>
      </c>
      <c r="B15" t="s">
        <v>13</v>
      </c>
      <c r="C15" s="6"/>
      <c r="D15">
        <v>0</v>
      </c>
      <c r="E15">
        <v>0</v>
      </c>
      <c r="F15">
        <v>9</v>
      </c>
      <c r="G15">
        <v>12</v>
      </c>
      <c r="H15">
        <v>8</v>
      </c>
      <c r="I15">
        <v>20</v>
      </c>
      <c r="J15">
        <v>0</v>
      </c>
      <c r="K15">
        <v>4</v>
      </c>
      <c r="L15">
        <v>2.3671500000000002E-2</v>
      </c>
      <c r="M15">
        <v>2.3671500000000002E-2</v>
      </c>
      <c r="N15" t="s">
        <v>14</v>
      </c>
    </row>
    <row r="16" spans="1:15" x14ac:dyDescent="0.2">
      <c r="A16" t="s">
        <v>10</v>
      </c>
      <c r="B16" t="s">
        <v>13</v>
      </c>
      <c r="C16" s="6"/>
      <c r="D16">
        <v>0</v>
      </c>
      <c r="E16">
        <v>0</v>
      </c>
      <c r="F16">
        <v>9</v>
      </c>
      <c r="G16">
        <v>12</v>
      </c>
      <c r="H16">
        <v>20</v>
      </c>
      <c r="I16">
        <v>24</v>
      </c>
      <c r="J16">
        <v>0</v>
      </c>
      <c r="K16">
        <v>4</v>
      </c>
      <c r="L16">
        <v>1.4697200000000001E-2</v>
      </c>
      <c r="M16">
        <v>1.4697200000000001E-2</v>
      </c>
      <c r="N16" t="s">
        <v>14</v>
      </c>
    </row>
    <row r="17" spans="1:14" x14ac:dyDescent="0.2">
      <c r="A17" t="s">
        <v>10</v>
      </c>
      <c r="B17" t="s">
        <v>13</v>
      </c>
      <c r="C17" s="6"/>
      <c r="D17">
        <v>0</v>
      </c>
      <c r="E17">
        <v>0</v>
      </c>
      <c r="F17">
        <v>9</v>
      </c>
      <c r="G17">
        <v>12</v>
      </c>
      <c r="H17">
        <v>0</v>
      </c>
      <c r="I17">
        <v>24</v>
      </c>
      <c r="J17">
        <v>5</v>
      </c>
      <c r="K17">
        <v>6</v>
      </c>
      <c r="L17">
        <v>1.4697200000000001E-2</v>
      </c>
      <c r="M17">
        <v>1.4697200000000001E-2</v>
      </c>
      <c r="N17" t="s">
        <v>14</v>
      </c>
    </row>
    <row r="18" spans="1:14" x14ac:dyDescent="0.2">
      <c r="A18" t="s">
        <v>21</v>
      </c>
      <c r="B18" t="s">
        <v>11</v>
      </c>
      <c r="C18" s="6"/>
      <c r="L18">
        <v>55</v>
      </c>
      <c r="M18">
        <v>55</v>
      </c>
      <c r="N18" t="s">
        <v>12</v>
      </c>
    </row>
    <row r="19" spans="1:14" x14ac:dyDescent="0.2">
      <c r="A19" t="s">
        <v>21</v>
      </c>
      <c r="B19" t="s">
        <v>13</v>
      </c>
      <c r="C19" s="6"/>
      <c r="D19">
        <v>0</v>
      </c>
      <c r="E19">
        <v>0</v>
      </c>
      <c r="F19">
        <v>1</v>
      </c>
      <c r="G19">
        <v>1</v>
      </c>
      <c r="H19">
        <v>0</v>
      </c>
      <c r="I19">
        <v>24</v>
      </c>
      <c r="J19">
        <v>0</v>
      </c>
      <c r="K19">
        <v>6</v>
      </c>
      <c r="L19">
        <f>0.3081+0.0337</f>
        <v>0.34179999999999999</v>
      </c>
      <c r="M19" s="6">
        <f>L19/2.83168</f>
        <v>0.12070572946095603</v>
      </c>
      <c r="N19" t="s">
        <v>85</v>
      </c>
    </row>
    <row r="20" spans="1:14" x14ac:dyDescent="0.2">
      <c r="A20" t="s">
        <v>21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0</v>
      </c>
      <c r="I20">
        <v>24</v>
      </c>
      <c r="J20">
        <v>0</v>
      </c>
      <c r="K20">
        <v>6</v>
      </c>
      <c r="L20">
        <f>0.3124+0.0337</f>
        <v>0.34610000000000002</v>
      </c>
      <c r="M20" s="6">
        <f t="shared" ref="M20:M30" si="0">L20/2.83168</f>
        <v>0.1222242626285456</v>
      </c>
      <c r="N20" t="s">
        <v>85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0</v>
      </c>
      <c r="I21">
        <v>24</v>
      </c>
      <c r="J21">
        <v>0</v>
      </c>
      <c r="K21">
        <v>6</v>
      </c>
      <c r="L21">
        <f>0.2499+0.0337</f>
        <v>0.28360000000000002</v>
      </c>
      <c r="M21" s="6">
        <f t="shared" si="0"/>
        <v>0.10015255961125552</v>
      </c>
      <c r="N21" t="s">
        <v>85</v>
      </c>
    </row>
    <row r="22" spans="1:14" x14ac:dyDescent="0.2">
      <c r="A22" t="s">
        <v>21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24</v>
      </c>
      <c r="J22">
        <v>0</v>
      </c>
      <c r="K22">
        <v>6</v>
      </c>
      <c r="L22">
        <f>0.0409+0.0337</f>
        <v>7.46E-2</v>
      </c>
      <c r="M22" s="6">
        <f t="shared" si="0"/>
        <v>2.6344784721437451E-2</v>
      </c>
      <c r="N22" t="s">
        <v>85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24</v>
      </c>
      <c r="J23">
        <v>0</v>
      </c>
      <c r="K23">
        <v>6</v>
      </c>
      <c r="L23">
        <f>0.1001+0.0337</f>
        <v>0.1338</v>
      </c>
      <c r="M23" s="6">
        <f t="shared" si="0"/>
        <v>4.7251101819414623E-2</v>
      </c>
      <c r="N23" t="s">
        <v>85</v>
      </c>
    </row>
    <row r="24" spans="1:14" x14ac:dyDescent="0.2">
      <c r="A24" t="s">
        <v>21</v>
      </c>
      <c r="B24" t="s">
        <v>13</v>
      </c>
      <c r="D24">
        <v>0</v>
      </c>
      <c r="E24">
        <v>0</v>
      </c>
      <c r="F24">
        <v>6</v>
      </c>
      <c r="G24">
        <v>6</v>
      </c>
      <c r="H24">
        <v>0</v>
      </c>
      <c r="I24">
        <v>24</v>
      </c>
      <c r="J24">
        <v>0</v>
      </c>
      <c r="K24">
        <v>6</v>
      </c>
      <c r="L24">
        <f>0.2154+0.0337</f>
        <v>0.24910000000000002</v>
      </c>
      <c r="M24" s="6">
        <f t="shared" si="0"/>
        <v>8.7968979545711382E-2</v>
      </c>
      <c r="N24" t="s">
        <v>85</v>
      </c>
    </row>
    <row r="25" spans="1:14" x14ac:dyDescent="0.2">
      <c r="A25" t="s">
        <v>21</v>
      </c>
      <c r="B25" t="s">
        <v>13</v>
      </c>
      <c r="D25">
        <v>0</v>
      </c>
      <c r="E25">
        <v>0</v>
      </c>
      <c r="F25">
        <v>7</v>
      </c>
      <c r="G25">
        <v>7</v>
      </c>
      <c r="H25">
        <v>0</v>
      </c>
      <c r="I25">
        <v>24</v>
      </c>
      <c r="J25">
        <v>0</v>
      </c>
      <c r="K25">
        <v>6</v>
      </c>
      <c r="L25">
        <f>0.2531+0.0337</f>
        <v>0.2868</v>
      </c>
      <c r="M25" s="6">
        <f t="shared" si="0"/>
        <v>0.10128263080574076</v>
      </c>
      <c r="N25" t="s">
        <v>85</v>
      </c>
    </row>
    <row r="26" spans="1:14" x14ac:dyDescent="0.2">
      <c r="A26" t="s">
        <v>21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0</v>
      </c>
      <c r="I26">
        <v>24</v>
      </c>
      <c r="J26">
        <v>0</v>
      </c>
      <c r="K26">
        <v>6</v>
      </c>
      <c r="L26">
        <f>0.2576+0.0337</f>
        <v>0.2913</v>
      </c>
      <c r="M26" s="6">
        <f t="shared" si="0"/>
        <v>0.10287179342298565</v>
      </c>
      <c r="N26" t="s">
        <v>85</v>
      </c>
    </row>
    <row r="27" spans="1:14" x14ac:dyDescent="0.2">
      <c r="A27" t="s">
        <v>21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24</v>
      </c>
      <c r="J27">
        <v>0</v>
      </c>
      <c r="K27">
        <v>6</v>
      </c>
      <c r="L27">
        <f>0.2572+0.0337</f>
        <v>0.29089999999999999</v>
      </c>
      <c r="M27" s="6">
        <f t="shared" si="0"/>
        <v>0.10273053452367499</v>
      </c>
      <c r="N27" t="s">
        <v>85</v>
      </c>
    </row>
    <row r="28" spans="1:14" x14ac:dyDescent="0.2">
      <c r="A28" t="s">
        <v>21</v>
      </c>
      <c r="B28" t="s">
        <v>13</v>
      </c>
      <c r="D28">
        <v>0</v>
      </c>
      <c r="E28">
        <v>0</v>
      </c>
      <c r="F28">
        <v>10</v>
      </c>
      <c r="G28">
        <v>10</v>
      </c>
      <c r="H28">
        <v>0</v>
      </c>
      <c r="I28">
        <v>24</v>
      </c>
      <c r="J28">
        <v>0</v>
      </c>
      <c r="K28">
        <v>6</v>
      </c>
      <c r="L28">
        <f>0.2474+0.0337</f>
        <v>0.28110000000000002</v>
      </c>
      <c r="M28" s="6">
        <f t="shared" si="0"/>
        <v>9.9269691490563916E-2</v>
      </c>
      <c r="N28" t="s">
        <v>85</v>
      </c>
    </row>
    <row r="29" spans="1:14" x14ac:dyDescent="0.2">
      <c r="A29" t="s">
        <v>21</v>
      </c>
      <c r="B29" t="s">
        <v>13</v>
      </c>
      <c r="D29">
        <v>0</v>
      </c>
      <c r="E29">
        <v>0</v>
      </c>
      <c r="F29">
        <v>11</v>
      </c>
      <c r="G29">
        <v>11</v>
      </c>
      <c r="H29">
        <v>0</v>
      </c>
      <c r="I29">
        <v>24</v>
      </c>
      <c r="J29">
        <v>0</v>
      </c>
      <c r="K29">
        <v>6</v>
      </c>
      <c r="L29">
        <f>0.2962+0.0337</f>
        <v>0.32990000000000003</v>
      </c>
      <c r="M29" s="6">
        <f t="shared" si="0"/>
        <v>0.11650327720646401</v>
      </c>
      <c r="N29" t="s">
        <v>85</v>
      </c>
    </row>
    <row r="30" spans="1:14" x14ac:dyDescent="0.2">
      <c r="A30" t="s">
        <v>21</v>
      </c>
      <c r="B30" t="s">
        <v>13</v>
      </c>
      <c r="D30">
        <v>0</v>
      </c>
      <c r="E30">
        <v>0</v>
      </c>
      <c r="F30">
        <v>12</v>
      </c>
      <c r="G30">
        <v>12</v>
      </c>
      <c r="H30">
        <v>0</v>
      </c>
      <c r="I30">
        <v>24</v>
      </c>
      <c r="J30">
        <v>0</v>
      </c>
      <c r="K30">
        <v>6</v>
      </c>
      <c r="L30">
        <f>0.3558+0.0337</f>
        <v>0.38950000000000001</v>
      </c>
      <c r="M30" s="6">
        <f t="shared" si="0"/>
        <v>0.13755085320375185</v>
      </c>
      <c r="N30" t="s">
        <v>85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O30"/>
  <sheetViews>
    <sheetView workbookViewId="0">
      <selection activeCell="E29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9.5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5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O12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1.5" bestFit="1" customWidth="1"/>
    <col min="8" max="8" width="9.164062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O7"/>
  <sheetViews>
    <sheetView workbookViewId="0">
      <selection activeCell="D3" sqref="D3:D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23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2.4049999999999998</v>
      </c>
      <c r="M3">
        <v>2.4049999999999998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62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52.56</v>
      </c>
      <c r="M2">
        <v>52.56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1.86</v>
      </c>
      <c r="M3">
        <v>1.86</v>
      </c>
      <c r="N3" t="s">
        <v>17</v>
      </c>
    </row>
    <row r="4" spans="1:15" x14ac:dyDescent="0.2">
      <c r="A4" t="s">
        <v>10</v>
      </c>
      <c r="B4" t="s">
        <v>15</v>
      </c>
      <c r="C4" t="s">
        <v>78</v>
      </c>
      <c r="D4">
        <v>0</v>
      </c>
      <c r="E4">
        <v>0</v>
      </c>
      <c r="F4">
        <v>1</v>
      </c>
      <c r="G4">
        <v>5</v>
      </c>
      <c r="H4">
        <v>8</v>
      </c>
      <c r="I4">
        <v>20</v>
      </c>
      <c r="J4">
        <v>0</v>
      </c>
      <c r="K4">
        <v>4</v>
      </c>
      <c r="L4">
        <v>5.09</v>
      </c>
      <c r="M4">
        <v>5.09</v>
      </c>
      <c r="N4" t="s">
        <v>17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8</v>
      </c>
      <c r="I5">
        <v>20</v>
      </c>
      <c r="J5">
        <v>0</v>
      </c>
      <c r="K5">
        <v>4</v>
      </c>
      <c r="L5">
        <v>5.48</v>
      </c>
      <c r="M5">
        <v>5.48</v>
      </c>
      <c r="N5" t="s">
        <v>17</v>
      </c>
    </row>
    <row r="6" spans="1:15" x14ac:dyDescent="0.2">
      <c r="A6" t="s">
        <v>10</v>
      </c>
      <c r="B6" t="s">
        <v>15</v>
      </c>
      <c r="C6" t="s">
        <v>78</v>
      </c>
      <c r="D6">
        <v>0</v>
      </c>
      <c r="E6">
        <v>0</v>
      </c>
      <c r="F6">
        <v>10</v>
      </c>
      <c r="G6">
        <v>12</v>
      </c>
      <c r="H6">
        <v>8</v>
      </c>
      <c r="I6">
        <v>20</v>
      </c>
      <c r="J6">
        <v>0</v>
      </c>
      <c r="K6">
        <v>4</v>
      </c>
      <c r="L6">
        <v>5.09</v>
      </c>
      <c r="M6">
        <v>5.09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0.005917+0.003358</f>
        <v>9.2750000000000003E-3</v>
      </c>
      <c r="M7">
        <f>0.005917+0.003358</f>
        <v>9.2750000000000003E-3</v>
      </c>
      <c r="N7" t="s">
        <v>14</v>
      </c>
    </row>
    <row r="8" spans="1:15" x14ac:dyDescent="0.2">
      <c r="A8" t="s">
        <v>21</v>
      </c>
      <c r="B8" t="s">
        <v>11</v>
      </c>
      <c r="L8">
        <v>17.75</v>
      </c>
      <c r="M8">
        <v>17.75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0.32505600000000001</v>
      </c>
      <c r="M9" s="6">
        <f>L9/2.83168</f>
        <v>0.11479263193581196</v>
      </c>
      <c r="N9" t="s">
        <v>85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O11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63.95</v>
      </c>
      <c r="M2">
        <v>63.95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3.4499999999999999E-3</v>
      </c>
      <c r="M3">
        <v>3.4499999999999999E-3</v>
      </c>
      <c r="N3" t="s">
        <v>14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27.46</v>
      </c>
      <c r="M4">
        <v>27.46</v>
      </c>
      <c r="N4" t="s">
        <v>17</v>
      </c>
    </row>
    <row r="5" spans="1:15" x14ac:dyDescent="0.2">
      <c r="A5" t="s">
        <v>10</v>
      </c>
      <c r="B5" t="s">
        <v>15</v>
      </c>
      <c r="C5" t="s">
        <v>18</v>
      </c>
      <c r="D5">
        <v>0</v>
      </c>
      <c r="E5">
        <v>0</v>
      </c>
      <c r="F5">
        <v>1</v>
      </c>
      <c r="G5">
        <v>5</v>
      </c>
      <c r="H5">
        <v>16</v>
      </c>
      <c r="I5">
        <v>21</v>
      </c>
      <c r="J5">
        <v>0</v>
      </c>
      <c r="K5">
        <v>6</v>
      </c>
      <c r="L5">
        <v>23.12</v>
      </c>
      <c r="M5">
        <v>23.12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10</v>
      </c>
      <c r="H6">
        <v>16</v>
      </c>
      <c r="I6">
        <v>21</v>
      </c>
      <c r="J6">
        <v>0</v>
      </c>
      <c r="K6">
        <v>6</v>
      </c>
      <c r="L6">
        <v>23.26</v>
      </c>
      <c r="M6">
        <v>23.26</v>
      </c>
      <c r="N6" t="s">
        <v>17</v>
      </c>
    </row>
    <row r="7" spans="1:15" x14ac:dyDescent="0.2">
      <c r="A7" t="s">
        <v>10</v>
      </c>
      <c r="B7" t="s">
        <v>15</v>
      </c>
      <c r="C7" t="s">
        <v>74</v>
      </c>
      <c r="D7">
        <v>0</v>
      </c>
      <c r="E7">
        <v>0</v>
      </c>
      <c r="F7">
        <v>11</v>
      </c>
      <c r="G7">
        <v>12</v>
      </c>
      <c r="H7">
        <v>16</v>
      </c>
      <c r="I7">
        <v>21</v>
      </c>
      <c r="J7">
        <v>0</v>
      </c>
      <c r="K7">
        <v>6</v>
      </c>
      <c r="L7">
        <v>23.12</v>
      </c>
      <c r="M7">
        <v>23.12</v>
      </c>
      <c r="N7" t="s">
        <v>17</v>
      </c>
    </row>
    <row r="8" spans="1:15" x14ac:dyDescent="0.2">
      <c r="A8" t="s">
        <v>21</v>
      </c>
      <c r="B8" t="s">
        <v>11</v>
      </c>
      <c r="L8">
        <v>10</v>
      </c>
      <c r="M8">
        <v>10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1.3103199999999999</v>
      </c>
      <c r="M9" s="7">
        <f>L9/2.83168</f>
        <v>0.46273590236184875</v>
      </c>
      <c r="N9" t="s">
        <v>85</v>
      </c>
    </row>
    <row r="10" spans="1:15" x14ac:dyDescent="0.2">
      <c r="A10" t="s">
        <v>21</v>
      </c>
      <c r="B10" t="s">
        <v>13</v>
      </c>
      <c r="D10">
        <v>1000</v>
      </c>
      <c r="E10">
        <f>D10*2.83168</f>
        <v>2831.68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1.05799</v>
      </c>
      <c r="M10" s="7">
        <f>L10/2.83168</f>
        <v>0.37362625720420384</v>
      </c>
      <c r="N10" t="s">
        <v>85</v>
      </c>
    </row>
    <row r="11" spans="1:15" x14ac:dyDescent="0.2">
      <c r="A11" t="s">
        <v>21</v>
      </c>
      <c r="B11" t="s">
        <v>13</v>
      </c>
      <c r="D11">
        <v>21000</v>
      </c>
      <c r="E11">
        <f>D11*2.83168</f>
        <v>59465.279999999999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0.98670999999999998</v>
      </c>
      <c r="M11" s="7">
        <f>L11/2.83168</f>
        <v>0.34845392134704484</v>
      </c>
      <c r="N11" t="s">
        <v>85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O7"/>
  <sheetViews>
    <sheetView workbookViewId="0">
      <selection activeCell="D2" sqref="D1:E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O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t="s">
        <v>21</v>
      </c>
      <c r="B5" t="s">
        <v>11</v>
      </c>
      <c r="L5">
        <v>73.599999999999994</v>
      </c>
      <c r="M5">
        <v>73.599999999999994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 s="7">
        <f>(0.357+0.49951)/1.037</f>
        <v>0.82594985535197696</v>
      </c>
      <c r="M6" s="7">
        <f>L6/2.83168</f>
        <v>0.29168191863204068</v>
      </c>
      <c r="N6" t="s">
        <v>85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O10"/>
  <sheetViews>
    <sheetView workbookViewId="0">
      <selection activeCell="D1" sqref="D1:E1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29.64</v>
      </c>
      <c r="M2">
        <v>29.64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9</v>
      </c>
      <c r="I3">
        <v>21</v>
      </c>
      <c r="J3">
        <v>0</v>
      </c>
      <c r="K3">
        <v>4</v>
      </c>
      <c r="L3">
        <v>10.49</v>
      </c>
      <c r="M3">
        <v>10.49</v>
      </c>
      <c r="N3" t="s">
        <v>17</v>
      </c>
    </row>
    <row r="4" spans="1:15" x14ac:dyDescent="0.2">
      <c r="A4" t="s">
        <v>10</v>
      </c>
      <c r="B4" t="s">
        <v>15</v>
      </c>
      <c r="C4" t="s">
        <v>18</v>
      </c>
      <c r="D4">
        <v>0</v>
      </c>
      <c r="E4">
        <v>0</v>
      </c>
      <c r="F4">
        <v>6</v>
      </c>
      <c r="G4">
        <v>9</v>
      </c>
      <c r="H4">
        <v>9</v>
      </c>
      <c r="I4">
        <v>21</v>
      </c>
      <c r="J4">
        <v>0</v>
      </c>
      <c r="K4">
        <v>4</v>
      </c>
      <c r="L4">
        <v>14.79</v>
      </c>
      <c r="M4">
        <v>14.79</v>
      </c>
      <c r="N4" t="s">
        <v>17</v>
      </c>
    </row>
    <row r="5" spans="1:15" x14ac:dyDescent="0.2">
      <c r="A5" t="s">
        <v>10</v>
      </c>
      <c r="B5" t="s">
        <v>15</v>
      </c>
      <c r="C5" t="s">
        <v>19</v>
      </c>
      <c r="D5">
        <v>0</v>
      </c>
      <c r="E5">
        <v>0</v>
      </c>
      <c r="F5">
        <v>10</v>
      </c>
      <c r="G5">
        <v>12</v>
      </c>
      <c r="H5">
        <v>9</v>
      </c>
      <c r="I5">
        <v>21</v>
      </c>
      <c r="J5">
        <v>0</v>
      </c>
      <c r="K5">
        <v>4</v>
      </c>
      <c r="L5">
        <v>10.49</v>
      </c>
      <c r="M5">
        <v>10.49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2.35-0.8</f>
        <v>1.55</v>
      </c>
      <c r="M6">
        <f>2.35-0.8</f>
        <v>1.55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9</v>
      </c>
      <c r="J7">
        <v>0</v>
      </c>
      <c r="K7">
        <v>4</v>
      </c>
      <c r="L7">
        <v>2.2360000000000001E-2</v>
      </c>
      <c r="M7">
        <v>2.2360000000000001E-2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9</v>
      </c>
      <c r="I8">
        <v>21</v>
      </c>
      <c r="J8">
        <v>0</v>
      </c>
      <c r="K8">
        <v>4</v>
      </c>
      <c r="L8">
        <v>4.7500000000000001E-2</v>
      </c>
      <c r="M8">
        <v>4.7500000000000001E-2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12</v>
      </c>
      <c r="H9">
        <v>21</v>
      </c>
      <c r="I9">
        <v>24</v>
      </c>
      <c r="J9">
        <v>0</v>
      </c>
      <c r="K9">
        <v>4</v>
      </c>
      <c r="L9">
        <v>2.2360000000000001E-2</v>
      </c>
      <c r="M9">
        <v>2.2360000000000001E-2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12</v>
      </c>
      <c r="H10">
        <v>21</v>
      </c>
      <c r="I10">
        <v>24</v>
      </c>
      <c r="J10">
        <v>5</v>
      </c>
      <c r="K10">
        <v>6</v>
      </c>
      <c r="L10">
        <v>2.2360000000000001E-2</v>
      </c>
      <c r="M10">
        <v>2.2360000000000001E-2</v>
      </c>
      <c r="N10" t="s">
        <v>14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O14"/>
  <sheetViews>
    <sheetView workbookViewId="0">
      <selection sqref="A1:O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19.7601*30</f>
        <v>592.803</v>
      </c>
      <c r="M2">
        <f>19.7601*30</f>
        <v>592.803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10</v>
      </c>
      <c r="I3">
        <v>22</v>
      </c>
      <c r="J3">
        <v>0</v>
      </c>
      <c r="K3">
        <v>4</v>
      </c>
      <c r="L3">
        <v>6.7769999999999997E-2</v>
      </c>
      <c r="M3">
        <v>6.7769999999999997E-2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10</v>
      </c>
      <c r="I4">
        <v>22</v>
      </c>
      <c r="J4">
        <v>0</v>
      </c>
      <c r="K4">
        <v>4</v>
      </c>
      <c r="L4">
        <v>7.9079999999999998E-2</v>
      </c>
      <c r="M4">
        <v>7.9079999999999998E-2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10</v>
      </c>
      <c r="I5">
        <v>22</v>
      </c>
      <c r="J5">
        <v>0</v>
      </c>
      <c r="K5">
        <v>4</v>
      </c>
      <c r="L5">
        <v>6.7769999999999997E-2</v>
      </c>
      <c r="M5">
        <v>6.7769999999999997E-2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10</v>
      </c>
      <c r="J6">
        <v>0</v>
      </c>
      <c r="K6">
        <v>4</v>
      </c>
      <c r="L6">
        <v>5.0279999999999998E-2</v>
      </c>
      <c r="M6">
        <v>5.0279999999999998E-2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22</v>
      </c>
      <c r="I7">
        <v>24</v>
      </c>
      <c r="J7">
        <v>0</v>
      </c>
      <c r="K7">
        <v>4</v>
      </c>
      <c r="L7">
        <v>5.0279999999999998E-2</v>
      </c>
      <c r="M7">
        <v>5.0279999999999998E-2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5</v>
      </c>
      <c r="K8">
        <v>6</v>
      </c>
      <c r="L8">
        <v>5.0279999999999998E-2</v>
      </c>
      <c r="M8">
        <v>5.0279999999999998E-2</v>
      </c>
      <c r="N8" t="s">
        <v>14</v>
      </c>
    </row>
    <row r="9" spans="1:15" x14ac:dyDescent="0.2">
      <c r="A9" t="s">
        <v>10</v>
      </c>
      <c r="B9" t="s">
        <v>15</v>
      </c>
      <c r="C9" t="s">
        <v>16</v>
      </c>
      <c r="D9">
        <v>0</v>
      </c>
      <c r="E9">
        <v>0</v>
      </c>
      <c r="F9">
        <v>1</v>
      </c>
      <c r="G9">
        <v>5</v>
      </c>
      <c r="H9">
        <v>10</v>
      </c>
      <c r="I9">
        <v>22</v>
      </c>
      <c r="J9">
        <v>0</v>
      </c>
      <c r="K9">
        <v>4</v>
      </c>
      <c r="L9">
        <v>12.733000000000001</v>
      </c>
      <c r="M9">
        <v>12.733000000000001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18</v>
      </c>
      <c r="D10">
        <v>0</v>
      </c>
      <c r="E10">
        <v>0</v>
      </c>
      <c r="F10">
        <v>6</v>
      </c>
      <c r="G10">
        <v>9</v>
      </c>
      <c r="H10">
        <v>10</v>
      </c>
      <c r="I10">
        <v>22</v>
      </c>
      <c r="J10">
        <v>0</v>
      </c>
      <c r="K10">
        <v>4</v>
      </c>
      <c r="L10">
        <v>17.699000000000002</v>
      </c>
      <c r="M10">
        <v>17.699000000000002</v>
      </c>
      <c r="N10" t="s">
        <v>17</v>
      </c>
    </row>
    <row r="11" spans="1:15" x14ac:dyDescent="0.2">
      <c r="A11" t="s">
        <v>10</v>
      </c>
      <c r="B11" t="s">
        <v>15</v>
      </c>
      <c r="C11" t="s">
        <v>19</v>
      </c>
      <c r="D11">
        <v>0</v>
      </c>
      <c r="E11">
        <v>0</v>
      </c>
      <c r="F11">
        <v>10</v>
      </c>
      <c r="G11">
        <v>12</v>
      </c>
      <c r="H11">
        <v>10</v>
      </c>
      <c r="I11">
        <v>22</v>
      </c>
      <c r="J11">
        <v>0</v>
      </c>
      <c r="K11">
        <v>4</v>
      </c>
      <c r="L11">
        <v>12.733000000000001</v>
      </c>
      <c r="M11">
        <v>12.733000000000001</v>
      </c>
      <c r="N11" t="s">
        <v>17</v>
      </c>
    </row>
    <row r="12" spans="1:15" x14ac:dyDescent="0.2">
      <c r="A12" t="s">
        <v>10</v>
      </c>
      <c r="B12" t="s">
        <v>15</v>
      </c>
      <c r="C12" t="s">
        <v>33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2.25</v>
      </c>
      <c r="M12">
        <v>2.25</v>
      </c>
      <c r="N12" t="s">
        <v>17</v>
      </c>
    </row>
    <row r="13" spans="1:15" x14ac:dyDescent="0.2">
      <c r="A13" t="s">
        <v>21</v>
      </c>
      <c r="B13" t="s">
        <v>11</v>
      </c>
      <c r="L13">
        <f>15*30</f>
        <v>450</v>
      </c>
      <c r="M13">
        <f>15*30</f>
        <v>450</v>
      </c>
      <c r="N13" t="s">
        <v>12</v>
      </c>
      <c r="O13" t="s">
        <v>36</v>
      </c>
    </row>
    <row r="14" spans="1:15" x14ac:dyDescent="0.2">
      <c r="A14" t="s">
        <v>21</v>
      </c>
      <c r="B14" t="s">
        <v>13</v>
      </c>
      <c r="D14">
        <v>0</v>
      </c>
      <c r="E14">
        <v>0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0.48599999999999999</v>
      </c>
      <c r="M14" s="8">
        <f t="shared" ref="M14" si="0">L14/2.83168</f>
        <v>0.17162956266244772</v>
      </c>
      <c r="N14" t="s">
        <v>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0.113535</v>
      </c>
      <c r="M3">
        <v>0.113535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7</v>
      </c>
      <c r="J4">
        <v>0</v>
      </c>
      <c r="K4">
        <v>6</v>
      </c>
      <c r="L4">
        <v>3.5999999999999999E-3</v>
      </c>
      <c r="M4">
        <v>3.5999999999999999E-3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7</v>
      </c>
      <c r="I5">
        <v>24</v>
      </c>
      <c r="J5">
        <v>0</v>
      </c>
      <c r="K5">
        <v>6</v>
      </c>
      <c r="L5">
        <v>2.2100000000000002E-2</v>
      </c>
      <c r="M5">
        <v>2.2100000000000002E-2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7</v>
      </c>
      <c r="I6">
        <v>10</v>
      </c>
      <c r="J6">
        <v>0</v>
      </c>
      <c r="K6">
        <v>5</v>
      </c>
      <c r="L6">
        <v>2.2100000000000002E-2</v>
      </c>
      <c r="M6">
        <v>2.2100000000000002E-2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5</v>
      </c>
      <c r="L7">
        <v>3.44E-2</v>
      </c>
      <c r="M7">
        <v>3.44E-2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5</v>
      </c>
      <c r="L8">
        <v>2.2100000000000002E-2</v>
      </c>
      <c r="M8">
        <v>2.2100000000000002E-2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7</v>
      </c>
      <c r="I9">
        <v>24</v>
      </c>
      <c r="J9">
        <v>6</v>
      </c>
      <c r="K9">
        <v>6</v>
      </c>
      <c r="L9">
        <v>2.2100000000000002E-2</v>
      </c>
      <c r="M9">
        <v>2.2100000000000002E-2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10</v>
      </c>
      <c r="G10">
        <v>12</v>
      </c>
      <c r="H10">
        <v>7</v>
      </c>
      <c r="I10">
        <v>24</v>
      </c>
      <c r="J10">
        <v>0</v>
      </c>
      <c r="K10">
        <v>6</v>
      </c>
      <c r="L10">
        <v>2.2100000000000002E-2</v>
      </c>
      <c r="M10">
        <v>2.2100000000000002E-2</v>
      </c>
      <c r="N10" t="s">
        <v>14</v>
      </c>
    </row>
    <row r="11" spans="1:15" x14ac:dyDescent="0.2">
      <c r="A11" t="s">
        <v>10</v>
      </c>
      <c r="B11" t="s">
        <v>15</v>
      </c>
      <c r="C11" t="s">
        <v>20</v>
      </c>
      <c r="D11">
        <v>0</v>
      </c>
      <c r="E11">
        <v>0</v>
      </c>
      <c r="F11">
        <v>1</v>
      </c>
      <c r="G11">
        <v>12</v>
      </c>
      <c r="H11">
        <v>0</v>
      </c>
      <c r="I11">
        <v>7</v>
      </c>
      <c r="J11">
        <v>0</v>
      </c>
      <c r="K11">
        <v>6</v>
      </c>
      <c r="L11">
        <v>0</v>
      </c>
      <c r="M11">
        <v>0</v>
      </c>
      <c r="N11" t="s">
        <v>17</v>
      </c>
    </row>
    <row r="12" spans="1:15" x14ac:dyDescent="0.2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1</v>
      </c>
      <c r="G12">
        <v>5</v>
      </c>
      <c r="H12">
        <v>7</v>
      </c>
      <c r="I12">
        <v>24</v>
      </c>
      <c r="J12">
        <v>0</v>
      </c>
      <c r="K12">
        <v>6</v>
      </c>
      <c r="L12">
        <v>6.28</v>
      </c>
      <c r="M12">
        <v>6.28</v>
      </c>
      <c r="N12" t="s">
        <v>17</v>
      </c>
    </row>
    <row r="13" spans="1:15" x14ac:dyDescent="0.2">
      <c r="A13" t="s">
        <v>10</v>
      </c>
      <c r="B13" t="s">
        <v>15</v>
      </c>
      <c r="C13" t="s">
        <v>26</v>
      </c>
      <c r="D13">
        <v>0</v>
      </c>
      <c r="E13">
        <v>0</v>
      </c>
      <c r="F13">
        <v>6</v>
      </c>
      <c r="G13">
        <v>9</v>
      </c>
      <c r="H13">
        <v>7</v>
      </c>
      <c r="I13">
        <v>10</v>
      </c>
      <c r="J13">
        <v>0</v>
      </c>
      <c r="K13">
        <v>5</v>
      </c>
      <c r="L13">
        <v>6.28</v>
      </c>
      <c r="M13">
        <v>6.28</v>
      </c>
      <c r="N13" t="s">
        <v>17</v>
      </c>
    </row>
    <row r="14" spans="1:15" x14ac:dyDescent="0.2">
      <c r="A14" t="s">
        <v>10</v>
      </c>
      <c r="B14" t="s">
        <v>15</v>
      </c>
      <c r="C14" t="s">
        <v>27</v>
      </c>
      <c r="D14">
        <v>0</v>
      </c>
      <c r="E14">
        <v>0</v>
      </c>
      <c r="F14">
        <v>6</v>
      </c>
      <c r="G14">
        <v>9</v>
      </c>
      <c r="H14">
        <v>10</v>
      </c>
      <c r="I14">
        <v>22</v>
      </c>
      <c r="J14">
        <v>0</v>
      </c>
      <c r="K14">
        <v>5</v>
      </c>
      <c r="L14">
        <v>25.63</v>
      </c>
      <c r="M14">
        <v>25.63</v>
      </c>
      <c r="N14" t="s">
        <v>17</v>
      </c>
    </row>
    <row r="15" spans="1:15" x14ac:dyDescent="0.2">
      <c r="A15" t="s">
        <v>10</v>
      </c>
      <c r="B15" t="s">
        <v>15</v>
      </c>
      <c r="C15" t="s">
        <v>26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5</v>
      </c>
      <c r="L15">
        <v>6.28</v>
      </c>
      <c r="M15">
        <v>6.28</v>
      </c>
      <c r="N15" t="s">
        <v>17</v>
      </c>
    </row>
    <row r="16" spans="1:15" x14ac:dyDescent="0.2">
      <c r="A16" t="s">
        <v>10</v>
      </c>
      <c r="B16" t="s">
        <v>15</v>
      </c>
      <c r="C16" t="s">
        <v>28</v>
      </c>
      <c r="D16">
        <v>0</v>
      </c>
      <c r="E16">
        <v>0</v>
      </c>
      <c r="F16">
        <v>1</v>
      </c>
      <c r="G16">
        <v>5</v>
      </c>
      <c r="H16">
        <v>7</v>
      </c>
      <c r="I16">
        <v>24</v>
      </c>
      <c r="J16">
        <v>0</v>
      </c>
      <c r="K16">
        <v>6</v>
      </c>
      <c r="L16">
        <v>6.28</v>
      </c>
      <c r="M16">
        <v>6.28</v>
      </c>
      <c r="N16" t="s">
        <v>17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O7"/>
  <sheetViews>
    <sheetView workbookViewId="0">
      <selection activeCell="D1" sqref="A1:O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79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80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80</v>
      </c>
    </row>
    <row r="6" spans="1:15" x14ac:dyDescent="0.2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81</v>
      </c>
    </row>
    <row r="7" spans="1:15" x14ac:dyDescent="0.2">
      <c r="A7" s="1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O14"/>
  <sheetViews>
    <sheetView workbookViewId="0">
      <selection activeCell="I17" sqref="I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3.6640625" bestFit="1" customWidth="1"/>
    <col min="12" max="12" width="14.1640625" bestFit="1" customWidth="1"/>
    <col min="13" max="13" width="14.1640625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85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85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 t="shared" ref="M13:M14" si="0">L13/2.83168</f>
        <v>0.17092326816589445</v>
      </c>
      <c r="N13" t="s">
        <v>85</v>
      </c>
    </row>
    <row r="14" spans="1:15" x14ac:dyDescent="0.2">
      <c r="A14" t="s">
        <v>21</v>
      </c>
      <c r="B14" t="s">
        <v>13</v>
      </c>
      <c r="D14">
        <v>3000</v>
      </c>
      <c r="E14" s="10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 t="shared" si="0"/>
        <v>0.11777460730025992</v>
      </c>
      <c r="N14" t="s">
        <v>85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O12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O7"/>
  <sheetViews>
    <sheetView workbookViewId="0">
      <selection activeCell="D3" sqref="D3:D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O7"/>
  <sheetViews>
    <sheetView workbookViewId="0">
      <selection activeCell="O4" sqref="A1:O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6.3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14" width="8" bestFit="1" customWidth="1"/>
    <col min="15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79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80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80</v>
      </c>
    </row>
    <row r="6" spans="1:15" x14ac:dyDescent="0.2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81</v>
      </c>
    </row>
    <row r="7" spans="1:15" x14ac:dyDescent="0.2">
      <c r="A7" s="1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O10"/>
  <sheetViews>
    <sheetView workbookViewId="0">
      <selection activeCell="D3" sqref="D3:D1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360</v>
      </c>
      <c r="M2">
        <v>360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0.01447+0.00213+0.00088+0.01013+0.0005-0.00117</f>
        <v>2.6939999999999999E-2</v>
      </c>
      <c r="M3">
        <f>0.01447+0.00213+0.00088+0.01013+0.0005-0.00117</f>
        <v>2.6939999999999999E-2</v>
      </c>
      <c r="N3" t="s">
        <v>14</v>
      </c>
    </row>
    <row r="4" spans="1:15" x14ac:dyDescent="0.2">
      <c r="A4" t="s">
        <v>10</v>
      </c>
      <c r="B4" t="s">
        <v>15</v>
      </c>
      <c r="C4" t="s">
        <v>39</v>
      </c>
      <c r="D4">
        <v>0</v>
      </c>
      <c r="E4">
        <v>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12.22+8.18</f>
        <v>20.399999999999999</v>
      </c>
      <c r="M4">
        <f>12.22+8.18</f>
        <v>20.399999999999999</v>
      </c>
      <c r="N4" t="s">
        <v>17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0</v>
      </c>
      <c r="I5">
        <v>24</v>
      </c>
      <c r="J5">
        <v>0</v>
      </c>
      <c r="K5">
        <v>6</v>
      </c>
      <c r="L5">
        <f>21.44+8.18</f>
        <v>29.62</v>
      </c>
      <c r="M5">
        <f>21.44+8.18</f>
        <v>29.62</v>
      </c>
      <c r="N5" t="s">
        <v>17</v>
      </c>
    </row>
    <row r="6" spans="1:15" x14ac:dyDescent="0.2">
      <c r="A6" t="s">
        <v>10</v>
      </c>
      <c r="B6" t="s">
        <v>15</v>
      </c>
      <c r="C6" t="s">
        <v>41</v>
      </c>
      <c r="D6">
        <v>0</v>
      </c>
      <c r="E6">
        <v>0</v>
      </c>
      <c r="F6">
        <v>10</v>
      </c>
      <c r="G6">
        <v>12</v>
      </c>
      <c r="H6">
        <v>0</v>
      </c>
      <c r="I6">
        <v>24</v>
      </c>
      <c r="J6">
        <v>0</v>
      </c>
      <c r="K6">
        <v>6</v>
      </c>
      <c r="L6">
        <f>12.22+8.18</f>
        <v>20.399999999999999</v>
      </c>
      <c r="M6">
        <f>12.22+8.18</f>
        <v>20.399999999999999</v>
      </c>
      <c r="N6" t="s">
        <v>17</v>
      </c>
    </row>
    <row r="7" spans="1:15" x14ac:dyDescent="0.2">
      <c r="A7" t="s">
        <v>21</v>
      </c>
      <c r="B7" t="s">
        <v>11</v>
      </c>
      <c r="L7">
        <v>125</v>
      </c>
      <c r="M7">
        <v>125</v>
      </c>
      <c r="N7" t="s">
        <v>12</v>
      </c>
    </row>
    <row r="8" spans="1:15" x14ac:dyDescent="0.2">
      <c r="A8" t="s">
        <v>21</v>
      </c>
      <c r="B8" t="s">
        <v>13</v>
      </c>
      <c r="D8">
        <v>0</v>
      </c>
      <c r="E8">
        <v>0</v>
      </c>
      <c r="F8">
        <v>1</v>
      </c>
      <c r="G8">
        <v>4</v>
      </c>
      <c r="H8">
        <v>0</v>
      </c>
      <c r="I8">
        <v>24</v>
      </c>
      <c r="J8">
        <v>0</v>
      </c>
      <c r="K8">
        <v>6</v>
      </c>
      <c r="L8">
        <v>0.36509999999999998</v>
      </c>
      <c r="M8" s="7">
        <f>L8/2.83168</f>
        <v>0.12893406034580179</v>
      </c>
      <c r="N8" t="s">
        <v>85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5</v>
      </c>
      <c r="G9">
        <v>9</v>
      </c>
      <c r="H9">
        <v>0</v>
      </c>
      <c r="I9">
        <v>24</v>
      </c>
      <c r="J9">
        <v>0</v>
      </c>
      <c r="K9">
        <v>6</v>
      </c>
      <c r="L9">
        <v>0.3226</v>
      </c>
      <c r="M9" s="7">
        <f>L9/2.83168</f>
        <v>0.11392530229404453</v>
      </c>
      <c r="N9" t="s">
        <v>85</v>
      </c>
    </row>
    <row r="10" spans="1:15" x14ac:dyDescent="0.2">
      <c r="A10" t="s">
        <v>21</v>
      </c>
      <c r="B10" t="s">
        <v>13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0.36509999999999998</v>
      </c>
      <c r="M10" s="7">
        <f>L10/2.83168</f>
        <v>0.12893406034580179</v>
      </c>
      <c r="N10" t="s">
        <v>85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O22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85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85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85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O22"/>
  <sheetViews>
    <sheetView workbookViewId="0">
      <selection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85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85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85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O22"/>
  <sheetViews>
    <sheetView workbookViewId="0">
      <selection activeCell="D3" sqref="D3:D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197.49</v>
      </c>
      <c r="M2">
        <v>197.49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1.1589</v>
      </c>
      <c r="M3">
        <v>1.1589</v>
      </c>
      <c r="N3" t="s">
        <v>17</v>
      </c>
    </row>
    <row r="4" spans="1:15" x14ac:dyDescent="0.2">
      <c r="A4" t="s">
        <v>10</v>
      </c>
      <c r="B4" t="s">
        <v>15</v>
      </c>
      <c r="C4" t="s">
        <v>58</v>
      </c>
      <c r="D4">
        <v>0</v>
      </c>
      <c r="E4">
        <v>0</v>
      </c>
      <c r="F4">
        <v>6</v>
      </c>
      <c r="G4">
        <v>10</v>
      </c>
      <c r="H4">
        <v>12</v>
      </c>
      <c r="I4">
        <v>20</v>
      </c>
      <c r="J4">
        <v>0</v>
      </c>
      <c r="K4">
        <v>4</v>
      </c>
      <c r="L4">
        <v>1.4138999999999999</v>
      </c>
      <c r="M4">
        <v>1.4138999999999999</v>
      </c>
      <c r="N4" t="s">
        <v>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0</v>
      </c>
      <c r="I5">
        <v>8</v>
      </c>
      <c r="J5">
        <v>0</v>
      </c>
      <c r="K5">
        <v>4</v>
      </c>
      <c r="L5">
        <f>0.0537+0.05199</f>
        <v>0.10569000000000001</v>
      </c>
      <c r="M5">
        <f>0.0537+0.05199</f>
        <v>0.10569000000000001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8</v>
      </c>
      <c r="I6">
        <v>12</v>
      </c>
      <c r="J6">
        <v>0</v>
      </c>
      <c r="K6">
        <v>4</v>
      </c>
      <c r="L6">
        <f>0.05866+0.05199</f>
        <v>0.11065</v>
      </c>
      <c r="M6">
        <f>0.05866+0.05199</f>
        <v>0.11065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12</v>
      </c>
      <c r="I7">
        <v>20</v>
      </c>
      <c r="J7">
        <v>0</v>
      </c>
      <c r="K7">
        <v>4</v>
      </c>
      <c r="L7">
        <f>0.05916+0.05199</f>
        <v>0.11115</v>
      </c>
      <c r="M7">
        <f>0.05916+0.05199</f>
        <v>0.11115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20</v>
      </c>
      <c r="I8">
        <v>24</v>
      </c>
      <c r="J8">
        <v>0</v>
      </c>
      <c r="K8">
        <v>4</v>
      </c>
      <c r="L8">
        <f>0.05866+0.05199</f>
        <v>0.11065</v>
      </c>
      <c r="M8">
        <f>0.05866+0.05199</f>
        <v>0.11065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5</v>
      </c>
      <c r="H9">
        <v>0</v>
      </c>
      <c r="I9">
        <v>24</v>
      </c>
      <c r="J9">
        <v>5</v>
      </c>
      <c r="K9">
        <v>6</v>
      </c>
      <c r="L9">
        <f>0.0537+0.05199</f>
        <v>0.10569000000000001</v>
      </c>
      <c r="M9">
        <f>0.0537+0.05199</f>
        <v>0.10569000000000001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10</v>
      </c>
      <c r="H10">
        <v>0</v>
      </c>
      <c r="I10">
        <v>8</v>
      </c>
      <c r="J10">
        <v>0</v>
      </c>
      <c r="K10">
        <v>4</v>
      </c>
      <c r="L10">
        <f>0.04561+0.05199</f>
        <v>9.7599999999999992E-2</v>
      </c>
      <c r="M10">
        <f>0.04561+0.05199</f>
        <v>9.7599999999999992E-2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10</v>
      </c>
      <c r="H11">
        <v>8</v>
      </c>
      <c r="I11">
        <v>12</v>
      </c>
      <c r="J11">
        <v>0</v>
      </c>
      <c r="K11">
        <v>4</v>
      </c>
      <c r="L11">
        <f>0.05119+0.05199</f>
        <v>0.10317999999999999</v>
      </c>
      <c r="M11">
        <f>0.05119+0.05199</f>
        <v>0.10317999999999999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10</v>
      </c>
      <c r="H12">
        <v>12</v>
      </c>
      <c r="I12">
        <v>20</v>
      </c>
      <c r="J12">
        <v>0</v>
      </c>
      <c r="K12">
        <v>4</v>
      </c>
      <c r="L12">
        <f>0.0606+0.05199</f>
        <v>0.11259</v>
      </c>
      <c r="M12">
        <f>0.0606+0.05199</f>
        <v>0.11259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20</v>
      </c>
      <c r="I13">
        <v>24</v>
      </c>
      <c r="J13">
        <v>0</v>
      </c>
      <c r="K13">
        <v>4</v>
      </c>
      <c r="L13">
        <f>0.05119+0.05199</f>
        <v>0.10317999999999999</v>
      </c>
      <c r="M13">
        <f>0.05119+0.05199</f>
        <v>0.10317999999999999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0</v>
      </c>
      <c r="I14">
        <v>24</v>
      </c>
      <c r="J14">
        <v>5</v>
      </c>
      <c r="K14">
        <v>6</v>
      </c>
      <c r="L14">
        <f>0.04561+0.05199</f>
        <v>9.7599999999999992E-2</v>
      </c>
      <c r="M14">
        <f>0.04561+0.05199</f>
        <v>9.7599999999999992E-2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0</v>
      </c>
      <c r="I15">
        <v>8</v>
      </c>
      <c r="J15">
        <v>0</v>
      </c>
      <c r="K15">
        <v>4</v>
      </c>
      <c r="L15">
        <f>0.0537+0.05199</f>
        <v>0.10569000000000001</v>
      </c>
      <c r="M15">
        <f>0.0537+0.05199</f>
        <v>0.10569000000000001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11</v>
      </c>
      <c r="G16">
        <v>12</v>
      </c>
      <c r="H16">
        <v>8</v>
      </c>
      <c r="I16">
        <v>12</v>
      </c>
      <c r="J16">
        <v>0</v>
      </c>
      <c r="K16">
        <v>4</v>
      </c>
      <c r="L16">
        <f>0.05866+0.05199</f>
        <v>0.11065</v>
      </c>
      <c r="M16">
        <f>0.05866+0.05199</f>
        <v>0.11065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11</v>
      </c>
      <c r="G17">
        <v>12</v>
      </c>
      <c r="H17">
        <v>12</v>
      </c>
      <c r="I17">
        <v>20</v>
      </c>
      <c r="J17">
        <v>0</v>
      </c>
      <c r="K17">
        <v>4</v>
      </c>
      <c r="L17">
        <f>0.05916+0.05199</f>
        <v>0.11115</v>
      </c>
      <c r="M17">
        <f>0.05916+0.05199</f>
        <v>0.11115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11</v>
      </c>
      <c r="G18">
        <v>12</v>
      </c>
      <c r="H18">
        <v>20</v>
      </c>
      <c r="I18">
        <v>24</v>
      </c>
      <c r="J18">
        <v>0</v>
      </c>
      <c r="K18">
        <v>4</v>
      </c>
      <c r="L18">
        <f>0.05866+0.05199</f>
        <v>0.11065</v>
      </c>
      <c r="M18">
        <f>0.05866+0.05199</f>
        <v>0.11065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24</v>
      </c>
      <c r="J19">
        <v>5</v>
      </c>
      <c r="K19">
        <v>6</v>
      </c>
      <c r="L19">
        <f>0.0537+0.05199</f>
        <v>0.10569000000000001</v>
      </c>
      <c r="M19">
        <f>0.0537+0.05199</f>
        <v>0.10569000000000001</v>
      </c>
      <c r="N19" t="s">
        <v>14</v>
      </c>
    </row>
    <row r="20" spans="1:14" x14ac:dyDescent="0.2">
      <c r="A20" t="s">
        <v>21</v>
      </c>
      <c r="B20" t="s">
        <v>11</v>
      </c>
      <c r="L20">
        <v>63.7</v>
      </c>
      <c r="M20">
        <v>63.7</v>
      </c>
      <c r="N20" t="s">
        <v>12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0.40060000000000001</v>
      </c>
      <c r="M21" s="7">
        <f>L21/2.83168</f>
        <v>0.14147078765962257</v>
      </c>
      <c r="N21" t="s">
        <v>85</v>
      </c>
    </row>
    <row r="22" spans="1:14" x14ac:dyDescent="0.2">
      <c r="A22" t="s">
        <v>21</v>
      </c>
      <c r="B22" t="s">
        <v>15</v>
      </c>
      <c r="C22" t="s">
        <v>23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3.5200000000000002E-2</v>
      </c>
      <c r="M22" s="7">
        <f>L22/2.83168</f>
        <v>1.243078313933778E-2</v>
      </c>
      <c r="N22" t="s">
        <v>86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O7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>
        <f>(14.07+17.1+2.92)/4.5</f>
        <v>7.5755555555555567</v>
      </c>
      <c r="M3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58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(14.07+17.1+2.92)/4.5</f>
        <v>7.5755555555555567</v>
      </c>
      <c r="M5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(14.07+17.1+2.92)/4.5</f>
        <v>7.5755555555555567</v>
      </c>
      <c r="M6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12000053001</vt:lpstr>
      <vt:lpstr>48003033002</vt:lpstr>
      <vt:lpstr>31001825002</vt:lpstr>
      <vt:lpstr>36001010001</vt:lpstr>
      <vt:lpstr>36001010017</vt:lpstr>
      <vt:lpstr>9000641001</vt:lpstr>
      <vt:lpstr>6005025001</vt:lpstr>
      <vt:lpstr>35000021001</vt:lpstr>
      <vt:lpstr>36001010006</vt:lpstr>
      <vt:lpstr>48008015001</vt:lpstr>
      <vt:lpstr>34006012001</vt:lpstr>
      <vt:lpstr>6004010004</vt:lpstr>
      <vt:lpstr>36002001007</vt:lpstr>
      <vt:lpstr>51000161001</vt:lpstr>
      <vt:lpstr>40000123012</vt:lpstr>
      <vt:lpstr>53001280001</vt:lpstr>
      <vt:lpstr>36002001004</vt:lpstr>
      <vt:lpstr>32000011001</vt:lpstr>
      <vt:lpstr>36002001006</vt:lpstr>
      <vt:lpstr>41000017001</vt:lpstr>
      <vt:lpstr>47000245002</vt:lpstr>
      <vt:lpstr>24000001002</vt:lpstr>
      <vt:lpstr>42006056001</vt:lpstr>
      <vt:lpstr>53000776001</vt:lpstr>
      <vt:lpstr>47000940001</vt:lpstr>
      <vt:lpstr>36007136001</vt:lpstr>
      <vt:lpstr>39002093001</vt:lpstr>
      <vt:lpstr>12000001001</vt:lpstr>
      <vt:lpstr>10000027001</vt:lpstr>
      <vt:lpstr>51000154002</vt:lpstr>
      <vt:lpstr>6005053001</vt:lpstr>
      <vt:lpstr>34001005001</vt:lpstr>
      <vt:lpstr>15000003001</vt:lpstr>
      <vt:lpstr>48004026002</vt:lpstr>
      <vt:lpstr>39000084001</vt:lpstr>
      <vt:lpstr>36003169012</vt:lpstr>
      <vt:lpstr>39001792001</vt:lpstr>
      <vt:lpstr>6002032003</vt:lpstr>
      <vt:lpstr>6002036001</vt:lpstr>
      <vt:lpstr>26004005011</vt:lpstr>
      <vt:lpstr>29001011001</vt:lpstr>
      <vt:lpstr>6004009003</vt:lpstr>
      <vt:lpstr>34001030001</vt:lpstr>
      <vt:lpstr>39008260001</vt:lpstr>
      <vt:lpstr>36008024001</vt:lpstr>
      <vt:lpstr>36002001010</vt:lpstr>
      <vt:lpstr>13000012004</vt:lpstr>
      <vt:lpstr>6008022001</vt:lpstr>
      <vt:lpstr>32000200820</vt:lpstr>
      <vt:lpstr>47000940002</vt:lpstr>
      <vt:lpstr>47001016001</vt:lpstr>
      <vt:lpstr>12000017028</vt:lpstr>
      <vt:lpstr>22009071001</vt:lpstr>
      <vt:lpstr>36002001009</vt:lpstr>
      <vt:lpstr>42000094003</vt:lpstr>
      <vt:lpstr>12000017027</vt:lpstr>
      <vt:lpstr>39001792002</vt:lpstr>
      <vt:lpstr>48007039001</vt:lpstr>
      <vt:lpstr>36002001005</vt:lpstr>
      <vt:lpstr>21000025001</vt:lpstr>
      <vt:lpstr>53000776002</vt:lpstr>
      <vt:lpstr>29001023001</vt:lpstr>
      <vt:lpstr>29001023002</vt:lpstr>
      <vt:lpstr>18000061001</vt:lpstr>
      <vt:lpstr>36002001002</vt:lpstr>
      <vt:lpstr>48004026001</vt:lpstr>
      <vt:lpstr>12000017004</vt:lpstr>
      <vt:lpstr>36002001003</vt:lpstr>
      <vt:lpstr>39001666001</vt:lpstr>
      <vt:lpstr>48004122001</vt:lpstr>
      <vt:lpstr>4001318001</vt:lpstr>
      <vt:lpstr>6002041001</vt:lpstr>
      <vt:lpstr>36009071001</vt:lpstr>
      <vt:lpstr>39003369002</vt:lpstr>
      <vt:lpstr>6008022002</vt:lpstr>
      <vt:lpstr>48000004001</vt:lpstr>
      <vt:lpstr>8000070001</vt:lpstr>
      <vt:lpstr>24000001001</vt:lpstr>
      <vt:lpstr>42005016001</vt:lpstr>
      <vt:lpstr>6005009001</vt:lpstr>
      <vt:lpstr>6002121001</vt:lpstr>
      <vt:lpstr>36002001012</vt:lpstr>
      <vt:lpstr>39001666002</vt:lpstr>
      <vt:lpstr>34002065001</vt:lpstr>
      <vt:lpstr>6009031001</vt:lpstr>
      <vt:lpstr>42000094001</vt:lpstr>
      <vt:lpstr>42000094002</vt:lpstr>
      <vt:lpstr>27000001001</vt:lpstr>
      <vt:lpstr>55003100001</vt:lpstr>
      <vt:lpstr>17000721009</vt:lpstr>
      <vt:lpstr>36002001001</vt:lpstr>
      <vt:lpstr>36002001011</vt:lpstr>
      <vt:lpstr>34001082001</vt:lpstr>
      <vt:lpstr>17000721007</vt:lpstr>
      <vt:lpstr>25000128001</vt:lpstr>
      <vt:lpstr>6004010001</vt:lpstr>
      <vt:lpstr>6004009001</vt:lpstr>
      <vt:lpstr>11000001001</vt:lpstr>
      <vt:lpstr>26000596001</vt:lpstr>
      <vt:lpstr>17000721001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Fletcher Chapin</cp:lastModifiedBy>
  <dcterms:modified xsi:type="dcterms:W3CDTF">2023-09-07T21:53:49Z</dcterms:modified>
</cp:coreProperties>
</file>