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indau.mam2024\Desktop\"/>
    </mc:Choice>
  </mc:AlternateContent>
  <bookViews>
    <workbookView xWindow="10395" yWindow="-105" windowWidth="14850" windowHeight="12735"/>
  </bookViews>
  <sheets>
    <sheet name="BIData" sheetId="2" r:id="rId1"/>
    <sheet name="ReferenceData" sheetId="3" r:id="rId2"/>
    <sheet name="Help-Reference" sheetId="4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</workbook>
</file>

<file path=xl/calcChain.xml><?xml version="1.0" encoding="utf-8"?>
<calcChain xmlns="http://schemas.openxmlformats.org/spreadsheetml/2006/main">
  <c r="C89" i="3" l="1"/>
  <c r="FQ97" i="3"/>
  <c r="FP97" i="3"/>
  <c r="FO97" i="3"/>
  <c r="FN97" i="3"/>
  <c r="FM97" i="3"/>
  <c r="FL97" i="3"/>
  <c r="FK97" i="3"/>
  <c r="FJ97" i="3"/>
  <c r="FI97" i="3"/>
  <c r="FH97" i="3"/>
  <c r="FG97" i="3"/>
  <c r="FF97" i="3"/>
  <c r="FE97" i="3"/>
  <c r="FD97" i="3"/>
  <c r="FC97" i="3"/>
  <c r="FB97" i="3"/>
  <c r="FA97" i="3"/>
  <c r="EZ97" i="3"/>
  <c r="EY97" i="3"/>
  <c r="EX97" i="3"/>
  <c r="EW97" i="3"/>
  <c r="EV97" i="3"/>
  <c r="EU97" i="3"/>
  <c r="ET97" i="3"/>
  <c r="ES97" i="3"/>
  <c r="ER97" i="3"/>
  <c r="EQ97" i="3"/>
  <c r="EP97" i="3"/>
  <c r="EO97" i="3"/>
  <c r="EN97" i="3"/>
  <c r="EM97" i="3"/>
  <c r="EL97" i="3"/>
  <c r="EK97" i="3"/>
  <c r="EJ97" i="3"/>
  <c r="EI97" i="3"/>
  <c r="EH97" i="3"/>
  <c r="EG97" i="3"/>
  <c r="EF97" i="3"/>
  <c r="EE97" i="3"/>
  <c r="ED97" i="3"/>
  <c r="EC97" i="3"/>
  <c r="EB97" i="3"/>
  <c r="EA97" i="3"/>
  <c r="DZ97" i="3"/>
  <c r="DY97" i="3"/>
  <c r="DX97" i="3"/>
  <c r="DW97" i="3"/>
  <c r="DV97" i="3"/>
  <c r="DU97" i="3"/>
  <c r="DT97" i="3"/>
  <c r="DS97" i="3"/>
  <c r="DR97" i="3"/>
  <c r="DQ97" i="3"/>
  <c r="DP97" i="3"/>
  <c r="DO97" i="3"/>
  <c r="DN97" i="3"/>
  <c r="DM97" i="3"/>
  <c r="DL97" i="3"/>
  <c r="DK97" i="3"/>
  <c r="DJ97" i="3"/>
  <c r="DI97" i="3"/>
  <c r="DH97" i="3"/>
  <c r="DG97" i="3"/>
  <c r="DF97" i="3"/>
  <c r="DE97" i="3"/>
  <c r="DD97" i="3"/>
  <c r="DC97" i="3"/>
  <c r="DB97" i="3"/>
  <c r="DA97" i="3"/>
  <c r="CZ97" i="3"/>
  <c r="CY97" i="3"/>
  <c r="CX97" i="3"/>
  <c r="CW97" i="3"/>
  <c r="CV97" i="3"/>
  <c r="CU97" i="3"/>
  <c r="CT97" i="3"/>
  <c r="CS97" i="3"/>
  <c r="CR97" i="3"/>
  <c r="CQ97" i="3"/>
  <c r="CP97" i="3"/>
  <c r="CO97" i="3"/>
  <c r="CN97" i="3"/>
  <c r="CM97" i="3"/>
  <c r="CL97" i="3"/>
  <c r="E97" i="3"/>
  <c r="D97" i="3"/>
  <c r="C97" i="3"/>
  <c r="B97" i="3"/>
  <c r="A97" i="3"/>
  <c r="FQ96" i="3"/>
  <c r="FP96" i="3"/>
  <c r="FO96" i="3"/>
  <c r="FN96" i="3"/>
  <c r="FM96" i="3"/>
  <c r="FL96" i="3"/>
  <c r="FK96" i="3"/>
  <c r="FJ96" i="3"/>
  <c r="FI96" i="3"/>
  <c r="FH96" i="3"/>
  <c r="FG96" i="3"/>
  <c r="FF96" i="3"/>
  <c r="FE96" i="3"/>
  <c r="FD96" i="3"/>
  <c r="FC96" i="3"/>
  <c r="FB96" i="3"/>
  <c r="FA96" i="3"/>
  <c r="EZ96" i="3"/>
  <c r="EY96" i="3"/>
  <c r="EX96" i="3"/>
  <c r="EW96" i="3"/>
  <c r="EV96" i="3"/>
  <c r="EU96" i="3"/>
  <c r="ET96" i="3"/>
  <c r="ES96" i="3"/>
  <c r="ER96" i="3"/>
  <c r="EQ96" i="3"/>
  <c r="EP96" i="3"/>
  <c r="EO96" i="3"/>
  <c r="EN96" i="3"/>
  <c r="EM96" i="3"/>
  <c r="EL96" i="3"/>
  <c r="EK96" i="3"/>
  <c r="EJ96" i="3"/>
  <c r="EI96" i="3"/>
  <c r="EH96" i="3"/>
  <c r="EG96" i="3"/>
  <c r="EF96" i="3"/>
  <c r="EE96" i="3"/>
  <c r="ED96" i="3"/>
  <c r="EC96" i="3"/>
  <c r="EB96" i="3"/>
  <c r="EA96" i="3"/>
  <c r="DZ96" i="3"/>
  <c r="DY96" i="3"/>
  <c r="DX96" i="3"/>
  <c r="DW96" i="3"/>
  <c r="DV96" i="3"/>
  <c r="DU96" i="3"/>
  <c r="DT96" i="3"/>
  <c r="DS96" i="3"/>
  <c r="DR96" i="3"/>
  <c r="DQ96" i="3"/>
  <c r="DP96" i="3"/>
  <c r="DO96" i="3"/>
  <c r="DN96" i="3"/>
  <c r="DM96" i="3"/>
  <c r="DL96" i="3"/>
  <c r="DK96" i="3"/>
  <c r="DJ96" i="3"/>
  <c r="DI96" i="3"/>
  <c r="DH96" i="3"/>
  <c r="DG96" i="3"/>
  <c r="DF96" i="3"/>
  <c r="DE96" i="3"/>
  <c r="DD96" i="3"/>
  <c r="DC96" i="3"/>
  <c r="DB96" i="3"/>
  <c r="DA96" i="3"/>
  <c r="CZ96" i="3"/>
  <c r="CY96" i="3"/>
  <c r="CX96" i="3"/>
  <c r="CW96" i="3"/>
  <c r="CV96" i="3"/>
  <c r="CU96" i="3"/>
  <c r="CT96" i="3"/>
  <c r="CS96" i="3"/>
  <c r="CR96" i="3"/>
  <c r="CQ96" i="3"/>
  <c r="CP96" i="3"/>
  <c r="CO96" i="3"/>
  <c r="CN96" i="3"/>
  <c r="CM96" i="3"/>
  <c r="CL96" i="3"/>
  <c r="A96" i="3"/>
  <c r="FQ95" i="3"/>
  <c r="FP95" i="3"/>
  <c r="FO95" i="3"/>
  <c r="FN95" i="3"/>
  <c r="FM95" i="3"/>
  <c r="FL95" i="3"/>
  <c r="FK95" i="3"/>
  <c r="FJ95" i="3"/>
  <c r="FI95" i="3"/>
  <c r="FH95" i="3"/>
  <c r="FG95" i="3"/>
  <c r="FF95" i="3"/>
  <c r="FE95" i="3"/>
  <c r="FD95" i="3"/>
  <c r="FC95" i="3"/>
  <c r="FB95" i="3"/>
  <c r="FA95" i="3"/>
  <c r="EZ95" i="3"/>
  <c r="EY95" i="3"/>
  <c r="EX95" i="3"/>
  <c r="EW95" i="3"/>
  <c r="EV95" i="3"/>
  <c r="EU95" i="3"/>
  <c r="ET95" i="3"/>
  <c r="ES95" i="3"/>
  <c r="ER95" i="3"/>
  <c r="EQ95" i="3"/>
  <c r="EP95" i="3"/>
  <c r="EO95" i="3"/>
  <c r="EN95" i="3"/>
  <c r="EM95" i="3"/>
  <c r="EL95" i="3"/>
  <c r="EK95" i="3"/>
  <c r="EJ95" i="3"/>
  <c r="EI95" i="3"/>
  <c r="EH95" i="3"/>
  <c r="EG95" i="3"/>
  <c r="EF95" i="3"/>
  <c r="EE95" i="3"/>
  <c r="ED95" i="3"/>
  <c r="EC95" i="3"/>
  <c r="EB95" i="3"/>
  <c r="EA95" i="3"/>
  <c r="DZ95" i="3"/>
  <c r="DY95" i="3"/>
  <c r="DX95" i="3"/>
  <c r="DW95" i="3"/>
  <c r="DV95" i="3"/>
  <c r="DU95" i="3"/>
  <c r="DT95" i="3"/>
  <c r="DS95" i="3"/>
  <c r="DR95" i="3"/>
  <c r="DQ95" i="3"/>
  <c r="DP95" i="3"/>
  <c r="DO95" i="3"/>
  <c r="DN95" i="3"/>
  <c r="DM95" i="3"/>
  <c r="DL95" i="3"/>
  <c r="DK95" i="3"/>
  <c r="DJ95" i="3"/>
  <c r="DI95" i="3"/>
  <c r="DH95" i="3"/>
  <c r="DG95" i="3"/>
  <c r="DF95" i="3"/>
  <c r="DE95" i="3"/>
  <c r="DD95" i="3"/>
  <c r="DC95" i="3"/>
  <c r="DB95" i="3"/>
  <c r="DA95" i="3"/>
  <c r="CZ95" i="3"/>
  <c r="CY95" i="3"/>
  <c r="CX95" i="3"/>
  <c r="CW95" i="3"/>
  <c r="CV95" i="3"/>
  <c r="CU95" i="3"/>
  <c r="CT95" i="3"/>
  <c r="CS95" i="3"/>
  <c r="CR95" i="3"/>
  <c r="CQ95" i="3"/>
  <c r="CP95" i="3"/>
  <c r="CO95" i="3"/>
  <c r="CN95" i="3"/>
  <c r="CM95" i="3"/>
  <c r="CL95" i="3"/>
  <c r="A95" i="3"/>
  <c r="FQ94" i="3"/>
  <c r="FP94" i="3"/>
  <c r="FO94" i="3"/>
  <c r="FN94" i="3"/>
  <c r="FM94" i="3"/>
  <c r="FL94" i="3"/>
  <c r="FK94" i="3"/>
  <c r="FJ94" i="3"/>
  <c r="FI94" i="3"/>
  <c r="FH94" i="3"/>
  <c r="FG94" i="3"/>
  <c r="FF94" i="3"/>
  <c r="FE94" i="3"/>
  <c r="FD94" i="3"/>
  <c r="FC94" i="3"/>
  <c r="FB94" i="3"/>
  <c r="FA94" i="3"/>
  <c r="EZ94" i="3"/>
  <c r="EY94" i="3"/>
  <c r="EX94" i="3"/>
  <c r="EW94" i="3"/>
  <c r="EV94" i="3"/>
  <c r="EU94" i="3"/>
  <c r="ET94" i="3"/>
  <c r="ES94" i="3"/>
  <c r="ER94" i="3"/>
  <c r="EQ94" i="3"/>
  <c r="EP94" i="3"/>
  <c r="EO94" i="3"/>
  <c r="EN94" i="3"/>
  <c r="EM94" i="3"/>
  <c r="EL94" i="3"/>
  <c r="EK94" i="3"/>
  <c r="EJ94" i="3"/>
  <c r="EI94" i="3"/>
  <c r="EH94" i="3"/>
  <c r="EG94" i="3"/>
  <c r="EF94" i="3"/>
  <c r="EE94" i="3"/>
  <c r="ED94" i="3"/>
  <c r="EC94" i="3"/>
  <c r="EB94" i="3"/>
  <c r="EA94" i="3"/>
  <c r="DZ94" i="3"/>
  <c r="DY94" i="3"/>
  <c r="DX94" i="3"/>
  <c r="DW94" i="3"/>
  <c r="DV94" i="3"/>
  <c r="DU94" i="3"/>
  <c r="DT94" i="3"/>
  <c r="DS94" i="3"/>
  <c r="DR94" i="3"/>
  <c r="DQ94" i="3"/>
  <c r="DP94" i="3"/>
  <c r="DO94" i="3"/>
  <c r="DN94" i="3"/>
  <c r="DM94" i="3"/>
  <c r="DL94" i="3"/>
  <c r="DK94" i="3"/>
  <c r="DJ94" i="3"/>
  <c r="DI94" i="3"/>
  <c r="DH94" i="3"/>
  <c r="DG94" i="3"/>
  <c r="DF94" i="3"/>
  <c r="DE94" i="3"/>
  <c r="DD94" i="3"/>
  <c r="DC94" i="3"/>
  <c r="DB94" i="3"/>
  <c r="DA94" i="3"/>
  <c r="CZ94" i="3"/>
  <c r="CY94" i="3"/>
  <c r="CX94" i="3"/>
  <c r="CW94" i="3"/>
  <c r="CV94" i="3"/>
  <c r="CU94" i="3"/>
  <c r="CT94" i="3"/>
  <c r="CS94" i="3"/>
  <c r="CR94" i="3"/>
  <c r="CQ94" i="3"/>
  <c r="CP94" i="3"/>
  <c r="CO94" i="3"/>
  <c r="CN94" i="3"/>
  <c r="CM94" i="3"/>
  <c r="CL94" i="3"/>
  <c r="A94" i="3"/>
  <c r="FQ93" i="3"/>
  <c r="FP93" i="3"/>
  <c r="FO93" i="3"/>
  <c r="FN93" i="3"/>
  <c r="FM93" i="3"/>
  <c r="FL93" i="3"/>
  <c r="FK93" i="3"/>
  <c r="FJ93" i="3"/>
  <c r="FI93" i="3"/>
  <c r="FH93" i="3"/>
  <c r="FG93" i="3"/>
  <c r="FF93" i="3"/>
  <c r="FE93" i="3"/>
  <c r="FD93" i="3"/>
  <c r="FC93" i="3"/>
  <c r="FB93" i="3"/>
  <c r="FA93" i="3"/>
  <c r="EZ93" i="3"/>
  <c r="EY93" i="3"/>
  <c r="EX93" i="3"/>
  <c r="EW93" i="3"/>
  <c r="EV93" i="3"/>
  <c r="EU93" i="3"/>
  <c r="ET93" i="3"/>
  <c r="ES93" i="3"/>
  <c r="ER93" i="3"/>
  <c r="EQ93" i="3"/>
  <c r="EP93" i="3"/>
  <c r="EO93" i="3"/>
  <c r="EN93" i="3"/>
  <c r="EM93" i="3"/>
  <c r="EL93" i="3"/>
  <c r="EK93" i="3"/>
  <c r="EJ93" i="3"/>
  <c r="EI93" i="3"/>
  <c r="EH93" i="3"/>
  <c r="EG93" i="3"/>
  <c r="EF93" i="3"/>
  <c r="EE93" i="3"/>
  <c r="ED93" i="3"/>
  <c r="EC93" i="3"/>
  <c r="EB93" i="3"/>
  <c r="EA93" i="3"/>
  <c r="DZ93" i="3"/>
  <c r="DY93" i="3"/>
  <c r="DX93" i="3"/>
  <c r="DW93" i="3"/>
  <c r="DV93" i="3"/>
  <c r="DU93" i="3"/>
  <c r="DT93" i="3"/>
  <c r="DS93" i="3"/>
  <c r="DR93" i="3"/>
  <c r="DQ93" i="3"/>
  <c r="DP93" i="3"/>
  <c r="DO93" i="3"/>
  <c r="DN93" i="3"/>
  <c r="DM93" i="3"/>
  <c r="DL93" i="3"/>
  <c r="DK93" i="3"/>
  <c r="DJ93" i="3"/>
  <c r="DI93" i="3"/>
  <c r="DH93" i="3"/>
  <c r="DG93" i="3"/>
  <c r="DF93" i="3"/>
  <c r="DE93" i="3"/>
  <c r="DD93" i="3"/>
  <c r="DC93" i="3"/>
  <c r="DB93" i="3"/>
  <c r="DA93" i="3"/>
  <c r="CZ93" i="3"/>
  <c r="CY93" i="3"/>
  <c r="CX93" i="3"/>
  <c r="CW93" i="3"/>
  <c r="CV93" i="3"/>
  <c r="CU93" i="3"/>
  <c r="CT93" i="3"/>
  <c r="CS93" i="3"/>
  <c r="CR93" i="3"/>
  <c r="CQ93" i="3"/>
  <c r="CP93" i="3"/>
  <c r="CO93" i="3"/>
  <c r="CN93" i="3"/>
  <c r="CM93" i="3"/>
  <c r="CL93" i="3"/>
  <c r="A93" i="3"/>
  <c r="FQ92" i="3"/>
  <c r="FP92" i="3"/>
  <c r="FO92" i="3"/>
  <c r="FN92" i="3"/>
  <c r="FM92" i="3"/>
  <c r="FL92" i="3"/>
  <c r="FK92" i="3"/>
  <c r="FJ92" i="3"/>
  <c r="FI92" i="3"/>
  <c r="FH92" i="3"/>
  <c r="FG92" i="3"/>
  <c r="FF92" i="3"/>
  <c r="FE92" i="3"/>
  <c r="FD92" i="3"/>
  <c r="FC92" i="3"/>
  <c r="FB92" i="3"/>
  <c r="FA92" i="3"/>
  <c r="EZ92" i="3"/>
  <c r="EY92" i="3"/>
  <c r="EX92" i="3"/>
  <c r="EW92" i="3"/>
  <c r="EV92" i="3"/>
  <c r="EU92" i="3"/>
  <c r="ET92" i="3"/>
  <c r="ES92" i="3"/>
  <c r="ER92" i="3"/>
  <c r="EQ92" i="3"/>
  <c r="EP92" i="3"/>
  <c r="EO92" i="3"/>
  <c r="EN92" i="3"/>
  <c r="EM92" i="3"/>
  <c r="EL92" i="3"/>
  <c r="EK92" i="3"/>
  <c r="EJ92" i="3"/>
  <c r="EI92" i="3"/>
  <c r="EH92" i="3"/>
  <c r="EG92" i="3"/>
  <c r="EF92" i="3"/>
  <c r="EE92" i="3"/>
  <c r="ED92" i="3"/>
  <c r="EC92" i="3"/>
  <c r="EB92" i="3"/>
  <c r="EA92" i="3"/>
  <c r="DZ92" i="3"/>
  <c r="DY92" i="3"/>
  <c r="DX92" i="3"/>
  <c r="DW92" i="3"/>
  <c r="DV92" i="3"/>
  <c r="DU92" i="3"/>
  <c r="DT92" i="3"/>
  <c r="DS92" i="3"/>
  <c r="DR92" i="3"/>
  <c r="DQ92" i="3"/>
  <c r="DP92" i="3"/>
  <c r="DO92" i="3"/>
  <c r="DN92" i="3"/>
  <c r="DM92" i="3"/>
  <c r="DL92" i="3"/>
  <c r="DK92" i="3"/>
  <c r="DJ92" i="3"/>
  <c r="DI92" i="3"/>
  <c r="DH92" i="3"/>
  <c r="DG92" i="3"/>
  <c r="DF92" i="3"/>
  <c r="DE92" i="3"/>
  <c r="DD92" i="3"/>
  <c r="DC92" i="3"/>
  <c r="DB92" i="3"/>
  <c r="DA92" i="3"/>
  <c r="CZ92" i="3"/>
  <c r="CY92" i="3"/>
  <c r="CX92" i="3"/>
  <c r="CW92" i="3"/>
  <c r="CV92" i="3"/>
  <c r="CU92" i="3"/>
  <c r="CT92" i="3"/>
  <c r="CS92" i="3"/>
  <c r="CR92" i="3"/>
  <c r="CQ92" i="3"/>
  <c r="CP92" i="3"/>
  <c r="CO92" i="3"/>
  <c r="CN92" i="3"/>
  <c r="CM92" i="3"/>
  <c r="CL92" i="3"/>
  <c r="A92" i="3"/>
  <c r="FQ91" i="3"/>
  <c r="FP91" i="3"/>
  <c r="FO91" i="3"/>
  <c r="FN91" i="3"/>
  <c r="FM91" i="3"/>
  <c r="FL91" i="3"/>
  <c r="FK91" i="3"/>
  <c r="FJ91" i="3"/>
  <c r="FI91" i="3"/>
  <c r="FH91" i="3"/>
  <c r="FG91" i="3"/>
  <c r="FF91" i="3"/>
  <c r="FE91" i="3"/>
  <c r="FD91" i="3"/>
  <c r="FC91" i="3"/>
  <c r="FB91" i="3"/>
  <c r="FA91" i="3"/>
  <c r="EZ91" i="3"/>
  <c r="EY91" i="3"/>
  <c r="EX91" i="3"/>
  <c r="EW91" i="3"/>
  <c r="EV91" i="3"/>
  <c r="EU91" i="3"/>
  <c r="ET91" i="3"/>
  <c r="ES91" i="3"/>
  <c r="ER91" i="3"/>
  <c r="EQ91" i="3"/>
  <c r="EP91" i="3"/>
  <c r="EO91" i="3"/>
  <c r="EN91" i="3"/>
  <c r="EM91" i="3"/>
  <c r="EL91" i="3"/>
  <c r="EK91" i="3"/>
  <c r="EJ91" i="3"/>
  <c r="EI91" i="3"/>
  <c r="EH91" i="3"/>
  <c r="EG91" i="3"/>
  <c r="EF91" i="3"/>
  <c r="EE91" i="3"/>
  <c r="ED91" i="3"/>
  <c r="EC91" i="3"/>
  <c r="EB91" i="3"/>
  <c r="EA91" i="3"/>
  <c r="DZ91" i="3"/>
  <c r="DY91" i="3"/>
  <c r="DX91" i="3"/>
  <c r="DW91" i="3"/>
  <c r="DV91" i="3"/>
  <c r="DU91" i="3"/>
  <c r="DT91" i="3"/>
  <c r="DS91" i="3"/>
  <c r="DR91" i="3"/>
  <c r="DQ91" i="3"/>
  <c r="DP91" i="3"/>
  <c r="DO91" i="3"/>
  <c r="DN91" i="3"/>
  <c r="DM91" i="3"/>
  <c r="DL91" i="3"/>
  <c r="DK91" i="3"/>
  <c r="DJ91" i="3"/>
  <c r="DI91" i="3"/>
  <c r="DH91" i="3"/>
  <c r="DG91" i="3"/>
  <c r="DF91" i="3"/>
  <c r="DE91" i="3"/>
  <c r="DD91" i="3"/>
  <c r="DC91" i="3"/>
  <c r="DB91" i="3"/>
  <c r="DA91" i="3"/>
  <c r="CZ91" i="3"/>
  <c r="CY91" i="3"/>
  <c r="CX91" i="3"/>
  <c r="CW91" i="3"/>
  <c r="CV91" i="3"/>
  <c r="CU91" i="3"/>
  <c r="CT91" i="3"/>
  <c r="CS91" i="3"/>
  <c r="CR91" i="3"/>
  <c r="CQ91" i="3"/>
  <c r="CP91" i="3"/>
  <c r="CO91" i="3"/>
  <c r="CN91" i="3"/>
  <c r="CM91" i="3"/>
  <c r="CL91" i="3"/>
  <c r="A91" i="3"/>
  <c r="FQ90" i="3"/>
  <c r="FP90" i="3"/>
  <c r="FO90" i="3"/>
  <c r="FN90" i="3"/>
  <c r="FM90" i="3"/>
  <c r="FL90" i="3"/>
  <c r="FK90" i="3"/>
  <c r="FJ90" i="3"/>
  <c r="FI90" i="3"/>
  <c r="FH90" i="3"/>
  <c r="FG90" i="3"/>
  <c r="FF90" i="3"/>
  <c r="FE90" i="3"/>
  <c r="FD90" i="3"/>
  <c r="FC90" i="3"/>
  <c r="FB90" i="3"/>
  <c r="FA90" i="3"/>
  <c r="EZ90" i="3"/>
  <c r="EY90" i="3"/>
  <c r="EX90" i="3"/>
  <c r="EW90" i="3"/>
  <c r="EV90" i="3"/>
  <c r="EU90" i="3"/>
  <c r="ET90" i="3"/>
  <c r="ES90" i="3"/>
  <c r="ER90" i="3"/>
  <c r="EQ90" i="3"/>
  <c r="EP90" i="3"/>
  <c r="EO90" i="3"/>
  <c r="EN90" i="3"/>
  <c r="EM90" i="3"/>
  <c r="EL90" i="3"/>
  <c r="EK90" i="3"/>
  <c r="EJ90" i="3"/>
  <c r="EI90" i="3"/>
  <c r="EH90" i="3"/>
  <c r="EG90" i="3"/>
  <c r="EF90" i="3"/>
  <c r="EE90" i="3"/>
  <c r="ED90" i="3"/>
  <c r="EC90" i="3"/>
  <c r="EB90" i="3"/>
  <c r="EA90" i="3"/>
  <c r="DZ90" i="3"/>
  <c r="DY90" i="3"/>
  <c r="DX90" i="3"/>
  <c r="DW90" i="3"/>
  <c r="DV90" i="3"/>
  <c r="DU90" i="3"/>
  <c r="DT90" i="3"/>
  <c r="DS90" i="3"/>
  <c r="DR90" i="3"/>
  <c r="DQ90" i="3"/>
  <c r="DP90" i="3"/>
  <c r="DO90" i="3"/>
  <c r="DN90" i="3"/>
  <c r="DM90" i="3"/>
  <c r="DL90" i="3"/>
  <c r="DK90" i="3"/>
  <c r="DJ90" i="3"/>
  <c r="DI90" i="3"/>
  <c r="DH90" i="3"/>
  <c r="DG90" i="3"/>
  <c r="DF90" i="3"/>
  <c r="DE90" i="3"/>
  <c r="DD90" i="3"/>
  <c r="DC90" i="3"/>
  <c r="DB90" i="3"/>
  <c r="DA90" i="3"/>
  <c r="CZ90" i="3"/>
  <c r="CY90" i="3"/>
  <c r="CX90" i="3"/>
  <c r="CW90" i="3"/>
  <c r="CV90" i="3"/>
  <c r="CU90" i="3"/>
  <c r="CT90" i="3"/>
  <c r="CS90" i="3"/>
  <c r="CR90" i="3"/>
  <c r="CQ90" i="3"/>
  <c r="CP90" i="3"/>
  <c r="CO90" i="3"/>
  <c r="CN90" i="3"/>
  <c r="CM90" i="3"/>
  <c r="CL90" i="3"/>
  <c r="A90" i="3"/>
  <c r="FQ89" i="3"/>
  <c r="FP89" i="3"/>
  <c r="FO89" i="3"/>
  <c r="FN89" i="3"/>
  <c r="FM89" i="3"/>
  <c r="FL89" i="3"/>
  <c r="FK89" i="3"/>
  <c r="FJ89" i="3"/>
  <c r="FI89" i="3"/>
  <c r="FH89" i="3"/>
  <c r="FG89" i="3"/>
  <c r="FF89" i="3"/>
  <c r="FE89" i="3"/>
  <c r="FD89" i="3"/>
  <c r="FC89" i="3"/>
  <c r="FB89" i="3"/>
  <c r="FA89" i="3"/>
  <c r="EZ89" i="3"/>
  <c r="EY89" i="3"/>
  <c r="EX89" i="3"/>
  <c r="EW89" i="3"/>
  <c r="EV89" i="3"/>
  <c r="EU89" i="3"/>
  <c r="ET89" i="3"/>
  <c r="ES89" i="3"/>
  <c r="ER89" i="3"/>
  <c r="EQ89" i="3"/>
  <c r="EP89" i="3"/>
  <c r="EO89" i="3"/>
  <c r="EN89" i="3"/>
  <c r="EM89" i="3"/>
  <c r="EL89" i="3"/>
  <c r="EK89" i="3"/>
  <c r="EJ89" i="3"/>
  <c r="EI89" i="3"/>
  <c r="EH89" i="3"/>
  <c r="EG89" i="3"/>
  <c r="EF89" i="3"/>
  <c r="EE89" i="3"/>
  <c r="ED89" i="3"/>
  <c r="EC89" i="3"/>
  <c r="EB89" i="3"/>
  <c r="EA89" i="3"/>
  <c r="DZ89" i="3"/>
  <c r="DY89" i="3"/>
  <c r="DX89" i="3"/>
  <c r="DW89" i="3"/>
  <c r="DV89" i="3"/>
  <c r="DU89" i="3"/>
  <c r="DT89" i="3"/>
  <c r="DS89" i="3"/>
  <c r="DR89" i="3"/>
  <c r="DQ89" i="3"/>
  <c r="DP89" i="3"/>
  <c r="DO89" i="3"/>
  <c r="DN89" i="3"/>
  <c r="DM89" i="3"/>
  <c r="DL89" i="3"/>
  <c r="DK89" i="3"/>
  <c r="DJ89" i="3"/>
  <c r="DI89" i="3"/>
  <c r="DH89" i="3"/>
  <c r="DG89" i="3"/>
  <c r="DF89" i="3"/>
  <c r="DE89" i="3"/>
  <c r="DD89" i="3"/>
  <c r="DC89" i="3"/>
  <c r="DB89" i="3"/>
  <c r="DA89" i="3"/>
  <c r="CZ89" i="3"/>
  <c r="CY89" i="3"/>
  <c r="CX89" i="3"/>
  <c r="CW89" i="3"/>
  <c r="CV89" i="3"/>
  <c r="CU89" i="3"/>
  <c r="CT89" i="3"/>
  <c r="CS89" i="3"/>
  <c r="CR89" i="3"/>
  <c r="CQ89" i="3"/>
  <c r="CP89" i="3"/>
  <c r="CO89" i="3"/>
  <c r="CN89" i="3"/>
  <c r="CM89" i="3"/>
  <c r="CL89" i="3"/>
  <c r="A89" i="3"/>
  <c r="FQ88" i="3"/>
  <c r="FP88" i="3"/>
  <c r="FO88" i="3"/>
  <c r="FN88" i="3"/>
  <c r="FM88" i="3"/>
  <c r="FL88" i="3"/>
  <c r="FK88" i="3"/>
  <c r="FJ88" i="3"/>
  <c r="FI88" i="3"/>
  <c r="FH88" i="3"/>
  <c r="FG88" i="3"/>
  <c r="FF88" i="3"/>
  <c r="FE88" i="3"/>
  <c r="FD88" i="3"/>
  <c r="FC88" i="3"/>
  <c r="FB88" i="3"/>
  <c r="FA88" i="3"/>
  <c r="EZ88" i="3"/>
  <c r="EY88" i="3"/>
  <c r="EX88" i="3"/>
  <c r="EW88" i="3"/>
  <c r="EV88" i="3"/>
  <c r="EU88" i="3"/>
  <c r="ET88" i="3"/>
  <c r="ES88" i="3"/>
  <c r="ER88" i="3"/>
  <c r="EQ88" i="3"/>
  <c r="EP88" i="3"/>
  <c r="EO88" i="3"/>
  <c r="EN88" i="3"/>
  <c r="EM88" i="3"/>
  <c r="EL88" i="3"/>
  <c r="EK88" i="3"/>
  <c r="EJ88" i="3"/>
  <c r="EI88" i="3"/>
  <c r="EH88" i="3"/>
  <c r="EG88" i="3"/>
  <c r="EF88" i="3"/>
  <c r="EE88" i="3"/>
  <c r="ED88" i="3"/>
  <c r="EC88" i="3"/>
  <c r="EB88" i="3"/>
  <c r="EA88" i="3"/>
  <c r="DZ88" i="3"/>
  <c r="DY88" i="3"/>
  <c r="DX88" i="3"/>
  <c r="DW88" i="3"/>
  <c r="DV88" i="3"/>
  <c r="DU88" i="3"/>
  <c r="DT88" i="3"/>
  <c r="DS88" i="3"/>
  <c r="DR88" i="3"/>
  <c r="DQ88" i="3"/>
  <c r="DP88" i="3"/>
  <c r="DO88" i="3"/>
  <c r="DN88" i="3"/>
  <c r="DM88" i="3"/>
  <c r="DL88" i="3"/>
  <c r="DK88" i="3"/>
  <c r="DJ88" i="3"/>
  <c r="DI88" i="3"/>
  <c r="DH88" i="3"/>
  <c r="DG88" i="3"/>
  <c r="DF88" i="3"/>
  <c r="DE88" i="3"/>
  <c r="DD88" i="3"/>
  <c r="DC88" i="3"/>
  <c r="DB88" i="3"/>
  <c r="DA88" i="3"/>
  <c r="CZ88" i="3"/>
  <c r="CY88" i="3"/>
  <c r="CX88" i="3"/>
  <c r="CW88" i="3"/>
  <c r="CV88" i="3"/>
  <c r="CU88" i="3"/>
  <c r="CT88" i="3"/>
  <c r="CS88" i="3"/>
  <c r="CR88" i="3"/>
  <c r="CQ88" i="3"/>
  <c r="CP88" i="3"/>
  <c r="CO88" i="3"/>
  <c r="CN88" i="3"/>
  <c r="CM88" i="3"/>
  <c r="CL88" i="3"/>
  <c r="CH88" i="3"/>
  <c r="CG88" i="3"/>
  <c r="CF88" i="3"/>
  <c r="CE88" i="3"/>
  <c r="CD88" i="3"/>
  <c r="CC88" i="3"/>
  <c r="CB88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88" i="3"/>
  <c r="FQ87" i="3"/>
  <c r="FP87" i="3"/>
  <c r="FO87" i="3"/>
  <c r="FN87" i="3"/>
  <c r="FM87" i="3"/>
  <c r="FL87" i="3"/>
  <c r="FK87" i="3"/>
  <c r="FJ87" i="3"/>
  <c r="FI87" i="3"/>
  <c r="FH87" i="3"/>
  <c r="FG87" i="3"/>
  <c r="FF87" i="3"/>
  <c r="FE87" i="3"/>
  <c r="FD87" i="3"/>
  <c r="FC87" i="3"/>
  <c r="FB87" i="3"/>
  <c r="FA87" i="3"/>
  <c r="EZ87" i="3"/>
  <c r="EY87" i="3"/>
  <c r="EX87" i="3"/>
  <c r="EW87" i="3"/>
  <c r="EV87" i="3"/>
  <c r="EU87" i="3"/>
  <c r="ET87" i="3"/>
  <c r="ES87" i="3"/>
  <c r="ER87" i="3"/>
  <c r="EQ87" i="3"/>
  <c r="EP87" i="3"/>
  <c r="EO87" i="3"/>
  <c r="EN87" i="3"/>
  <c r="EM87" i="3"/>
  <c r="EL87" i="3"/>
  <c r="EK87" i="3"/>
  <c r="EJ87" i="3"/>
  <c r="EI87" i="3"/>
  <c r="EH87" i="3"/>
  <c r="EG87" i="3"/>
  <c r="EF87" i="3"/>
  <c r="EE87" i="3"/>
  <c r="ED87" i="3"/>
  <c r="EC87" i="3"/>
  <c r="EB87" i="3"/>
  <c r="EA87" i="3"/>
  <c r="DZ87" i="3"/>
  <c r="DY87" i="3"/>
  <c r="DX87" i="3"/>
  <c r="DW87" i="3"/>
  <c r="DV87" i="3"/>
  <c r="DU87" i="3"/>
  <c r="DT87" i="3"/>
  <c r="DS87" i="3"/>
  <c r="DR87" i="3"/>
  <c r="DQ87" i="3"/>
  <c r="DP87" i="3"/>
  <c r="DO87" i="3"/>
  <c r="DN87" i="3"/>
  <c r="DM87" i="3"/>
  <c r="DL87" i="3"/>
  <c r="DK87" i="3"/>
  <c r="DJ87" i="3"/>
  <c r="DI87" i="3"/>
  <c r="DH87" i="3"/>
  <c r="DG87" i="3"/>
  <c r="DF87" i="3"/>
  <c r="DE87" i="3"/>
  <c r="DD87" i="3"/>
  <c r="DC87" i="3"/>
  <c r="DB87" i="3"/>
  <c r="DA87" i="3"/>
  <c r="CZ87" i="3"/>
  <c r="CY87" i="3"/>
  <c r="CX87" i="3"/>
  <c r="CW87" i="3"/>
  <c r="CV87" i="3"/>
  <c r="CU87" i="3"/>
  <c r="CT87" i="3"/>
  <c r="CS87" i="3"/>
  <c r="CR87" i="3"/>
  <c r="CQ87" i="3"/>
  <c r="CP87" i="3"/>
  <c r="CO87" i="3"/>
  <c r="CN87" i="3"/>
  <c r="CM87" i="3"/>
  <c r="CL87" i="3"/>
  <c r="E87" i="3"/>
  <c r="D87" i="3"/>
  <c r="C87" i="3"/>
  <c r="B87" i="3"/>
  <c r="A87" i="3"/>
  <c r="FQ86" i="3"/>
  <c r="FP86" i="3"/>
  <c r="FO86" i="3"/>
  <c r="FN86" i="3"/>
  <c r="FM86" i="3"/>
  <c r="FL86" i="3"/>
  <c r="FK86" i="3"/>
  <c r="FJ86" i="3"/>
  <c r="FI86" i="3"/>
  <c r="FH86" i="3"/>
  <c r="FG86" i="3"/>
  <c r="FF86" i="3"/>
  <c r="FE86" i="3"/>
  <c r="FD86" i="3"/>
  <c r="FC86" i="3"/>
  <c r="FB86" i="3"/>
  <c r="FA86" i="3"/>
  <c r="EZ86" i="3"/>
  <c r="EY86" i="3"/>
  <c r="EX86" i="3"/>
  <c r="EW86" i="3"/>
  <c r="EV86" i="3"/>
  <c r="EU86" i="3"/>
  <c r="ET86" i="3"/>
  <c r="ES86" i="3"/>
  <c r="ER86" i="3"/>
  <c r="EQ86" i="3"/>
  <c r="EP86" i="3"/>
  <c r="EO86" i="3"/>
  <c r="EN86" i="3"/>
  <c r="EM86" i="3"/>
  <c r="EL86" i="3"/>
  <c r="EK86" i="3"/>
  <c r="EJ86" i="3"/>
  <c r="EI86" i="3"/>
  <c r="EH86" i="3"/>
  <c r="EG86" i="3"/>
  <c r="EF86" i="3"/>
  <c r="EE86" i="3"/>
  <c r="ED86" i="3"/>
  <c r="EC86" i="3"/>
  <c r="EB86" i="3"/>
  <c r="EA86" i="3"/>
  <c r="DZ86" i="3"/>
  <c r="DY86" i="3"/>
  <c r="DX86" i="3"/>
  <c r="DW86" i="3"/>
  <c r="DV86" i="3"/>
  <c r="DU86" i="3"/>
  <c r="DT86" i="3"/>
  <c r="DS86" i="3"/>
  <c r="DR86" i="3"/>
  <c r="DQ86" i="3"/>
  <c r="DP86" i="3"/>
  <c r="DO86" i="3"/>
  <c r="DN86" i="3"/>
  <c r="DM86" i="3"/>
  <c r="DL86" i="3"/>
  <c r="DK86" i="3"/>
  <c r="DJ86" i="3"/>
  <c r="DI86" i="3"/>
  <c r="DH86" i="3"/>
  <c r="DG86" i="3"/>
  <c r="DF86" i="3"/>
  <c r="DE86" i="3"/>
  <c r="DD86" i="3"/>
  <c r="DC86" i="3"/>
  <c r="DB86" i="3"/>
  <c r="DA86" i="3"/>
  <c r="CZ86" i="3"/>
  <c r="CY86" i="3"/>
  <c r="CX86" i="3"/>
  <c r="CW86" i="3"/>
  <c r="CV86" i="3"/>
  <c r="CU86" i="3"/>
  <c r="CT86" i="3"/>
  <c r="CS86" i="3"/>
  <c r="CR86" i="3"/>
  <c r="CQ86" i="3"/>
  <c r="CP86" i="3"/>
  <c r="CO86" i="3"/>
  <c r="CN86" i="3"/>
  <c r="CM86" i="3"/>
  <c r="CL86" i="3"/>
  <c r="E86" i="3"/>
  <c r="D86" i="3"/>
  <c r="C86" i="3"/>
  <c r="B86" i="3"/>
  <c r="A86" i="3"/>
  <c r="FQ85" i="3"/>
  <c r="FP85" i="3"/>
  <c r="FO85" i="3"/>
  <c r="FN85" i="3"/>
  <c r="FM85" i="3"/>
  <c r="FL85" i="3"/>
  <c r="FK85" i="3"/>
  <c r="FJ85" i="3"/>
  <c r="FI85" i="3"/>
  <c r="FH85" i="3"/>
  <c r="FG85" i="3"/>
  <c r="FF85" i="3"/>
  <c r="FE85" i="3"/>
  <c r="FD85" i="3"/>
  <c r="FC85" i="3"/>
  <c r="FB85" i="3"/>
  <c r="FA85" i="3"/>
  <c r="EZ85" i="3"/>
  <c r="EY85" i="3"/>
  <c r="EX85" i="3"/>
  <c r="EW85" i="3"/>
  <c r="EV85" i="3"/>
  <c r="EU85" i="3"/>
  <c r="ET85" i="3"/>
  <c r="ES85" i="3"/>
  <c r="ER85" i="3"/>
  <c r="EQ85" i="3"/>
  <c r="EP85" i="3"/>
  <c r="EO85" i="3"/>
  <c r="EN85" i="3"/>
  <c r="EM85" i="3"/>
  <c r="EL85" i="3"/>
  <c r="EK85" i="3"/>
  <c r="EJ85" i="3"/>
  <c r="EI85" i="3"/>
  <c r="EH85" i="3"/>
  <c r="EG85" i="3"/>
  <c r="EF85" i="3"/>
  <c r="EE85" i="3"/>
  <c r="ED85" i="3"/>
  <c r="EC85" i="3"/>
  <c r="EB85" i="3"/>
  <c r="EA85" i="3"/>
  <c r="DZ85" i="3"/>
  <c r="DY85" i="3"/>
  <c r="DX85" i="3"/>
  <c r="DW85" i="3"/>
  <c r="DV85" i="3"/>
  <c r="DU85" i="3"/>
  <c r="DT85" i="3"/>
  <c r="DS85" i="3"/>
  <c r="DR85" i="3"/>
  <c r="DQ85" i="3"/>
  <c r="DP85" i="3"/>
  <c r="DO85" i="3"/>
  <c r="DN85" i="3"/>
  <c r="DM85" i="3"/>
  <c r="DL85" i="3"/>
  <c r="DK85" i="3"/>
  <c r="DJ85" i="3"/>
  <c r="DI85" i="3"/>
  <c r="DH85" i="3"/>
  <c r="DG85" i="3"/>
  <c r="DF85" i="3"/>
  <c r="DE85" i="3"/>
  <c r="DD85" i="3"/>
  <c r="DC85" i="3"/>
  <c r="DB85" i="3"/>
  <c r="DA85" i="3"/>
  <c r="CZ85" i="3"/>
  <c r="CY85" i="3"/>
  <c r="CX85" i="3"/>
  <c r="CW85" i="3"/>
  <c r="CV85" i="3"/>
  <c r="CU85" i="3"/>
  <c r="CT85" i="3"/>
  <c r="CS85" i="3"/>
  <c r="CR85" i="3"/>
  <c r="CQ85" i="3"/>
  <c r="CP85" i="3"/>
  <c r="CO85" i="3"/>
  <c r="CN85" i="3"/>
  <c r="CM85" i="3"/>
  <c r="CL85" i="3"/>
  <c r="E85" i="3"/>
  <c r="D85" i="3"/>
  <c r="C85" i="3"/>
  <c r="A85" i="3"/>
  <c r="FQ84" i="3"/>
  <c r="FP84" i="3"/>
  <c r="FO84" i="3"/>
  <c r="FN84" i="3"/>
  <c r="FM84" i="3"/>
  <c r="FL84" i="3"/>
  <c r="FK84" i="3"/>
  <c r="FJ84" i="3"/>
  <c r="FI84" i="3"/>
  <c r="FH84" i="3"/>
  <c r="FG84" i="3"/>
  <c r="FF84" i="3"/>
  <c r="FE84" i="3"/>
  <c r="FD84" i="3"/>
  <c r="FC84" i="3"/>
  <c r="FB84" i="3"/>
  <c r="FA84" i="3"/>
  <c r="EZ84" i="3"/>
  <c r="EY84" i="3"/>
  <c r="EX84" i="3"/>
  <c r="EW84" i="3"/>
  <c r="EV84" i="3"/>
  <c r="EU84" i="3"/>
  <c r="ET84" i="3"/>
  <c r="ES84" i="3"/>
  <c r="ER84" i="3"/>
  <c r="EQ84" i="3"/>
  <c r="EP84" i="3"/>
  <c r="EO84" i="3"/>
  <c r="EN84" i="3"/>
  <c r="EM84" i="3"/>
  <c r="EL84" i="3"/>
  <c r="EK84" i="3"/>
  <c r="EJ84" i="3"/>
  <c r="EI84" i="3"/>
  <c r="EH84" i="3"/>
  <c r="EG84" i="3"/>
  <c r="EF84" i="3"/>
  <c r="EE84" i="3"/>
  <c r="ED84" i="3"/>
  <c r="EC84" i="3"/>
  <c r="EB84" i="3"/>
  <c r="EA84" i="3"/>
  <c r="DZ84" i="3"/>
  <c r="DY84" i="3"/>
  <c r="DX84" i="3"/>
  <c r="DW84" i="3"/>
  <c r="DV84" i="3"/>
  <c r="DU84" i="3"/>
  <c r="DT84" i="3"/>
  <c r="DS84" i="3"/>
  <c r="DR84" i="3"/>
  <c r="DQ84" i="3"/>
  <c r="DP84" i="3"/>
  <c r="DO84" i="3"/>
  <c r="DN84" i="3"/>
  <c r="DM84" i="3"/>
  <c r="DL84" i="3"/>
  <c r="DK84" i="3"/>
  <c r="DJ84" i="3"/>
  <c r="DI84" i="3"/>
  <c r="DH84" i="3"/>
  <c r="DG84" i="3"/>
  <c r="DF84" i="3"/>
  <c r="DE84" i="3"/>
  <c r="DD84" i="3"/>
  <c r="DC84" i="3"/>
  <c r="DB84" i="3"/>
  <c r="DA84" i="3"/>
  <c r="CZ84" i="3"/>
  <c r="CY84" i="3"/>
  <c r="CX84" i="3"/>
  <c r="CW84" i="3"/>
  <c r="CV84" i="3"/>
  <c r="CU84" i="3"/>
  <c r="CT84" i="3"/>
  <c r="CS84" i="3"/>
  <c r="CR84" i="3"/>
  <c r="CQ84" i="3"/>
  <c r="CP84" i="3"/>
  <c r="CO84" i="3"/>
  <c r="CN84" i="3"/>
  <c r="CM84" i="3"/>
  <c r="CL84" i="3"/>
  <c r="E84" i="3"/>
  <c r="D84" i="3"/>
  <c r="C84" i="3"/>
  <c r="B84" i="3"/>
  <c r="A84" i="3"/>
  <c r="FQ83" i="3"/>
  <c r="FP83" i="3"/>
  <c r="FO83" i="3"/>
  <c r="FN83" i="3"/>
  <c r="FM83" i="3"/>
  <c r="FL83" i="3"/>
  <c r="FK83" i="3"/>
  <c r="FJ83" i="3"/>
  <c r="FI83" i="3"/>
  <c r="FH83" i="3"/>
  <c r="FG83" i="3"/>
  <c r="FF83" i="3"/>
  <c r="FE83" i="3"/>
  <c r="FD83" i="3"/>
  <c r="FC83" i="3"/>
  <c r="FB83" i="3"/>
  <c r="FA83" i="3"/>
  <c r="EZ83" i="3"/>
  <c r="EY83" i="3"/>
  <c r="EX83" i="3"/>
  <c r="EW83" i="3"/>
  <c r="EV83" i="3"/>
  <c r="EU83" i="3"/>
  <c r="ET83" i="3"/>
  <c r="ES83" i="3"/>
  <c r="ER83" i="3"/>
  <c r="EQ83" i="3"/>
  <c r="EP83" i="3"/>
  <c r="EO83" i="3"/>
  <c r="EN83" i="3"/>
  <c r="EM83" i="3"/>
  <c r="EL83" i="3"/>
  <c r="EK83" i="3"/>
  <c r="EJ83" i="3"/>
  <c r="EI83" i="3"/>
  <c r="EH83" i="3"/>
  <c r="EG83" i="3"/>
  <c r="EF83" i="3"/>
  <c r="EE83" i="3"/>
  <c r="ED83" i="3"/>
  <c r="EC83" i="3"/>
  <c r="EB83" i="3"/>
  <c r="EA83" i="3"/>
  <c r="DZ83" i="3"/>
  <c r="DY83" i="3"/>
  <c r="DX83" i="3"/>
  <c r="DW83" i="3"/>
  <c r="DV83" i="3"/>
  <c r="DU83" i="3"/>
  <c r="DT83" i="3"/>
  <c r="DS83" i="3"/>
  <c r="DR83" i="3"/>
  <c r="DQ83" i="3"/>
  <c r="DP83" i="3"/>
  <c r="DO83" i="3"/>
  <c r="DN83" i="3"/>
  <c r="DM83" i="3"/>
  <c r="DL83" i="3"/>
  <c r="DK83" i="3"/>
  <c r="DJ83" i="3"/>
  <c r="DI83" i="3"/>
  <c r="DH83" i="3"/>
  <c r="DG83" i="3"/>
  <c r="DF83" i="3"/>
  <c r="DE83" i="3"/>
  <c r="DD83" i="3"/>
  <c r="DC83" i="3"/>
  <c r="DB83" i="3"/>
  <c r="DA83" i="3"/>
  <c r="CZ83" i="3"/>
  <c r="CY83" i="3"/>
  <c r="CX83" i="3"/>
  <c r="CW83" i="3"/>
  <c r="CV83" i="3"/>
  <c r="CU83" i="3"/>
  <c r="CT83" i="3"/>
  <c r="CS83" i="3"/>
  <c r="CR83" i="3"/>
  <c r="CQ83" i="3"/>
  <c r="CP83" i="3"/>
  <c r="CO83" i="3"/>
  <c r="CN83" i="3"/>
  <c r="CM83" i="3"/>
  <c r="CL83" i="3"/>
  <c r="A83" i="3"/>
  <c r="FQ82" i="3"/>
  <c r="FP82" i="3"/>
  <c r="FO82" i="3"/>
  <c r="FN82" i="3"/>
  <c r="FM82" i="3"/>
  <c r="FL82" i="3"/>
  <c r="FK82" i="3"/>
  <c r="FJ82" i="3"/>
  <c r="FI82" i="3"/>
  <c r="FH82" i="3"/>
  <c r="FG82" i="3"/>
  <c r="FF82" i="3"/>
  <c r="FE82" i="3"/>
  <c r="FD82" i="3"/>
  <c r="FC82" i="3"/>
  <c r="FB82" i="3"/>
  <c r="FA82" i="3"/>
  <c r="EZ82" i="3"/>
  <c r="EY82" i="3"/>
  <c r="EX82" i="3"/>
  <c r="EW82" i="3"/>
  <c r="EV82" i="3"/>
  <c r="EU82" i="3"/>
  <c r="ET82" i="3"/>
  <c r="ES82" i="3"/>
  <c r="ER82" i="3"/>
  <c r="EQ82" i="3"/>
  <c r="EP82" i="3"/>
  <c r="EO82" i="3"/>
  <c r="EN82" i="3"/>
  <c r="EM82" i="3"/>
  <c r="EL82" i="3"/>
  <c r="EK82" i="3"/>
  <c r="EJ82" i="3"/>
  <c r="EI82" i="3"/>
  <c r="EH82" i="3"/>
  <c r="EG82" i="3"/>
  <c r="EF82" i="3"/>
  <c r="EE82" i="3"/>
  <c r="ED82" i="3"/>
  <c r="EC82" i="3"/>
  <c r="EB82" i="3"/>
  <c r="EA82" i="3"/>
  <c r="DZ82" i="3"/>
  <c r="DY82" i="3"/>
  <c r="DX82" i="3"/>
  <c r="DW82" i="3"/>
  <c r="DV82" i="3"/>
  <c r="DU82" i="3"/>
  <c r="DT82" i="3"/>
  <c r="DS82" i="3"/>
  <c r="DR82" i="3"/>
  <c r="DQ82" i="3"/>
  <c r="DP82" i="3"/>
  <c r="DO82" i="3"/>
  <c r="DN82" i="3"/>
  <c r="DM82" i="3"/>
  <c r="DL82" i="3"/>
  <c r="DK82" i="3"/>
  <c r="DJ82" i="3"/>
  <c r="DI82" i="3"/>
  <c r="DH82" i="3"/>
  <c r="DG82" i="3"/>
  <c r="DF82" i="3"/>
  <c r="DE82" i="3"/>
  <c r="DD82" i="3"/>
  <c r="DC82" i="3"/>
  <c r="DB82" i="3"/>
  <c r="DA82" i="3"/>
  <c r="CZ82" i="3"/>
  <c r="CY82" i="3"/>
  <c r="CX82" i="3"/>
  <c r="CW82" i="3"/>
  <c r="CV82" i="3"/>
  <c r="CU82" i="3"/>
  <c r="CT82" i="3"/>
  <c r="CS82" i="3"/>
  <c r="CR82" i="3"/>
  <c r="CQ82" i="3"/>
  <c r="CP82" i="3"/>
  <c r="CO82" i="3"/>
  <c r="CN82" i="3"/>
  <c r="CM82" i="3"/>
  <c r="CL82" i="3"/>
  <c r="E82" i="3"/>
  <c r="D82" i="3"/>
  <c r="C82" i="3"/>
  <c r="B82" i="3"/>
  <c r="A82" i="3"/>
  <c r="FQ81" i="3"/>
  <c r="FP81" i="3"/>
  <c r="FO81" i="3"/>
  <c r="FN81" i="3"/>
  <c r="FM81" i="3"/>
  <c r="FL81" i="3"/>
  <c r="FK81" i="3"/>
  <c r="FJ81" i="3"/>
  <c r="FI81" i="3"/>
  <c r="FH81" i="3"/>
  <c r="FG81" i="3"/>
  <c r="FF81" i="3"/>
  <c r="FE81" i="3"/>
  <c r="FD81" i="3"/>
  <c r="FC81" i="3"/>
  <c r="FB81" i="3"/>
  <c r="FA81" i="3"/>
  <c r="EZ81" i="3"/>
  <c r="EY81" i="3"/>
  <c r="EX81" i="3"/>
  <c r="EW81" i="3"/>
  <c r="EV81" i="3"/>
  <c r="EU81" i="3"/>
  <c r="ET81" i="3"/>
  <c r="ES81" i="3"/>
  <c r="ER81" i="3"/>
  <c r="EQ81" i="3"/>
  <c r="EP81" i="3"/>
  <c r="EO81" i="3"/>
  <c r="EN81" i="3"/>
  <c r="EM81" i="3"/>
  <c r="EL81" i="3"/>
  <c r="EK81" i="3"/>
  <c r="EJ81" i="3"/>
  <c r="EI81" i="3"/>
  <c r="EH81" i="3"/>
  <c r="EG81" i="3"/>
  <c r="EF81" i="3"/>
  <c r="EE81" i="3"/>
  <c r="ED81" i="3"/>
  <c r="EC81" i="3"/>
  <c r="EB81" i="3"/>
  <c r="EA81" i="3"/>
  <c r="DZ81" i="3"/>
  <c r="DY81" i="3"/>
  <c r="DX81" i="3"/>
  <c r="DW81" i="3"/>
  <c r="DV81" i="3"/>
  <c r="DU81" i="3"/>
  <c r="DT81" i="3"/>
  <c r="DS81" i="3"/>
  <c r="DR81" i="3"/>
  <c r="DQ81" i="3"/>
  <c r="DP81" i="3"/>
  <c r="DO81" i="3"/>
  <c r="DN81" i="3"/>
  <c r="DM81" i="3"/>
  <c r="DL81" i="3"/>
  <c r="DK81" i="3"/>
  <c r="DJ81" i="3"/>
  <c r="DI81" i="3"/>
  <c r="DH81" i="3"/>
  <c r="DG81" i="3"/>
  <c r="DF81" i="3"/>
  <c r="DE81" i="3"/>
  <c r="DD81" i="3"/>
  <c r="DC81" i="3"/>
  <c r="DB81" i="3"/>
  <c r="DA81" i="3"/>
  <c r="CZ81" i="3"/>
  <c r="CY81" i="3"/>
  <c r="CX81" i="3"/>
  <c r="CW81" i="3"/>
  <c r="CV81" i="3"/>
  <c r="CU81" i="3"/>
  <c r="CT81" i="3"/>
  <c r="CS81" i="3"/>
  <c r="CR81" i="3"/>
  <c r="CQ81" i="3"/>
  <c r="CP81" i="3"/>
  <c r="CO81" i="3"/>
  <c r="CN81" i="3"/>
  <c r="CM81" i="3"/>
  <c r="CL81" i="3"/>
  <c r="E81" i="3"/>
  <c r="D81" i="3"/>
  <c r="C81" i="3"/>
  <c r="B81" i="3"/>
  <c r="A81" i="3"/>
  <c r="FQ80" i="3"/>
  <c r="FP80" i="3"/>
  <c r="FO80" i="3"/>
  <c r="FN80" i="3"/>
  <c r="FM80" i="3"/>
  <c r="FL80" i="3"/>
  <c r="FK80" i="3"/>
  <c r="FJ80" i="3"/>
  <c r="FI80" i="3"/>
  <c r="FH80" i="3"/>
  <c r="FG80" i="3"/>
  <c r="FF80" i="3"/>
  <c r="FE80" i="3"/>
  <c r="FD80" i="3"/>
  <c r="FC80" i="3"/>
  <c r="FB80" i="3"/>
  <c r="FA80" i="3"/>
  <c r="EZ80" i="3"/>
  <c r="EY80" i="3"/>
  <c r="EX80" i="3"/>
  <c r="EW80" i="3"/>
  <c r="EV80" i="3"/>
  <c r="EU80" i="3"/>
  <c r="ET80" i="3"/>
  <c r="ES80" i="3"/>
  <c r="ER80" i="3"/>
  <c r="EQ80" i="3"/>
  <c r="EP80" i="3"/>
  <c r="EO80" i="3"/>
  <c r="EN80" i="3"/>
  <c r="EM80" i="3"/>
  <c r="EL80" i="3"/>
  <c r="EK80" i="3"/>
  <c r="EJ80" i="3"/>
  <c r="EI80" i="3"/>
  <c r="EH80" i="3"/>
  <c r="EG80" i="3"/>
  <c r="EF80" i="3"/>
  <c r="EE80" i="3"/>
  <c r="ED80" i="3"/>
  <c r="EC80" i="3"/>
  <c r="EB80" i="3"/>
  <c r="EA80" i="3"/>
  <c r="DZ80" i="3"/>
  <c r="DY80" i="3"/>
  <c r="DX80" i="3"/>
  <c r="DW80" i="3"/>
  <c r="DV80" i="3"/>
  <c r="DU80" i="3"/>
  <c r="DT80" i="3"/>
  <c r="DS80" i="3"/>
  <c r="DR80" i="3"/>
  <c r="DQ80" i="3"/>
  <c r="DP80" i="3"/>
  <c r="DO80" i="3"/>
  <c r="DN80" i="3"/>
  <c r="DM80" i="3"/>
  <c r="DL80" i="3"/>
  <c r="DK80" i="3"/>
  <c r="DJ80" i="3"/>
  <c r="DI80" i="3"/>
  <c r="DH80" i="3"/>
  <c r="DG80" i="3"/>
  <c r="DF80" i="3"/>
  <c r="DE80" i="3"/>
  <c r="DD80" i="3"/>
  <c r="DC80" i="3"/>
  <c r="DB80" i="3"/>
  <c r="DA80" i="3"/>
  <c r="CZ80" i="3"/>
  <c r="CY80" i="3"/>
  <c r="CX80" i="3"/>
  <c r="CW80" i="3"/>
  <c r="CV80" i="3"/>
  <c r="CU80" i="3"/>
  <c r="CT80" i="3"/>
  <c r="CS80" i="3"/>
  <c r="CR80" i="3"/>
  <c r="CQ80" i="3"/>
  <c r="CP80" i="3"/>
  <c r="CO80" i="3"/>
  <c r="CN80" i="3"/>
  <c r="CM80" i="3"/>
  <c r="CL80" i="3"/>
  <c r="E80" i="3"/>
  <c r="D80" i="3"/>
  <c r="C80" i="3"/>
  <c r="B80" i="3"/>
  <c r="A80" i="3"/>
  <c r="FQ79" i="3"/>
  <c r="FP79" i="3"/>
  <c r="FO79" i="3"/>
  <c r="FN79" i="3"/>
  <c r="FM79" i="3"/>
  <c r="FL79" i="3"/>
  <c r="FK79" i="3"/>
  <c r="FJ79" i="3"/>
  <c r="FI79" i="3"/>
  <c r="FH79" i="3"/>
  <c r="FG79" i="3"/>
  <c r="FF79" i="3"/>
  <c r="FE79" i="3"/>
  <c r="FD79" i="3"/>
  <c r="FC79" i="3"/>
  <c r="FB79" i="3"/>
  <c r="FA79" i="3"/>
  <c r="EZ79" i="3"/>
  <c r="EY79" i="3"/>
  <c r="EX79" i="3"/>
  <c r="EW79" i="3"/>
  <c r="EV79" i="3"/>
  <c r="EU79" i="3"/>
  <c r="ET79" i="3"/>
  <c r="ES79" i="3"/>
  <c r="ER79" i="3"/>
  <c r="EQ79" i="3"/>
  <c r="EP79" i="3"/>
  <c r="EO79" i="3"/>
  <c r="EN79" i="3"/>
  <c r="EM79" i="3"/>
  <c r="EL79" i="3"/>
  <c r="EK79" i="3"/>
  <c r="EJ79" i="3"/>
  <c r="EI79" i="3"/>
  <c r="EH79" i="3"/>
  <c r="EG79" i="3"/>
  <c r="EF79" i="3"/>
  <c r="EE79" i="3"/>
  <c r="ED79" i="3"/>
  <c r="EC79" i="3"/>
  <c r="EB79" i="3"/>
  <c r="EA79" i="3"/>
  <c r="DZ79" i="3"/>
  <c r="DY79" i="3"/>
  <c r="DX79" i="3"/>
  <c r="DW79" i="3"/>
  <c r="DV79" i="3"/>
  <c r="DU79" i="3"/>
  <c r="DT79" i="3"/>
  <c r="DS79" i="3"/>
  <c r="DR79" i="3"/>
  <c r="DQ79" i="3"/>
  <c r="DP79" i="3"/>
  <c r="DO79" i="3"/>
  <c r="DN79" i="3"/>
  <c r="DM79" i="3"/>
  <c r="DL79" i="3"/>
  <c r="DK79" i="3"/>
  <c r="DJ79" i="3"/>
  <c r="DI79" i="3"/>
  <c r="DH79" i="3"/>
  <c r="DG79" i="3"/>
  <c r="DF79" i="3"/>
  <c r="DE79" i="3"/>
  <c r="DD79" i="3"/>
  <c r="DC79" i="3"/>
  <c r="DB79" i="3"/>
  <c r="DA79" i="3"/>
  <c r="CZ79" i="3"/>
  <c r="CY79" i="3"/>
  <c r="CX79" i="3"/>
  <c r="CW79" i="3"/>
  <c r="CV79" i="3"/>
  <c r="CU79" i="3"/>
  <c r="CT79" i="3"/>
  <c r="CS79" i="3"/>
  <c r="CR79" i="3"/>
  <c r="CQ79" i="3"/>
  <c r="CP79" i="3"/>
  <c r="CO79" i="3"/>
  <c r="CN79" i="3"/>
  <c r="CM79" i="3"/>
  <c r="CL79" i="3"/>
  <c r="E79" i="3"/>
  <c r="D79" i="3"/>
  <c r="C79" i="3"/>
  <c r="B79" i="3"/>
  <c r="A79" i="3"/>
  <c r="FQ78" i="3"/>
  <c r="FP78" i="3"/>
  <c r="FO78" i="3"/>
  <c r="FN78" i="3"/>
  <c r="FM78" i="3"/>
  <c r="FL78" i="3"/>
  <c r="FK78" i="3"/>
  <c r="FJ78" i="3"/>
  <c r="FI78" i="3"/>
  <c r="FH78" i="3"/>
  <c r="FG78" i="3"/>
  <c r="FF78" i="3"/>
  <c r="FE78" i="3"/>
  <c r="FD78" i="3"/>
  <c r="FC78" i="3"/>
  <c r="FB78" i="3"/>
  <c r="FA78" i="3"/>
  <c r="EZ78" i="3"/>
  <c r="EY78" i="3"/>
  <c r="EX78" i="3"/>
  <c r="EW78" i="3"/>
  <c r="EV78" i="3"/>
  <c r="EU78" i="3"/>
  <c r="ET78" i="3"/>
  <c r="ES78" i="3"/>
  <c r="ER78" i="3"/>
  <c r="EQ78" i="3"/>
  <c r="EP78" i="3"/>
  <c r="EO78" i="3"/>
  <c r="EN78" i="3"/>
  <c r="EM78" i="3"/>
  <c r="EL78" i="3"/>
  <c r="EK78" i="3"/>
  <c r="EJ78" i="3"/>
  <c r="EI78" i="3"/>
  <c r="EH78" i="3"/>
  <c r="EG78" i="3"/>
  <c r="EF78" i="3"/>
  <c r="EE78" i="3"/>
  <c r="ED78" i="3"/>
  <c r="EC78" i="3"/>
  <c r="EB78" i="3"/>
  <c r="EA78" i="3"/>
  <c r="DZ78" i="3"/>
  <c r="DY78" i="3"/>
  <c r="DX78" i="3"/>
  <c r="DW78" i="3"/>
  <c r="DV78" i="3"/>
  <c r="DU78" i="3"/>
  <c r="DT78" i="3"/>
  <c r="DS78" i="3"/>
  <c r="DR78" i="3"/>
  <c r="DQ78" i="3"/>
  <c r="DP78" i="3"/>
  <c r="DO78" i="3"/>
  <c r="DN78" i="3"/>
  <c r="DM78" i="3"/>
  <c r="DL78" i="3"/>
  <c r="DK78" i="3"/>
  <c r="DJ78" i="3"/>
  <c r="DI78" i="3"/>
  <c r="DH78" i="3"/>
  <c r="DG78" i="3"/>
  <c r="DF78" i="3"/>
  <c r="DE78" i="3"/>
  <c r="DD78" i="3"/>
  <c r="DC78" i="3"/>
  <c r="DB78" i="3"/>
  <c r="DA78" i="3"/>
  <c r="CZ78" i="3"/>
  <c r="CY78" i="3"/>
  <c r="CX78" i="3"/>
  <c r="CW78" i="3"/>
  <c r="CV78" i="3"/>
  <c r="CU78" i="3"/>
  <c r="CT78" i="3"/>
  <c r="CS78" i="3"/>
  <c r="CR78" i="3"/>
  <c r="CQ78" i="3"/>
  <c r="CP78" i="3"/>
  <c r="CO78" i="3"/>
  <c r="CN78" i="3"/>
  <c r="CM78" i="3"/>
  <c r="CL78" i="3"/>
  <c r="E78" i="3"/>
  <c r="D78" i="3"/>
  <c r="C78" i="3"/>
  <c r="B78" i="3"/>
  <c r="A78" i="3"/>
  <c r="FQ77" i="3"/>
  <c r="FP77" i="3"/>
  <c r="FO77" i="3"/>
  <c r="FN77" i="3"/>
  <c r="FM77" i="3"/>
  <c r="FL77" i="3"/>
  <c r="FK77" i="3"/>
  <c r="FJ77" i="3"/>
  <c r="FI77" i="3"/>
  <c r="FH77" i="3"/>
  <c r="FG77" i="3"/>
  <c r="FF77" i="3"/>
  <c r="FE77" i="3"/>
  <c r="FD77" i="3"/>
  <c r="FC77" i="3"/>
  <c r="FB77" i="3"/>
  <c r="FA77" i="3"/>
  <c r="EZ77" i="3"/>
  <c r="EY77" i="3"/>
  <c r="EX77" i="3"/>
  <c r="EW77" i="3"/>
  <c r="EV77" i="3"/>
  <c r="EU77" i="3"/>
  <c r="ET77" i="3"/>
  <c r="ES77" i="3"/>
  <c r="ER77" i="3"/>
  <c r="EQ77" i="3"/>
  <c r="EP77" i="3"/>
  <c r="EO77" i="3"/>
  <c r="EN77" i="3"/>
  <c r="EM77" i="3"/>
  <c r="EL77" i="3"/>
  <c r="EK77" i="3"/>
  <c r="EJ77" i="3"/>
  <c r="EI77" i="3"/>
  <c r="EH77" i="3"/>
  <c r="EG77" i="3"/>
  <c r="EF77" i="3"/>
  <c r="EE77" i="3"/>
  <c r="ED77" i="3"/>
  <c r="EC77" i="3"/>
  <c r="EB77" i="3"/>
  <c r="EA77" i="3"/>
  <c r="DZ77" i="3"/>
  <c r="DY77" i="3"/>
  <c r="DX77" i="3"/>
  <c r="DW77" i="3"/>
  <c r="DV77" i="3"/>
  <c r="DU77" i="3"/>
  <c r="DT77" i="3"/>
  <c r="DS77" i="3"/>
  <c r="DR77" i="3"/>
  <c r="DQ77" i="3"/>
  <c r="DP77" i="3"/>
  <c r="DO77" i="3"/>
  <c r="DN77" i="3"/>
  <c r="DM77" i="3"/>
  <c r="DL77" i="3"/>
  <c r="DK77" i="3"/>
  <c r="DJ77" i="3"/>
  <c r="DI77" i="3"/>
  <c r="DH77" i="3"/>
  <c r="DG77" i="3"/>
  <c r="DF77" i="3"/>
  <c r="DE77" i="3"/>
  <c r="DD77" i="3"/>
  <c r="DC77" i="3"/>
  <c r="DB77" i="3"/>
  <c r="DA77" i="3"/>
  <c r="CZ77" i="3"/>
  <c r="CY77" i="3"/>
  <c r="CX77" i="3"/>
  <c r="CW77" i="3"/>
  <c r="CV77" i="3"/>
  <c r="CU77" i="3"/>
  <c r="CT77" i="3"/>
  <c r="CS77" i="3"/>
  <c r="CR77" i="3"/>
  <c r="CQ77" i="3"/>
  <c r="CP77" i="3"/>
  <c r="CO77" i="3"/>
  <c r="CN77" i="3"/>
  <c r="CM77" i="3"/>
  <c r="CL77" i="3"/>
  <c r="E77" i="3"/>
  <c r="D77" i="3"/>
  <c r="C77" i="3"/>
  <c r="B77" i="3"/>
  <c r="A77" i="3"/>
  <c r="FQ76" i="3"/>
  <c r="FP76" i="3"/>
  <c r="FO76" i="3"/>
  <c r="FN76" i="3"/>
  <c r="FM76" i="3"/>
  <c r="FL76" i="3"/>
  <c r="FK76" i="3"/>
  <c r="FJ76" i="3"/>
  <c r="FI76" i="3"/>
  <c r="FH76" i="3"/>
  <c r="FG76" i="3"/>
  <c r="FF76" i="3"/>
  <c r="FE76" i="3"/>
  <c r="FD76" i="3"/>
  <c r="FC76" i="3"/>
  <c r="FB76" i="3"/>
  <c r="FA76" i="3"/>
  <c r="EZ76" i="3"/>
  <c r="EY76" i="3"/>
  <c r="EX76" i="3"/>
  <c r="EW76" i="3"/>
  <c r="EV76" i="3"/>
  <c r="EU76" i="3"/>
  <c r="ET76" i="3"/>
  <c r="ES76" i="3"/>
  <c r="ER76" i="3"/>
  <c r="EQ76" i="3"/>
  <c r="EP76" i="3"/>
  <c r="EO76" i="3"/>
  <c r="EN76" i="3"/>
  <c r="EM76" i="3"/>
  <c r="EL76" i="3"/>
  <c r="EK76" i="3"/>
  <c r="EJ76" i="3"/>
  <c r="EI76" i="3"/>
  <c r="EH76" i="3"/>
  <c r="EG76" i="3"/>
  <c r="EF76" i="3"/>
  <c r="EE76" i="3"/>
  <c r="ED76" i="3"/>
  <c r="EC76" i="3"/>
  <c r="EB76" i="3"/>
  <c r="EA76" i="3"/>
  <c r="DZ76" i="3"/>
  <c r="DY76" i="3"/>
  <c r="DX76" i="3"/>
  <c r="DW76" i="3"/>
  <c r="DV76" i="3"/>
  <c r="DU76" i="3"/>
  <c r="DT76" i="3"/>
  <c r="DS76" i="3"/>
  <c r="DR76" i="3"/>
  <c r="DQ76" i="3"/>
  <c r="DP76" i="3"/>
  <c r="DO76" i="3"/>
  <c r="DN76" i="3"/>
  <c r="DM76" i="3"/>
  <c r="DL76" i="3"/>
  <c r="DK76" i="3"/>
  <c r="DJ76" i="3"/>
  <c r="DI76" i="3"/>
  <c r="DH76" i="3"/>
  <c r="DG76" i="3"/>
  <c r="DF76" i="3"/>
  <c r="DE76" i="3"/>
  <c r="DD76" i="3"/>
  <c r="DC76" i="3"/>
  <c r="DB76" i="3"/>
  <c r="DA76" i="3"/>
  <c r="CZ76" i="3"/>
  <c r="CY76" i="3"/>
  <c r="CX76" i="3"/>
  <c r="CW76" i="3"/>
  <c r="CV76" i="3"/>
  <c r="CU76" i="3"/>
  <c r="CT76" i="3"/>
  <c r="CS76" i="3"/>
  <c r="CR76" i="3"/>
  <c r="CQ76" i="3"/>
  <c r="CP76" i="3"/>
  <c r="CO76" i="3"/>
  <c r="CN76" i="3"/>
  <c r="CM76" i="3"/>
  <c r="CL76" i="3"/>
  <c r="FQ75" i="3"/>
  <c r="FP75" i="3"/>
  <c r="FO75" i="3"/>
  <c r="FN75" i="3"/>
  <c r="FM75" i="3"/>
  <c r="FL75" i="3"/>
  <c r="FK75" i="3"/>
  <c r="FJ75" i="3"/>
  <c r="FI75" i="3"/>
  <c r="FH75" i="3"/>
  <c r="FG75" i="3"/>
  <c r="FF75" i="3"/>
  <c r="FE75" i="3"/>
  <c r="FD75" i="3"/>
  <c r="FC75" i="3"/>
  <c r="FB75" i="3"/>
  <c r="FA75" i="3"/>
  <c r="EZ75" i="3"/>
  <c r="EY75" i="3"/>
  <c r="EX75" i="3"/>
  <c r="EW75" i="3"/>
  <c r="EV75" i="3"/>
  <c r="EU75" i="3"/>
  <c r="ET75" i="3"/>
  <c r="ES75" i="3"/>
  <c r="ER75" i="3"/>
  <c r="EQ75" i="3"/>
  <c r="EP75" i="3"/>
  <c r="EO75" i="3"/>
  <c r="EN75" i="3"/>
  <c r="EM75" i="3"/>
  <c r="EL75" i="3"/>
  <c r="EK75" i="3"/>
  <c r="EJ75" i="3"/>
  <c r="EI75" i="3"/>
  <c r="EH75" i="3"/>
  <c r="EG75" i="3"/>
  <c r="EF75" i="3"/>
  <c r="EE75" i="3"/>
  <c r="ED75" i="3"/>
  <c r="EC75" i="3"/>
  <c r="EB75" i="3"/>
  <c r="EA75" i="3"/>
  <c r="DZ75" i="3"/>
  <c r="DY75" i="3"/>
  <c r="DX75" i="3"/>
  <c r="DW75" i="3"/>
  <c r="DV75" i="3"/>
  <c r="DU75" i="3"/>
  <c r="DT75" i="3"/>
  <c r="DS75" i="3"/>
  <c r="DR75" i="3"/>
  <c r="DQ75" i="3"/>
  <c r="DP75" i="3"/>
  <c r="DO75" i="3"/>
  <c r="DN75" i="3"/>
  <c r="DM75" i="3"/>
  <c r="DL75" i="3"/>
  <c r="DK75" i="3"/>
  <c r="DJ75" i="3"/>
  <c r="DI75" i="3"/>
  <c r="DH75" i="3"/>
  <c r="DG75" i="3"/>
  <c r="DF75" i="3"/>
  <c r="DE75" i="3"/>
  <c r="DD75" i="3"/>
  <c r="DC75" i="3"/>
  <c r="DB75" i="3"/>
  <c r="DA75" i="3"/>
  <c r="CZ75" i="3"/>
  <c r="CY75" i="3"/>
  <c r="CX75" i="3"/>
  <c r="CW75" i="3"/>
  <c r="CV75" i="3"/>
  <c r="CU75" i="3"/>
  <c r="CT75" i="3"/>
  <c r="CS75" i="3"/>
  <c r="CR75" i="3"/>
  <c r="CQ75" i="3"/>
  <c r="CP75" i="3"/>
  <c r="CO75" i="3"/>
  <c r="CN75" i="3"/>
  <c r="CM75" i="3"/>
  <c r="CL75" i="3"/>
  <c r="FQ74" i="3"/>
  <c r="FP74" i="3"/>
  <c r="FO74" i="3"/>
  <c r="FN74" i="3"/>
  <c r="FM74" i="3"/>
  <c r="FL74" i="3"/>
  <c r="FK74" i="3"/>
  <c r="FJ74" i="3"/>
  <c r="FI74" i="3"/>
  <c r="FH74" i="3"/>
  <c r="FG74" i="3"/>
  <c r="FF74" i="3"/>
  <c r="FE74" i="3"/>
  <c r="FD74" i="3"/>
  <c r="FC74" i="3"/>
  <c r="FB74" i="3"/>
  <c r="FA74" i="3"/>
  <c r="EZ74" i="3"/>
  <c r="EY74" i="3"/>
  <c r="EX74" i="3"/>
  <c r="EW74" i="3"/>
  <c r="EV74" i="3"/>
  <c r="EU74" i="3"/>
  <c r="ET74" i="3"/>
  <c r="ES74" i="3"/>
  <c r="ER74" i="3"/>
  <c r="EQ74" i="3"/>
  <c r="EP74" i="3"/>
  <c r="EO74" i="3"/>
  <c r="EN74" i="3"/>
  <c r="EM74" i="3"/>
  <c r="EL74" i="3"/>
  <c r="EK74" i="3"/>
  <c r="EJ74" i="3"/>
  <c r="EI74" i="3"/>
  <c r="EH74" i="3"/>
  <c r="EG74" i="3"/>
  <c r="EF74" i="3"/>
  <c r="EE74" i="3"/>
  <c r="ED74" i="3"/>
  <c r="EC74" i="3"/>
  <c r="EB74" i="3"/>
  <c r="EA74" i="3"/>
  <c r="DZ74" i="3"/>
  <c r="DY74" i="3"/>
  <c r="DX74" i="3"/>
  <c r="DW74" i="3"/>
  <c r="DV74" i="3"/>
  <c r="DU74" i="3"/>
  <c r="DT74" i="3"/>
  <c r="DS74" i="3"/>
  <c r="DR74" i="3"/>
  <c r="DQ74" i="3"/>
  <c r="DP74" i="3"/>
  <c r="DO74" i="3"/>
  <c r="DN74" i="3"/>
  <c r="DM74" i="3"/>
  <c r="DL74" i="3"/>
  <c r="DK74" i="3"/>
  <c r="DJ74" i="3"/>
  <c r="DI74" i="3"/>
  <c r="DH74" i="3"/>
  <c r="DG74" i="3"/>
  <c r="DF74" i="3"/>
  <c r="DE74" i="3"/>
  <c r="DD74" i="3"/>
  <c r="DC74" i="3"/>
  <c r="DB74" i="3"/>
  <c r="DA74" i="3"/>
  <c r="CZ74" i="3"/>
  <c r="CY74" i="3"/>
  <c r="CX74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D74" i="3"/>
  <c r="FQ73" i="3"/>
  <c r="FP73" i="3"/>
  <c r="FO73" i="3"/>
  <c r="FN73" i="3"/>
  <c r="FM73" i="3"/>
  <c r="FL73" i="3"/>
  <c r="FK73" i="3"/>
  <c r="FJ73" i="3"/>
  <c r="FI73" i="3"/>
  <c r="FH73" i="3"/>
  <c r="FG73" i="3"/>
  <c r="FF73" i="3"/>
  <c r="FE73" i="3"/>
  <c r="FD73" i="3"/>
  <c r="FC73" i="3"/>
  <c r="FB73" i="3"/>
  <c r="FA73" i="3"/>
  <c r="EZ73" i="3"/>
  <c r="EY73" i="3"/>
  <c r="EX73" i="3"/>
  <c r="EW73" i="3"/>
  <c r="EV73" i="3"/>
  <c r="EU73" i="3"/>
  <c r="ET73" i="3"/>
  <c r="ES73" i="3"/>
  <c r="ER73" i="3"/>
  <c r="EQ73" i="3"/>
  <c r="EP73" i="3"/>
  <c r="EO73" i="3"/>
  <c r="EN73" i="3"/>
  <c r="EM73" i="3"/>
  <c r="EL73" i="3"/>
  <c r="EK73" i="3"/>
  <c r="EJ73" i="3"/>
  <c r="EI73" i="3"/>
  <c r="EH73" i="3"/>
  <c r="EG73" i="3"/>
  <c r="EF73" i="3"/>
  <c r="EE73" i="3"/>
  <c r="ED73" i="3"/>
  <c r="EC73" i="3"/>
  <c r="EB73" i="3"/>
  <c r="EA73" i="3"/>
  <c r="DZ73" i="3"/>
  <c r="DY73" i="3"/>
  <c r="DX73" i="3"/>
  <c r="DW73" i="3"/>
  <c r="DV73" i="3"/>
  <c r="DU73" i="3"/>
  <c r="DT73" i="3"/>
  <c r="DS73" i="3"/>
  <c r="DR73" i="3"/>
  <c r="DQ73" i="3"/>
  <c r="DP73" i="3"/>
  <c r="DO73" i="3"/>
  <c r="DN73" i="3"/>
  <c r="DM73" i="3"/>
  <c r="DL73" i="3"/>
  <c r="DK73" i="3"/>
  <c r="DJ73" i="3"/>
  <c r="DI73" i="3"/>
  <c r="DH73" i="3"/>
  <c r="DG73" i="3"/>
  <c r="DF73" i="3"/>
  <c r="DE73" i="3"/>
  <c r="DD73" i="3"/>
  <c r="DC73" i="3"/>
  <c r="DB73" i="3"/>
  <c r="DA73" i="3"/>
  <c r="CZ73" i="3"/>
  <c r="CY73" i="3"/>
  <c r="CX73" i="3"/>
  <c r="CW73" i="3"/>
  <c r="CV73" i="3"/>
  <c r="CU73" i="3"/>
  <c r="CT73" i="3"/>
  <c r="CS73" i="3"/>
  <c r="CR73" i="3"/>
  <c r="CQ73" i="3"/>
  <c r="CP73" i="3"/>
  <c r="CO73" i="3"/>
  <c r="CN73" i="3"/>
  <c r="CM73" i="3"/>
  <c r="CL73" i="3"/>
  <c r="FQ72" i="3"/>
  <c r="FP72" i="3"/>
  <c r="FO72" i="3"/>
  <c r="FN72" i="3"/>
  <c r="FM72" i="3"/>
  <c r="FL72" i="3"/>
  <c r="FK72" i="3"/>
  <c r="FJ72" i="3"/>
  <c r="FI72" i="3"/>
  <c r="FH72" i="3"/>
  <c r="FG72" i="3"/>
  <c r="FF72" i="3"/>
  <c r="FE72" i="3"/>
  <c r="FD72" i="3"/>
  <c r="FC72" i="3"/>
  <c r="FB72" i="3"/>
  <c r="FA72" i="3"/>
  <c r="EZ72" i="3"/>
  <c r="EY72" i="3"/>
  <c r="EX72" i="3"/>
  <c r="EW72" i="3"/>
  <c r="EV72" i="3"/>
  <c r="EU72" i="3"/>
  <c r="ET72" i="3"/>
  <c r="ES72" i="3"/>
  <c r="ER72" i="3"/>
  <c r="EQ72" i="3"/>
  <c r="EP72" i="3"/>
  <c r="EO72" i="3"/>
  <c r="EN72" i="3"/>
  <c r="EM72" i="3"/>
  <c r="EL72" i="3"/>
  <c r="EK72" i="3"/>
  <c r="EJ72" i="3"/>
  <c r="EI72" i="3"/>
  <c r="EH72" i="3"/>
  <c r="EG72" i="3"/>
  <c r="EF72" i="3"/>
  <c r="EE72" i="3"/>
  <c r="ED72" i="3"/>
  <c r="EC72" i="3"/>
  <c r="EB72" i="3"/>
  <c r="EA72" i="3"/>
  <c r="DZ72" i="3"/>
  <c r="DY72" i="3"/>
  <c r="DX72" i="3"/>
  <c r="DW72" i="3"/>
  <c r="DV72" i="3"/>
  <c r="DU72" i="3"/>
  <c r="DT72" i="3"/>
  <c r="DS72" i="3"/>
  <c r="DR72" i="3"/>
  <c r="DQ72" i="3"/>
  <c r="DP72" i="3"/>
  <c r="DO72" i="3"/>
  <c r="DN72" i="3"/>
  <c r="DM72" i="3"/>
  <c r="DL72" i="3"/>
  <c r="DK72" i="3"/>
  <c r="DJ72" i="3"/>
  <c r="DI72" i="3"/>
  <c r="DH72" i="3"/>
  <c r="DG72" i="3"/>
  <c r="DF72" i="3"/>
  <c r="DE72" i="3"/>
  <c r="DD72" i="3"/>
  <c r="DC72" i="3"/>
  <c r="DB72" i="3"/>
  <c r="DA72" i="3"/>
  <c r="CZ72" i="3"/>
  <c r="CY72" i="3"/>
  <c r="CX72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A72" i="3"/>
  <c r="FQ71" i="3"/>
  <c r="FP71" i="3"/>
  <c r="FO71" i="3"/>
  <c r="FN71" i="3"/>
  <c r="FM71" i="3"/>
  <c r="FL71" i="3"/>
  <c r="FK71" i="3"/>
  <c r="FJ71" i="3"/>
  <c r="FI71" i="3"/>
  <c r="FH71" i="3"/>
  <c r="FG71" i="3"/>
  <c r="FF71" i="3"/>
  <c r="FE71" i="3"/>
  <c r="FD71" i="3"/>
  <c r="FC71" i="3"/>
  <c r="FB71" i="3"/>
  <c r="FA71" i="3"/>
  <c r="EZ71" i="3"/>
  <c r="EY71" i="3"/>
  <c r="EX71" i="3"/>
  <c r="EW71" i="3"/>
  <c r="EV71" i="3"/>
  <c r="EU71" i="3"/>
  <c r="ET71" i="3"/>
  <c r="ES71" i="3"/>
  <c r="ER71" i="3"/>
  <c r="EQ71" i="3"/>
  <c r="EP71" i="3"/>
  <c r="EO71" i="3"/>
  <c r="EN71" i="3"/>
  <c r="EM71" i="3"/>
  <c r="EL71" i="3"/>
  <c r="EK71" i="3"/>
  <c r="EJ71" i="3"/>
  <c r="EI71" i="3"/>
  <c r="EH71" i="3"/>
  <c r="EG71" i="3"/>
  <c r="EF71" i="3"/>
  <c r="EE71" i="3"/>
  <c r="ED71" i="3"/>
  <c r="EC71" i="3"/>
  <c r="EB71" i="3"/>
  <c r="EA71" i="3"/>
  <c r="DZ71" i="3"/>
  <c r="DY71" i="3"/>
  <c r="DX71" i="3"/>
  <c r="DW71" i="3"/>
  <c r="DV71" i="3"/>
  <c r="DU71" i="3"/>
  <c r="DT71" i="3"/>
  <c r="DS71" i="3"/>
  <c r="DR71" i="3"/>
  <c r="DQ71" i="3"/>
  <c r="DP71" i="3"/>
  <c r="DO71" i="3"/>
  <c r="DN71" i="3"/>
  <c r="DM71" i="3"/>
  <c r="DL71" i="3"/>
  <c r="DK71" i="3"/>
  <c r="DJ71" i="3"/>
  <c r="DI71" i="3"/>
  <c r="DH71" i="3"/>
  <c r="DG71" i="3"/>
  <c r="DF71" i="3"/>
  <c r="DE71" i="3"/>
  <c r="DD71" i="3"/>
  <c r="DC71" i="3"/>
  <c r="DB71" i="3"/>
  <c r="DA71" i="3"/>
  <c r="CZ71" i="3"/>
  <c r="CY71" i="3"/>
  <c r="CX71" i="3"/>
  <c r="CW71" i="3"/>
  <c r="CV71" i="3"/>
  <c r="CU71" i="3"/>
  <c r="CT71" i="3"/>
  <c r="CS71" i="3"/>
  <c r="CR71" i="3"/>
  <c r="CQ71" i="3"/>
  <c r="CP71" i="3"/>
  <c r="CO71" i="3"/>
  <c r="CN71" i="3"/>
  <c r="CM71" i="3"/>
  <c r="CL71" i="3"/>
  <c r="FQ70" i="3"/>
  <c r="FP70" i="3"/>
  <c r="FO70" i="3"/>
  <c r="FN70" i="3"/>
  <c r="FM70" i="3"/>
  <c r="FL70" i="3"/>
  <c r="FK70" i="3"/>
  <c r="FJ70" i="3"/>
  <c r="FI70" i="3"/>
  <c r="FH70" i="3"/>
  <c r="FG70" i="3"/>
  <c r="FF70" i="3"/>
  <c r="FE70" i="3"/>
  <c r="FD70" i="3"/>
  <c r="FC70" i="3"/>
  <c r="FB70" i="3"/>
  <c r="FA70" i="3"/>
  <c r="EZ70" i="3"/>
  <c r="EY70" i="3"/>
  <c r="EX70" i="3"/>
  <c r="EW70" i="3"/>
  <c r="EV70" i="3"/>
  <c r="EU70" i="3"/>
  <c r="ET70" i="3"/>
  <c r="ES70" i="3"/>
  <c r="ER70" i="3"/>
  <c r="EQ70" i="3"/>
  <c r="EP70" i="3"/>
  <c r="EO70" i="3"/>
  <c r="EN70" i="3"/>
  <c r="EM70" i="3"/>
  <c r="EL70" i="3"/>
  <c r="EK70" i="3"/>
  <c r="EJ70" i="3"/>
  <c r="EI70" i="3"/>
  <c r="EH70" i="3"/>
  <c r="EG70" i="3"/>
  <c r="EF70" i="3"/>
  <c r="EE70" i="3"/>
  <c r="ED70" i="3"/>
  <c r="EC70" i="3"/>
  <c r="EB70" i="3"/>
  <c r="EA70" i="3"/>
  <c r="DZ70" i="3"/>
  <c r="DY70" i="3"/>
  <c r="DX70" i="3"/>
  <c r="DW70" i="3"/>
  <c r="DV70" i="3"/>
  <c r="DU70" i="3"/>
  <c r="DT70" i="3"/>
  <c r="DS70" i="3"/>
  <c r="DR70" i="3"/>
  <c r="DQ70" i="3"/>
  <c r="DP70" i="3"/>
  <c r="DO70" i="3"/>
  <c r="DN70" i="3"/>
  <c r="DM70" i="3"/>
  <c r="DL70" i="3"/>
  <c r="DK70" i="3"/>
  <c r="DJ70" i="3"/>
  <c r="DI70" i="3"/>
  <c r="DH70" i="3"/>
  <c r="DG70" i="3"/>
  <c r="DF70" i="3"/>
  <c r="DE70" i="3"/>
  <c r="DD70" i="3"/>
  <c r="DC70" i="3"/>
  <c r="DB70" i="3"/>
  <c r="DA70" i="3"/>
  <c r="CZ70" i="3"/>
  <c r="CY70" i="3"/>
  <c r="CX70" i="3"/>
  <c r="CW70" i="3"/>
  <c r="CV70" i="3"/>
  <c r="CU70" i="3"/>
  <c r="CT70" i="3"/>
  <c r="CS70" i="3"/>
  <c r="CR70" i="3"/>
  <c r="CQ70" i="3"/>
  <c r="CP70" i="3"/>
  <c r="CO70" i="3"/>
  <c r="CN70" i="3"/>
  <c r="CM70" i="3"/>
  <c r="CL70" i="3"/>
  <c r="FQ69" i="3"/>
  <c r="FP69" i="3"/>
  <c r="FO69" i="3"/>
  <c r="FN69" i="3"/>
  <c r="FM69" i="3"/>
  <c r="FL69" i="3"/>
  <c r="FK69" i="3"/>
  <c r="FJ69" i="3"/>
  <c r="FI69" i="3"/>
  <c r="FH69" i="3"/>
  <c r="FG69" i="3"/>
  <c r="FF69" i="3"/>
  <c r="FE69" i="3"/>
  <c r="FD69" i="3"/>
  <c r="FC69" i="3"/>
  <c r="FB69" i="3"/>
  <c r="FA69" i="3"/>
  <c r="EZ69" i="3"/>
  <c r="EY69" i="3"/>
  <c r="EX69" i="3"/>
  <c r="EW69" i="3"/>
  <c r="EV69" i="3"/>
  <c r="EU69" i="3"/>
  <c r="ET69" i="3"/>
  <c r="ES69" i="3"/>
  <c r="ER69" i="3"/>
  <c r="EQ69" i="3"/>
  <c r="EP69" i="3"/>
  <c r="EO69" i="3"/>
  <c r="EN69" i="3"/>
  <c r="EM69" i="3"/>
  <c r="EL69" i="3"/>
  <c r="EK69" i="3"/>
  <c r="EJ69" i="3"/>
  <c r="EI69" i="3"/>
  <c r="EH69" i="3"/>
  <c r="EG69" i="3"/>
  <c r="EF69" i="3"/>
  <c r="EE69" i="3"/>
  <c r="ED69" i="3"/>
  <c r="EC69" i="3"/>
  <c r="EB69" i="3"/>
  <c r="EA69" i="3"/>
  <c r="DZ69" i="3"/>
  <c r="DY69" i="3"/>
  <c r="DX69" i="3"/>
  <c r="DW69" i="3"/>
  <c r="DV69" i="3"/>
  <c r="DU69" i="3"/>
  <c r="DT69" i="3"/>
  <c r="DS69" i="3"/>
  <c r="DR69" i="3"/>
  <c r="DQ69" i="3"/>
  <c r="DP69" i="3"/>
  <c r="DO69" i="3"/>
  <c r="DN69" i="3"/>
  <c r="DM69" i="3"/>
  <c r="DL69" i="3"/>
  <c r="DK69" i="3"/>
  <c r="DJ69" i="3"/>
  <c r="DI69" i="3"/>
  <c r="DH69" i="3"/>
  <c r="DG69" i="3"/>
  <c r="DF69" i="3"/>
  <c r="DE69" i="3"/>
  <c r="DD69" i="3"/>
  <c r="DC69" i="3"/>
  <c r="DB69" i="3"/>
  <c r="DA69" i="3"/>
  <c r="CZ69" i="3"/>
  <c r="CY69" i="3"/>
  <c r="CX69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FQ68" i="3"/>
  <c r="FP68" i="3"/>
  <c r="FO68" i="3"/>
  <c r="FN68" i="3"/>
  <c r="FM68" i="3"/>
  <c r="FL68" i="3"/>
  <c r="FK68" i="3"/>
  <c r="FJ68" i="3"/>
  <c r="FI68" i="3"/>
  <c r="FH68" i="3"/>
  <c r="FG68" i="3"/>
  <c r="FF68" i="3"/>
  <c r="FE68" i="3"/>
  <c r="FD68" i="3"/>
  <c r="FC68" i="3"/>
  <c r="FB68" i="3"/>
  <c r="FA68" i="3"/>
  <c r="EZ68" i="3"/>
  <c r="EY68" i="3"/>
  <c r="EX68" i="3"/>
  <c r="EW68" i="3"/>
  <c r="EV68" i="3"/>
  <c r="EU68" i="3"/>
  <c r="ET68" i="3"/>
  <c r="ES68" i="3"/>
  <c r="ER68" i="3"/>
  <c r="EQ68" i="3"/>
  <c r="EP68" i="3"/>
  <c r="EO68" i="3"/>
  <c r="EN68" i="3"/>
  <c r="EM68" i="3"/>
  <c r="EL68" i="3"/>
  <c r="EK68" i="3"/>
  <c r="EJ68" i="3"/>
  <c r="EI68" i="3"/>
  <c r="EH68" i="3"/>
  <c r="EG68" i="3"/>
  <c r="EF68" i="3"/>
  <c r="EE68" i="3"/>
  <c r="ED68" i="3"/>
  <c r="EC68" i="3"/>
  <c r="EB68" i="3"/>
  <c r="EA68" i="3"/>
  <c r="DZ68" i="3"/>
  <c r="DY68" i="3"/>
  <c r="DX68" i="3"/>
  <c r="DW68" i="3"/>
  <c r="DV68" i="3"/>
  <c r="DU68" i="3"/>
  <c r="DT68" i="3"/>
  <c r="DS68" i="3"/>
  <c r="DR68" i="3"/>
  <c r="DQ68" i="3"/>
  <c r="DP68" i="3"/>
  <c r="DO68" i="3"/>
  <c r="DN68" i="3"/>
  <c r="DM68" i="3"/>
  <c r="DL68" i="3"/>
  <c r="DK68" i="3"/>
  <c r="DJ68" i="3"/>
  <c r="DI68" i="3"/>
  <c r="DH68" i="3"/>
  <c r="DG68" i="3"/>
  <c r="DF68" i="3"/>
  <c r="DE68" i="3"/>
  <c r="DD68" i="3"/>
  <c r="DC68" i="3"/>
  <c r="DB68" i="3"/>
  <c r="DA68" i="3"/>
  <c r="CZ68" i="3"/>
  <c r="CY68" i="3"/>
  <c r="CX68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FQ67" i="3"/>
  <c r="FP67" i="3"/>
  <c r="FO67" i="3"/>
  <c r="FN67" i="3"/>
  <c r="FM67" i="3"/>
  <c r="FL67" i="3"/>
  <c r="FK67" i="3"/>
  <c r="FJ67" i="3"/>
  <c r="FI67" i="3"/>
  <c r="FH67" i="3"/>
  <c r="FG67" i="3"/>
  <c r="FF67" i="3"/>
  <c r="FE67" i="3"/>
  <c r="FD67" i="3"/>
  <c r="FC67" i="3"/>
  <c r="FB67" i="3"/>
  <c r="FA67" i="3"/>
  <c r="EZ67" i="3"/>
  <c r="EY67" i="3"/>
  <c r="EX67" i="3"/>
  <c r="EW67" i="3"/>
  <c r="EV67" i="3"/>
  <c r="EU67" i="3"/>
  <c r="ET67" i="3"/>
  <c r="ES67" i="3"/>
  <c r="ER67" i="3"/>
  <c r="EQ67" i="3"/>
  <c r="EP67" i="3"/>
  <c r="EO67" i="3"/>
  <c r="EN67" i="3"/>
  <c r="EM67" i="3"/>
  <c r="EL67" i="3"/>
  <c r="EK67" i="3"/>
  <c r="EJ67" i="3"/>
  <c r="EI67" i="3"/>
  <c r="EH67" i="3"/>
  <c r="EG67" i="3"/>
  <c r="EF67" i="3"/>
  <c r="EE67" i="3"/>
  <c r="ED67" i="3"/>
  <c r="EC67" i="3"/>
  <c r="EB67" i="3"/>
  <c r="EA67" i="3"/>
  <c r="DZ67" i="3"/>
  <c r="DY67" i="3"/>
  <c r="DX67" i="3"/>
  <c r="DW67" i="3"/>
  <c r="DV67" i="3"/>
  <c r="DU67" i="3"/>
  <c r="DT67" i="3"/>
  <c r="DS67" i="3"/>
  <c r="DR67" i="3"/>
  <c r="DQ67" i="3"/>
  <c r="DP67" i="3"/>
  <c r="DO67" i="3"/>
  <c r="DN67" i="3"/>
  <c r="DM67" i="3"/>
  <c r="DL67" i="3"/>
  <c r="DK67" i="3"/>
  <c r="DJ67" i="3"/>
  <c r="DI67" i="3"/>
  <c r="DH67" i="3"/>
  <c r="DG67" i="3"/>
  <c r="DF67" i="3"/>
  <c r="DE67" i="3"/>
  <c r="DD67" i="3"/>
  <c r="DC67" i="3"/>
  <c r="DB67" i="3"/>
  <c r="DA67" i="3"/>
  <c r="CZ67" i="3"/>
  <c r="CY67" i="3"/>
  <c r="CX67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FQ66" i="3"/>
  <c r="FP66" i="3"/>
  <c r="FO66" i="3"/>
  <c r="FN66" i="3"/>
  <c r="FM66" i="3"/>
  <c r="FL66" i="3"/>
  <c r="FK66" i="3"/>
  <c r="FJ66" i="3"/>
  <c r="FI66" i="3"/>
  <c r="FH66" i="3"/>
  <c r="FG66" i="3"/>
  <c r="FF66" i="3"/>
  <c r="FE66" i="3"/>
  <c r="FD66" i="3"/>
  <c r="FC66" i="3"/>
  <c r="FB66" i="3"/>
  <c r="FA66" i="3"/>
  <c r="EZ66" i="3"/>
  <c r="EY66" i="3"/>
  <c r="EX66" i="3"/>
  <c r="EW66" i="3"/>
  <c r="EV66" i="3"/>
  <c r="EU66" i="3"/>
  <c r="ET66" i="3"/>
  <c r="ES66" i="3"/>
  <c r="ER66" i="3"/>
  <c r="EQ66" i="3"/>
  <c r="EP66" i="3"/>
  <c r="EO66" i="3"/>
  <c r="EN66" i="3"/>
  <c r="EM66" i="3"/>
  <c r="EL66" i="3"/>
  <c r="EK66" i="3"/>
  <c r="EJ66" i="3"/>
  <c r="EI66" i="3"/>
  <c r="EH66" i="3"/>
  <c r="EG66" i="3"/>
  <c r="EF66" i="3"/>
  <c r="EE66" i="3"/>
  <c r="ED66" i="3"/>
  <c r="EC66" i="3"/>
  <c r="EB66" i="3"/>
  <c r="EA66" i="3"/>
  <c r="DZ66" i="3"/>
  <c r="DY66" i="3"/>
  <c r="DX66" i="3"/>
  <c r="DW66" i="3"/>
  <c r="DV66" i="3"/>
  <c r="DU66" i="3"/>
  <c r="DT66" i="3"/>
  <c r="DS66" i="3"/>
  <c r="DR66" i="3"/>
  <c r="DQ66" i="3"/>
  <c r="DP66" i="3"/>
  <c r="DO66" i="3"/>
  <c r="DN66" i="3"/>
  <c r="DM66" i="3"/>
  <c r="DL66" i="3"/>
  <c r="DK66" i="3"/>
  <c r="DJ66" i="3"/>
  <c r="DI66" i="3"/>
  <c r="DH66" i="3"/>
  <c r="DG66" i="3"/>
  <c r="DF66" i="3"/>
  <c r="DE66" i="3"/>
  <c r="DD66" i="3"/>
  <c r="DC66" i="3"/>
  <c r="DB66" i="3"/>
  <c r="DA66" i="3"/>
  <c r="CZ66" i="3"/>
  <c r="CY66" i="3"/>
  <c r="CX66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FQ65" i="3"/>
  <c r="FP65" i="3"/>
  <c r="FO65" i="3"/>
  <c r="FN65" i="3"/>
  <c r="FM65" i="3"/>
  <c r="FL65" i="3"/>
  <c r="FK65" i="3"/>
  <c r="FJ65" i="3"/>
  <c r="FI65" i="3"/>
  <c r="FH65" i="3"/>
  <c r="FG65" i="3"/>
  <c r="FF65" i="3"/>
  <c r="FE65" i="3"/>
  <c r="FD65" i="3"/>
  <c r="FC65" i="3"/>
  <c r="FB65" i="3"/>
  <c r="FA65" i="3"/>
  <c r="EZ65" i="3"/>
  <c r="EY65" i="3"/>
  <c r="EX65" i="3"/>
  <c r="EW65" i="3"/>
  <c r="EV65" i="3"/>
  <c r="EU65" i="3"/>
  <c r="ET65" i="3"/>
  <c r="ES65" i="3"/>
  <c r="ER65" i="3"/>
  <c r="EQ65" i="3"/>
  <c r="EP65" i="3"/>
  <c r="EO65" i="3"/>
  <c r="EN65" i="3"/>
  <c r="EM65" i="3"/>
  <c r="EL65" i="3"/>
  <c r="EK65" i="3"/>
  <c r="EJ65" i="3"/>
  <c r="EI65" i="3"/>
  <c r="EH65" i="3"/>
  <c r="EG65" i="3"/>
  <c r="EF65" i="3"/>
  <c r="EE65" i="3"/>
  <c r="ED65" i="3"/>
  <c r="EC65" i="3"/>
  <c r="EB65" i="3"/>
  <c r="EA65" i="3"/>
  <c r="DZ65" i="3"/>
  <c r="DY65" i="3"/>
  <c r="DX65" i="3"/>
  <c r="DW65" i="3"/>
  <c r="DV65" i="3"/>
  <c r="DU65" i="3"/>
  <c r="DT65" i="3"/>
  <c r="DS65" i="3"/>
  <c r="DR65" i="3"/>
  <c r="DQ65" i="3"/>
  <c r="DP65" i="3"/>
  <c r="DO65" i="3"/>
  <c r="DN65" i="3"/>
  <c r="DM65" i="3"/>
  <c r="DL65" i="3"/>
  <c r="DK65" i="3"/>
  <c r="DJ65" i="3"/>
  <c r="DI65" i="3"/>
  <c r="DH65" i="3"/>
  <c r="DG65" i="3"/>
  <c r="DF65" i="3"/>
  <c r="DE65" i="3"/>
  <c r="DD65" i="3"/>
  <c r="DC65" i="3"/>
  <c r="DB65" i="3"/>
  <c r="DA65" i="3"/>
  <c r="CZ65" i="3"/>
  <c r="CY65" i="3"/>
  <c r="CX65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FQ64" i="3"/>
  <c r="FP64" i="3"/>
  <c r="FO64" i="3"/>
  <c r="FN64" i="3"/>
  <c r="FM64" i="3"/>
  <c r="FL64" i="3"/>
  <c r="FK64" i="3"/>
  <c r="FJ64" i="3"/>
  <c r="FI64" i="3"/>
  <c r="FH64" i="3"/>
  <c r="FG64" i="3"/>
  <c r="FF64" i="3"/>
  <c r="FE64" i="3"/>
  <c r="FD64" i="3"/>
  <c r="FC64" i="3"/>
  <c r="FB64" i="3"/>
  <c r="FA64" i="3"/>
  <c r="EZ64" i="3"/>
  <c r="EY64" i="3"/>
  <c r="EX64" i="3"/>
  <c r="EW64" i="3"/>
  <c r="EV64" i="3"/>
  <c r="EU64" i="3"/>
  <c r="ET64" i="3"/>
  <c r="ES64" i="3"/>
  <c r="ER64" i="3"/>
  <c r="EQ64" i="3"/>
  <c r="EP64" i="3"/>
  <c r="EO64" i="3"/>
  <c r="EN64" i="3"/>
  <c r="EM64" i="3"/>
  <c r="EL64" i="3"/>
  <c r="EK64" i="3"/>
  <c r="EJ64" i="3"/>
  <c r="EI64" i="3"/>
  <c r="EH64" i="3"/>
  <c r="EG64" i="3"/>
  <c r="EF64" i="3"/>
  <c r="EE64" i="3"/>
  <c r="ED64" i="3"/>
  <c r="EC64" i="3"/>
  <c r="EB64" i="3"/>
  <c r="EA64" i="3"/>
  <c r="DZ64" i="3"/>
  <c r="DY64" i="3"/>
  <c r="DX64" i="3"/>
  <c r="DW64" i="3"/>
  <c r="DV64" i="3"/>
  <c r="DU64" i="3"/>
  <c r="DT64" i="3"/>
  <c r="DS64" i="3"/>
  <c r="DR64" i="3"/>
  <c r="DQ64" i="3"/>
  <c r="DP64" i="3"/>
  <c r="DO64" i="3"/>
  <c r="DN64" i="3"/>
  <c r="DM64" i="3"/>
  <c r="DL64" i="3"/>
  <c r="DK64" i="3"/>
  <c r="DJ64" i="3"/>
  <c r="DI64" i="3"/>
  <c r="DH64" i="3"/>
  <c r="DG64" i="3"/>
  <c r="DF64" i="3"/>
  <c r="DE64" i="3"/>
  <c r="DD64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64" i="3"/>
  <c r="FQ63" i="3"/>
  <c r="FP63" i="3"/>
  <c r="FO63" i="3"/>
  <c r="FN63" i="3"/>
  <c r="FM63" i="3"/>
  <c r="FL63" i="3"/>
  <c r="FK63" i="3"/>
  <c r="FJ63" i="3"/>
  <c r="FI63" i="3"/>
  <c r="FH63" i="3"/>
  <c r="FG63" i="3"/>
  <c r="FF63" i="3"/>
  <c r="FE63" i="3"/>
  <c r="FD63" i="3"/>
  <c r="FC63" i="3"/>
  <c r="FB63" i="3"/>
  <c r="FA63" i="3"/>
  <c r="EZ63" i="3"/>
  <c r="EY63" i="3"/>
  <c r="EX63" i="3"/>
  <c r="EW63" i="3"/>
  <c r="EV63" i="3"/>
  <c r="EU63" i="3"/>
  <c r="ET63" i="3"/>
  <c r="ES63" i="3"/>
  <c r="ER63" i="3"/>
  <c r="EQ63" i="3"/>
  <c r="EP63" i="3"/>
  <c r="EO63" i="3"/>
  <c r="EN63" i="3"/>
  <c r="EM63" i="3"/>
  <c r="EL63" i="3"/>
  <c r="EK63" i="3"/>
  <c r="EJ63" i="3"/>
  <c r="EI63" i="3"/>
  <c r="EH63" i="3"/>
  <c r="EG63" i="3"/>
  <c r="EF63" i="3"/>
  <c r="EE63" i="3"/>
  <c r="ED63" i="3"/>
  <c r="EC63" i="3"/>
  <c r="EB63" i="3"/>
  <c r="EA63" i="3"/>
  <c r="DZ63" i="3"/>
  <c r="DY63" i="3"/>
  <c r="DX63" i="3"/>
  <c r="DW63" i="3"/>
  <c r="DV63" i="3"/>
  <c r="DU63" i="3"/>
  <c r="DT63" i="3"/>
  <c r="DS63" i="3"/>
  <c r="DR63" i="3"/>
  <c r="DQ63" i="3"/>
  <c r="DP63" i="3"/>
  <c r="DO63" i="3"/>
  <c r="DN63" i="3"/>
  <c r="DM63" i="3"/>
  <c r="DL63" i="3"/>
  <c r="DK63" i="3"/>
  <c r="DJ63" i="3"/>
  <c r="DI63" i="3"/>
  <c r="DH63" i="3"/>
  <c r="DG63" i="3"/>
  <c r="DF63" i="3"/>
  <c r="DE63" i="3"/>
  <c r="DD63" i="3"/>
  <c r="DC63" i="3"/>
  <c r="DB63" i="3"/>
  <c r="DA63" i="3"/>
  <c r="CZ63" i="3"/>
  <c r="CY63" i="3"/>
  <c r="CX63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FQ62" i="3"/>
  <c r="FP62" i="3"/>
  <c r="FO62" i="3"/>
  <c r="FN62" i="3"/>
  <c r="FM62" i="3"/>
  <c r="FL62" i="3"/>
  <c r="FK62" i="3"/>
  <c r="FJ62" i="3"/>
  <c r="FI62" i="3"/>
  <c r="FH62" i="3"/>
  <c r="FG62" i="3"/>
  <c r="FF62" i="3"/>
  <c r="FE62" i="3"/>
  <c r="FD62" i="3"/>
  <c r="FC62" i="3"/>
  <c r="FB62" i="3"/>
  <c r="FA62" i="3"/>
  <c r="EZ62" i="3"/>
  <c r="EY62" i="3"/>
  <c r="EX62" i="3"/>
  <c r="EW62" i="3"/>
  <c r="EV62" i="3"/>
  <c r="EU62" i="3"/>
  <c r="ET62" i="3"/>
  <c r="ES62" i="3"/>
  <c r="ER62" i="3"/>
  <c r="EQ62" i="3"/>
  <c r="EP62" i="3"/>
  <c r="EO62" i="3"/>
  <c r="EN62" i="3"/>
  <c r="EM62" i="3"/>
  <c r="EL62" i="3"/>
  <c r="EK62" i="3"/>
  <c r="EJ62" i="3"/>
  <c r="EI62" i="3"/>
  <c r="EH62" i="3"/>
  <c r="EG62" i="3"/>
  <c r="EF62" i="3"/>
  <c r="EE62" i="3"/>
  <c r="ED62" i="3"/>
  <c r="EC62" i="3"/>
  <c r="EB62" i="3"/>
  <c r="EA62" i="3"/>
  <c r="DZ62" i="3"/>
  <c r="DY62" i="3"/>
  <c r="DX62" i="3"/>
  <c r="DW62" i="3"/>
  <c r="DV62" i="3"/>
  <c r="DU62" i="3"/>
  <c r="DT62" i="3"/>
  <c r="DS62" i="3"/>
  <c r="DR62" i="3"/>
  <c r="DQ62" i="3"/>
  <c r="DP62" i="3"/>
  <c r="DO62" i="3"/>
  <c r="DN62" i="3"/>
  <c r="DM62" i="3"/>
  <c r="DL62" i="3"/>
  <c r="DK62" i="3"/>
  <c r="DJ62" i="3"/>
  <c r="DI62" i="3"/>
  <c r="DH62" i="3"/>
  <c r="DG62" i="3"/>
  <c r="DF62" i="3"/>
  <c r="DE62" i="3"/>
  <c r="DD62" i="3"/>
  <c r="DC62" i="3"/>
  <c r="DB62" i="3"/>
  <c r="DA62" i="3"/>
  <c r="CZ62" i="3"/>
  <c r="CY62" i="3"/>
  <c r="CX62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FQ61" i="3"/>
  <c r="FP61" i="3"/>
  <c r="FO61" i="3"/>
  <c r="FN61" i="3"/>
  <c r="FM61" i="3"/>
  <c r="FL61" i="3"/>
  <c r="FK61" i="3"/>
  <c r="FJ61" i="3"/>
  <c r="FI61" i="3"/>
  <c r="FH61" i="3"/>
  <c r="FG61" i="3"/>
  <c r="FF61" i="3"/>
  <c r="FE61" i="3"/>
  <c r="FD61" i="3"/>
  <c r="FC61" i="3"/>
  <c r="FB61" i="3"/>
  <c r="FA61" i="3"/>
  <c r="EZ61" i="3"/>
  <c r="EY61" i="3"/>
  <c r="EX61" i="3"/>
  <c r="EW61" i="3"/>
  <c r="EV61" i="3"/>
  <c r="EU61" i="3"/>
  <c r="ET61" i="3"/>
  <c r="ES61" i="3"/>
  <c r="ER61" i="3"/>
  <c r="EQ61" i="3"/>
  <c r="EP61" i="3"/>
  <c r="EO61" i="3"/>
  <c r="EN61" i="3"/>
  <c r="EM61" i="3"/>
  <c r="EL61" i="3"/>
  <c r="EK61" i="3"/>
  <c r="EJ61" i="3"/>
  <c r="EI61" i="3"/>
  <c r="EH61" i="3"/>
  <c r="EG61" i="3"/>
  <c r="EF61" i="3"/>
  <c r="EE61" i="3"/>
  <c r="ED61" i="3"/>
  <c r="EC61" i="3"/>
  <c r="EB61" i="3"/>
  <c r="EA61" i="3"/>
  <c r="DZ61" i="3"/>
  <c r="DY61" i="3"/>
  <c r="DX61" i="3"/>
  <c r="DW61" i="3"/>
  <c r="DV61" i="3"/>
  <c r="DU61" i="3"/>
  <c r="DT61" i="3"/>
  <c r="DS61" i="3"/>
  <c r="DR61" i="3"/>
  <c r="DQ61" i="3"/>
  <c r="DP61" i="3"/>
  <c r="DO61" i="3"/>
  <c r="DN61" i="3"/>
  <c r="DM61" i="3"/>
  <c r="DL61" i="3"/>
  <c r="DK61" i="3"/>
  <c r="DJ61" i="3"/>
  <c r="DI61" i="3"/>
  <c r="DH61" i="3"/>
  <c r="DG61" i="3"/>
  <c r="DF61" i="3"/>
  <c r="DE61" i="3"/>
  <c r="DD61" i="3"/>
  <c r="DC61" i="3"/>
  <c r="DB61" i="3"/>
  <c r="DA61" i="3"/>
  <c r="CZ61" i="3"/>
  <c r="CY61" i="3"/>
  <c r="CX61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FQ60" i="3"/>
  <c r="FP60" i="3"/>
  <c r="FO60" i="3"/>
  <c r="FN60" i="3"/>
  <c r="FM60" i="3"/>
  <c r="FL60" i="3"/>
  <c r="FK60" i="3"/>
  <c r="FJ60" i="3"/>
  <c r="FI60" i="3"/>
  <c r="FH60" i="3"/>
  <c r="FG60" i="3"/>
  <c r="FF60" i="3"/>
  <c r="FE60" i="3"/>
  <c r="FD60" i="3"/>
  <c r="FC60" i="3"/>
  <c r="FB60" i="3"/>
  <c r="FA60" i="3"/>
  <c r="EZ60" i="3"/>
  <c r="EY60" i="3"/>
  <c r="EX60" i="3"/>
  <c r="EW60" i="3"/>
  <c r="EV60" i="3"/>
  <c r="EU60" i="3"/>
  <c r="ET60" i="3"/>
  <c r="ES60" i="3"/>
  <c r="ER60" i="3"/>
  <c r="EQ60" i="3"/>
  <c r="EP60" i="3"/>
  <c r="EO60" i="3"/>
  <c r="EN60" i="3"/>
  <c r="EM60" i="3"/>
  <c r="EL60" i="3"/>
  <c r="EK60" i="3"/>
  <c r="EJ60" i="3"/>
  <c r="EI60" i="3"/>
  <c r="EH60" i="3"/>
  <c r="EG60" i="3"/>
  <c r="EF60" i="3"/>
  <c r="EE60" i="3"/>
  <c r="ED60" i="3"/>
  <c r="EC60" i="3"/>
  <c r="EB60" i="3"/>
  <c r="EA60" i="3"/>
  <c r="DZ60" i="3"/>
  <c r="DY60" i="3"/>
  <c r="DX60" i="3"/>
  <c r="DW60" i="3"/>
  <c r="DV60" i="3"/>
  <c r="DU60" i="3"/>
  <c r="DT60" i="3"/>
  <c r="DS60" i="3"/>
  <c r="DR60" i="3"/>
  <c r="DQ60" i="3"/>
  <c r="DP60" i="3"/>
  <c r="DO60" i="3"/>
  <c r="DN60" i="3"/>
  <c r="DM60" i="3"/>
  <c r="DL60" i="3"/>
  <c r="DK60" i="3"/>
  <c r="DJ60" i="3"/>
  <c r="DI60" i="3"/>
  <c r="DH60" i="3"/>
  <c r="DG60" i="3"/>
  <c r="DF60" i="3"/>
  <c r="DE60" i="3"/>
  <c r="DD60" i="3"/>
  <c r="DC60" i="3"/>
  <c r="DB60" i="3"/>
  <c r="DA60" i="3"/>
  <c r="CZ60" i="3"/>
  <c r="CY60" i="3"/>
  <c r="CX60" i="3"/>
  <c r="CW60" i="3"/>
  <c r="CV60" i="3"/>
  <c r="CU60" i="3"/>
  <c r="CT60" i="3"/>
  <c r="CS60" i="3"/>
  <c r="CR60" i="3"/>
  <c r="CQ60" i="3"/>
  <c r="CP60" i="3"/>
  <c r="CO60" i="3"/>
  <c r="CN60" i="3"/>
  <c r="CM60" i="3"/>
  <c r="CL60" i="3"/>
  <c r="FQ59" i="3"/>
  <c r="FP59" i="3"/>
  <c r="FO59" i="3"/>
  <c r="FN59" i="3"/>
  <c r="FM59" i="3"/>
  <c r="FL59" i="3"/>
  <c r="FK59" i="3"/>
  <c r="FJ59" i="3"/>
  <c r="FI59" i="3"/>
  <c r="FH59" i="3"/>
  <c r="FG59" i="3"/>
  <c r="FF59" i="3"/>
  <c r="FE59" i="3"/>
  <c r="FD59" i="3"/>
  <c r="FC59" i="3"/>
  <c r="FB59" i="3"/>
  <c r="FA59" i="3"/>
  <c r="EZ59" i="3"/>
  <c r="EY59" i="3"/>
  <c r="EX59" i="3"/>
  <c r="EW59" i="3"/>
  <c r="EV59" i="3"/>
  <c r="EU59" i="3"/>
  <c r="ET59" i="3"/>
  <c r="ES59" i="3"/>
  <c r="ER59" i="3"/>
  <c r="EQ59" i="3"/>
  <c r="EP59" i="3"/>
  <c r="EO59" i="3"/>
  <c r="EN59" i="3"/>
  <c r="EM59" i="3"/>
  <c r="EL59" i="3"/>
  <c r="EK59" i="3"/>
  <c r="EJ59" i="3"/>
  <c r="EI59" i="3"/>
  <c r="EH59" i="3"/>
  <c r="EG59" i="3"/>
  <c r="EF59" i="3"/>
  <c r="EE59" i="3"/>
  <c r="ED59" i="3"/>
  <c r="EC59" i="3"/>
  <c r="EB59" i="3"/>
  <c r="EA59" i="3"/>
  <c r="DZ59" i="3"/>
  <c r="DY59" i="3"/>
  <c r="DX59" i="3"/>
  <c r="DW59" i="3"/>
  <c r="DV59" i="3"/>
  <c r="DU59" i="3"/>
  <c r="DT59" i="3"/>
  <c r="DS59" i="3"/>
  <c r="DR59" i="3"/>
  <c r="DQ59" i="3"/>
  <c r="DP59" i="3"/>
  <c r="DO59" i="3"/>
  <c r="DN59" i="3"/>
  <c r="DM59" i="3"/>
  <c r="DL59" i="3"/>
  <c r="DK59" i="3"/>
  <c r="DJ59" i="3"/>
  <c r="DI59" i="3"/>
  <c r="DH59" i="3"/>
  <c r="DG59" i="3"/>
  <c r="DF59" i="3"/>
  <c r="DE59" i="3"/>
  <c r="DD59" i="3"/>
  <c r="DC59" i="3"/>
  <c r="DB59" i="3"/>
  <c r="DA59" i="3"/>
  <c r="CZ59" i="3"/>
  <c r="CY59" i="3"/>
  <c r="CX59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FQ58" i="3"/>
  <c r="FP58" i="3"/>
  <c r="FO58" i="3"/>
  <c r="FN58" i="3"/>
  <c r="FM58" i="3"/>
  <c r="FL58" i="3"/>
  <c r="FK58" i="3"/>
  <c r="FJ58" i="3"/>
  <c r="FI58" i="3"/>
  <c r="FH58" i="3"/>
  <c r="FG58" i="3"/>
  <c r="FF58" i="3"/>
  <c r="FE58" i="3"/>
  <c r="FD58" i="3"/>
  <c r="FC58" i="3"/>
  <c r="FB58" i="3"/>
  <c r="FA58" i="3"/>
  <c r="EZ58" i="3"/>
  <c r="EY58" i="3"/>
  <c r="EX58" i="3"/>
  <c r="EW58" i="3"/>
  <c r="EV58" i="3"/>
  <c r="EU58" i="3"/>
  <c r="ET58" i="3"/>
  <c r="ES58" i="3"/>
  <c r="ER58" i="3"/>
  <c r="EQ58" i="3"/>
  <c r="EP58" i="3"/>
  <c r="EO58" i="3"/>
  <c r="EN58" i="3"/>
  <c r="EM58" i="3"/>
  <c r="EL58" i="3"/>
  <c r="EK58" i="3"/>
  <c r="EJ58" i="3"/>
  <c r="EI58" i="3"/>
  <c r="EH58" i="3"/>
  <c r="EG58" i="3"/>
  <c r="EF58" i="3"/>
  <c r="EE58" i="3"/>
  <c r="ED58" i="3"/>
  <c r="EC58" i="3"/>
  <c r="EB58" i="3"/>
  <c r="EA58" i="3"/>
  <c r="DZ58" i="3"/>
  <c r="DY58" i="3"/>
  <c r="DX58" i="3"/>
  <c r="DW58" i="3"/>
  <c r="DV58" i="3"/>
  <c r="DU58" i="3"/>
  <c r="DT58" i="3"/>
  <c r="DS58" i="3"/>
  <c r="DR58" i="3"/>
  <c r="DQ58" i="3"/>
  <c r="DP58" i="3"/>
  <c r="DO58" i="3"/>
  <c r="DN58" i="3"/>
  <c r="DM58" i="3"/>
  <c r="DL58" i="3"/>
  <c r="DK58" i="3"/>
  <c r="DJ58" i="3"/>
  <c r="DI58" i="3"/>
  <c r="DH58" i="3"/>
  <c r="DG58" i="3"/>
  <c r="DF58" i="3"/>
  <c r="DE58" i="3"/>
  <c r="DD58" i="3"/>
  <c r="DC58" i="3"/>
  <c r="DB58" i="3"/>
  <c r="DA58" i="3"/>
  <c r="CZ58" i="3"/>
  <c r="CY58" i="3"/>
  <c r="CX58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E58" i="3"/>
  <c r="D58" i="3"/>
  <c r="C58" i="3"/>
  <c r="B58" i="3"/>
  <c r="FQ57" i="3"/>
  <c r="FP57" i="3"/>
  <c r="FO57" i="3"/>
  <c r="FN57" i="3"/>
  <c r="FM57" i="3"/>
  <c r="FL57" i="3"/>
  <c r="FK57" i="3"/>
  <c r="FJ57" i="3"/>
  <c r="FI57" i="3"/>
  <c r="FH57" i="3"/>
  <c r="FG57" i="3"/>
  <c r="FF57" i="3"/>
  <c r="FE57" i="3"/>
  <c r="FD57" i="3"/>
  <c r="FC57" i="3"/>
  <c r="FB57" i="3"/>
  <c r="FA57" i="3"/>
  <c r="EZ57" i="3"/>
  <c r="EY57" i="3"/>
  <c r="EX57" i="3"/>
  <c r="EW57" i="3"/>
  <c r="EV57" i="3"/>
  <c r="EU57" i="3"/>
  <c r="ET57" i="3"/>
  <c r="ES57" i="3"/>
  <c r="ER57" i="3"/>
  <c r="EQ57" i="3"/>
  <c r="EP57" i="3"/>
  <c r="EO57" i="3"/>
  <c r="EN57" i="3"/>
  <c r="EM57" i="3"/>
  <c r="EL57" i="3"/>
  <c r="EK57" i="3"/>
  <c r="EJ57" i="3"/>
  <c r="EI57" i="3"/>
  <c r="EH57" i="3"/>
  <c r="EG57" i="3"/>
  <c r="EF57" i="3"/>
  <c r="EE57" i="3"/>
  <c r="ED57" i="3"/>
  <c r="EC57" i="3"/>
  <c r="EB57" i="3"/>
  <c r="EA57" i="3"/>
  <c r="DZ57" i="3"/>
  <c r="DY57" i="3"/>
  <c r="DX57" i="3"/>
  <c r="DW57" i="3"/>
  <c r="DV57" i="3"/>
  <c r="DU57" i="3"/>
  <c r="DT57" i="3"/>
  <c r="DS57" i="3"/>
  <c r="DR57" i="3"/>
  <c r="DQ57" i="3"/>
  <c r="DP57" i="3"/>
  <c r="DO57" i="3"/>
  <c r="DN57" i="3"/>
  <c r="DM57" i="3"/>
  <c r="DL57" i="3"/>
  <c r="DK57" i="3"/>
  <c r="DJ57" i="3"/>
  <c r="DI57" i="3"/>
  <c r="DH57" i="3"/>
  <c r="DG57" i="3"/>
  <c r="DF57" i="3"/>
  <c r="DE57" i="3"/>
  <c r="DD57" i="3"/>
  <c r="DC57" i="3"/>
  <c r="DB57" i="3"/>
  <c r="DA57" i="3"/>
  <c r="CZ57" i="3"/>
  <c r="CY57" i="3"/>
  <c r="CX57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E57" i="3"/>
  <c r="D57" i="3"/>
  <c r="C57" i="3"/>
  <c r="B57" i="3"/>
  <c r="FQ56" i="3"/>
  <c r="FP56" i="3"/>
  <c r="FO56" i="3"/>
  <c r="FN56" i="3"/>
  <c r="FM56" i="3"/>
  <c r="FL56" i="3"/>
  <c r="FK56" i="3"/>
  <c r="FJ56" i="3"/>
  <c r="FI56" i="3"/>
  <c r="FH56" i="3"/>
  <c r="FG56" i="3"/>
  <c r="FF56" i="3"/>
  <c r="FE56" i="3"/>
  <c r="FD56" i="3"/>
  <c r="FC56" i="3"/>
  <c r="FB56" i="3"/>
  <c r="FA56" i="3"/>
  <c r="EZ56" i="3"/>
  <c r="EY56" i="3"/>
  <c r="EX56" i="3"/>
  <c r="EW56" i="3"/>
  <c r="EV56" i="3"/>
  <c r="EU56" i="3"/>
  <c r="ET56" i="3"/>
  <c r="ES56" i="3"/>
  <c r="ER56" i="3"/>
  <c r="EQ56" i="3"/>
  <c r="EP56" i="3"/>
  <c r="EO56" i="3"/>
  <c r="EN56" i="3"/>
  <c r="EM56" i="3"/>
  <c r="EL56" i="3"/>
  <c r="EK56" i="3"/>
  <c r="EJ56" i="3"/>
  <c r="EI56" i="3"/>
  <c r="EH56" i="3"/>
  <c r="EG56" i="3"/>
  <c r="EF56" i="3"/>
  <c r="EE56" i="3"/>
  <c r="ED56" i="3"/>
  <c r="EC56" i="3"/>
  <c r="EB56" i="3"/>
  <c r="EA56" i="3"/>
  <c r="DZ56" i="3"/>
  <c r="DY56" i="3"/>
  <c r="DX56" i="3"/>
  <c r="DW56" i="3"/>
  <c r="DV56" i="3"/>
  <c r="DU56" i="3"/>
  <c r="DT56" i="3"/>
  <c r="DS56" i="3"/>
  <c r="DR56" i="3"/>
  <c r="DQ56" i="3"/>
  <c r="DP56" i="3"/>
  <c r="DO56" i="3"/>
  <c r="DN56" i="3"/>
  <c r="DM56" i="3"/>
  <c r="DL56" i="3"/>
  <c r="DK56" i="3"/>
  <c r="DJ56" i="3"/>
  <c r="DI56" i="3"/>
  <c r="DH56" i="3"/>
  <c r="DG56" i="3"/>
  <c r="DF56" i="3"/>
  <c r="DE56" i="3"/>
  <c r="DD56" i="3"/>
  <c r="DC56" i="3"/>
  <c r="DB56" i="3"/>
  <c r="DA56" i="3"/>
  <c r="CZ56" i="3"/>
  <c r="CY56" i="3"/>
  <c r="CX56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E56" i="3"/>
  <c r="D56" i="3"/>
  <c r="C56" i="3"/>
  <c r="B56" i="3"/>
  <c r="FQ55" i="3"/>
  <c r="FP55" i="3"/>
  <c r="FO55" i="3"/>
  <c r="FN55" i="3"/>
  <c r="FM55" i="3"/>
  <c r="FL55" i="3"/>
  <c r="FK55" i="3"/>
  <c r="FJ55" i="3"/>
  <c r="FI55" i="3"/>
  <c r="FH55" i="3"/>
  <c r="FG55" i="3"/>
  <c r="FF55" i="3"/>
  <c r="FE55" i="3"/>
  <c r="FD55" i="3"/>
  <c r="FC55" i="3"/>
  <c r="FB55" i="3"/>
  <c r="FA55" i="3"/>
  <c r="EZ55" i="3"/>
  <c r="EY55" i="3"/>
  <c r="EX55" i="3"/>
  <c r="EW55" i="3"/>
  <c r="EV55" i="3"/>
  <c r="EU55" i="3"/>
  <c r="ET55" i="3"/>
  <c r="ES55" i="3"/>
  <c r="ER55" i="3"/>
  <c r="EQ55" i="3"/>
  <c r="EP55" i="3"/>
  <c r="EO55" i="3"/>
  <c r="EN55" i="3"/>
  <c r="EM55" i="3"/>
  <c r="EL55" i="3"/>
  <c r="EK55" i="3"/>
  <c r="EJ55" i="3"/>
  <c r="EI55" i="3"/>
  <c r="EH55" i="3"/>
  <c r="EG55" i="3"/>
  <c r="EF55" i="3"/>
  <c r="EE55" i="3"/>
  <c r="ED55" i="3"/>
  <c r="EC55" i="3"/>
  <c r="EB55" i="3"/>
  <c r="EA55" i="3"/>
  <c r="DZ55" i="3"/>
  <c r="DY55" i="3"/>
  <c r="DX55" i="3"/>
  <c r="DW55" i="3"/>
  <c r="DV55" i="3"/>
  <c r="DU55" i="3"/>
  <c r="DT55" i="3"/>
  <c r="DS55" i="3"/>
  <c r="DR55" i="3"/>
  <c r="DQ55" i="3"/>
  <c r="DP55" i="3"/>
  <c r="DO55" i="3"/>
  <c r="DN55" i="3"/>
  <c r="DM55" i="3"/>
  <c r="DL55" i="3"/>
  <c r="DK55" i="3"/>
  <c r="DJ55" i="3"/>
  <c r="DI55" i="3"/>
  <c r="DH55" i="3"/>
  <c r="DG55" i="3"/>
  <c r="DF55" i="3"/>
  <c r="DE55" i="3"/>
  <c r="DD55" i="3"/>
  <c r="DC55" i="3"/>
  <c r="DB55" i="3"/>
  <c r="DA55" i="3"/>
  <c r="CZ55" i="3"/>
  <c r="CY55" i="3"/>
  <c r="CX55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E55" i="3"/>
  <c r="D55" i="3"/>
  <c r="C55" i="3"/>
  <c r="B55" i="3"/>
  <c r="FQ54" i="3"/>
  <c r="FP54" i="3"/>
  <c r="FO54" i="3"/>
  <c r="FN54" i="3"/>
  <c r="FM54" i="3"/>
  <c r="FL54" i="3"/>
  <c r="FK54" i="3"/>
  <c r="FJ54" i="3"/>
  <c r="FI54" i="3"/>
  <c r="FH54" i="3"/>
  <c r="FG54" i="3"/>
  <c r="FF54" i="3"/>
  <c r="FE54" i="3"/>
  <c r="FD54" i="3"/>
  <c r="FC54" i="3"/>
  <c r="FB54" i="3"/>
  <c r="FA54" i="3"/>
  <c r="EZ54" i="3"/>
  <c r="EY54" i="3"/>
  <c r="EX54" i="3"/>
  <c r="EW54" i="3"/>
  <c r="EV54" i="3"/>
  <c r="EU54" i="3"/>
  <c r="ET54" i="3"/>
  <c r="ES54" i="3"/>
  <c r="ER54" i="3"/>
  <c r="EQ54" i="3"/>
  <c r="EP54" i="3"/>
  <c r="EO54" i="3"/>
  <c r="EN54" i="3"/>
  <c r="EM54" i="3"/>
  <c r="EL54" i="3"/>
  <c r="EK54" i="3"/>
  <c r="EJ54" i="3"/>
  <c r="EI54" i="3"/>
  <c r="EH54" i="3"/>
  <c r="EG54" i="3"/>
  <c r="EF54" i="3"/>
  <c r="EE54" i="3"/>
  <c r="ED54" i="3"/>
  <c r="EC54" i="3"/>
  <c r="EB54" i="3"/>
  <c r="EA54" i="3"/>
  <c r="DZ54" i="3"/>
  <c r="DY54" i="3"/>
  <c r="DX54" i="3"/>
  <c r="DW54" i="3"/>
  <c r="DV54" i="3"/>
  <c r="DU54" i="3"/>
  <c r="DT54" i="3"/>
  <c r="DS54" i="3"/>
  <c r="DR54" i="3"/>
  <c r="DQ54" i="3"/>
  <c r="DP54" i="3"/>
  <c r="DO54" i="3"/>
  <c r="DN54" i="3"/>
  <c r="DM54" i="3"/>
  <c r="DL54" i="3"/>
  <c r="DK54" i="3"/>
  <c r="DJ54" i="3"/>
  <c r="DI54" i="3"/>
  <c r="DH54" i="3"/>
  <c r="DG54" i="3"/>
  <c r="DF54" i="3"/>
  <c r="DE54" i="3"/>
  <c r="DD54" i="3"/>
  <c r="DC54" i="3"/>
  <c r="DB54" i="3"/>
  <c r="DA54" i="3"/>
  <c r="CZ54" i="3"/>
  <c r="CY54" i="3"/>
  <c r="CX54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E54" i="3"/>
  <c r="D54" i="3"/>
  <c r="C54" i="3"/>
  <c r="A54" i="3"/>
  <c r="FQ53" i="3"/>
  <c r="FP53" i="3"/>
  <c r="FO53" i="3"/>
  <c r="FN53" i="3"/>
  <c r="FM53" i="3"/>
  <c r="FL53" i="3"/>
  <c r="FK53" i="3"/>
  <c r="FJ53" i="3"/>
  <c r="FI53" i="3"/>
  <c r="FH53" i="3"/>
  <c r="FG53" i="3"/>
  <c r="FF53" i="3"/>
  <c r="FE53" i="3"/>
  <c r="FD53" i="3"/>
  <c r="FC53" i="3"/>
  <c r="FB53" i="3"/>
  <c r="FA53" i="3"/>
  <c r="EZ53" i="3"/>
  <c r="EY53" i="3"/>
  <c r="EX53" i="3"/>
  <c r="EW53" i="3"/>
  <c r="EV53" i="3"/>
  <c r="EU53" i="3"/>
  <c r="ET53" i="3"/>
  <c r="ES53" i="3"/>
  <c r="ER53" i="3"/>
  <c r="EQ53" i="3"/>
  <c r="EP53" i="3"/>
  <c r="EO53" i="3"/>
  <c r="EN53" i="3"/>
  <c r="EM53" i="3"/>
  <c r="EL53" i="3"/>
  <c r="EK53" i="3"/>
  <c r="EJ53" i="3"/>
  <c r="EI53" i="3"/>
  <c r="EH53" i="3"/>
  <c r="EG53" i="3"/>
  <c r="EF53" i="3"/>
  <c r="EE53" i="3"/>
  <c r="ED53" i="3"/>
  <c r="EC53" i="3"/>
  <c r="EB53" i="3"/>
  <c r="EA53" i="3"/>
  <c r="DZ53" i="3"/>
  <c r="DY53" i="3"/>
  <c r="DX53" i="3"/>
  <c r="DW53" i="3"/>
  <c r="DV53" i="3"/>
  <c r="DU53" i="3"/>
  <c r="DT53" i="3"/>
  <c r="DS53" i="3"/>
  <c r="DR53" i="3"/>
  <c r="DQ53" i="3"/>
  <c r="DP53" i="3"/>
  <c r="DO53" i="3"/>
  <c r="DN53" i="3"/>
  <c r="DM53" i="3"/>
  <c r="DL53" i="3"/>
  <c r="DK53" i="3"/>
  <c r="DJ53" i="3"/>
  <c r="DI53" i="3"/>
  <c r="DH53" i="3"/>
  <c r="DG53" i="3"/>
  <c r="DF53" i="3"/>
  <c r="DE53" i="3"/>
  <c r="DD53" i="3"/>
  <c r="DC53" i="3"/>
  <c r="DB53" i="3"/>
  <c r="DA53" i="3"/>
  <c r="CZ53" i="3"/>
  <c r="CY53" i="3"/>
  <c r="CX53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E53" i="3"/>
  <c r="D53" i="3"/>
  <c r="C53" i="3"/>
  <c r="A53" i="3"/>
  <c r="FQ52" i="3"/>
  <c r="FP52" i="3"/>
  <c r="FO52" i="3"/>
  <c r="FN52" i="3"/>
  <c r="FM52" i="3"/>
  <c r="FL52" i="3"/>
  <c r="FK52" i="3"/>
  <c r="FJ52" i="3"/>
  <c r="FI52" i="3"/>
  <c r="FH52" i="3"/>
  <c r="FG52" i="3"/>
  <c r="FF52" i="3"/>
  <c r="FE52" i="3"/>
  <c r="FD52" i="3"/>
  <c r="FC52" i="3"/>
  <c r="FB52" i="3"/>
  <c r="FA52" i="3"/>
  <c r="EZ52" i="3"/>
  <c r="EY52" i="3"/>
  <c r="EX52" i="3"/>
  <c r="EW52" i="3"/>
  <c r="EV52" i="3"/>
  <c r="EU52" i="3"/>
  <c r="ET52" i="3"/>
  <c r="ES52" i="3"/>
  <c r="ER52" i="3"/>
  <c r="EQ52" i="3"/>
  <c r="EP52" i="3"/>
  <c r="EO52" i="3"/>
  <c r="EN52" i="3"/>
  <c r="EM52" i="3"/>
  <c r="EL52" i="3"/>
  <c r="EK52" i="3"/>
  <c r="EJ52" i="3"/>
  <c r="EI52" i="3"/>
  <c r="EH52" i="3"/>
  <c r="EG52" i="3"/>
  <c r="EF52" i="3"/>
  <c r="EE52" i="3"/>
  <c r="ED52" i="3"/>
  <c r="EC52" i="3"/>
  <c r="EB52" i="3"/>
  <c r="EA52" i="3"/>
  <c r="DZ52" i="3"/>
  <c r="DY52" i="3"/>
  <c r="DX52" i="3"/>
  <c r="DW52" i="3"/>
  <c r="DV52" i="3"/>
  <c r="DU52" i="3"/>
  <c r="DT52" i="3"/>
  <c r="DS52" i="3"/>
  <c r="DR52" i="3"/>
  <c r="DQ52" i="3"/>
  <c r="DP52" i="3"/>
  <c r="DO52" i="3"/>
  <c r="DN52" i="3"/>
  <c r="DM52" i="3"/>
  <c r="DL52" i="3"/>
  <c r="DK52" i="3"/>
  <c r="DJ52" i="3"/>
  <c r="DI52" i="3"/>
  <c r="DH52" i="3"/>
  <c r="DG52" i="3"/>
  <c r="DF52" i="3"/>
  <c r="DE52" i="3"/>
  <c r="DD52" i="3"/>
  <c r="DC52" i="3"/>
  <c r="DB52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FQ51" i="3"/>
  <c r="FP51" i="3"/>
  <c r="FO51" i="3"/>
  <c r="FN51" i="3"/>
  <c r="FM51" i="3"/>
  <c r="FL51" i="3"/>
  <c r="FK51" i="3"/>
  <c r="FJ51" i="3"/>
  <c r="FI51" i="3"/>
  <c r="FH51" i="3"/>
  <c r="FG51" i="3"/>
  <c r="FF51" i="3"/>
  <c r="FE51" i="3"/>
  <c r="FD51" i="3"/>
  <c r="FC51" i="3"/>
  <c r="FB51" i="3"/>
  <c r="FA51" i="3"/>
  <c r="EZ51" i="3"/>
  <c r="EY51" i="3"/>
  <c r="EX51" i="3"/>
  <c r="EW51" i="3"/>
  <c r="EV51" i="3"/>
  <c r="EU51" i="3"/>
  <c r="ET51" i="3"/>
  <c r="ES51" i="3"/>
  <c r="ER51" i="3"/>
  <c r="EQ51" i="3"/>
  <c r="EP51" i="3"/>
  <c r="EO51" i="3"/>
  <c r="EN51" i="3"/>
  <c r="EM51" i="3"/>
  <c r="EL51" i="3"/>
  <c r="EK51" i="3"/>
  <c r="EJ51" i="3"/>
  <c r="EI51" i="3"/>
  <c r="EH51" i="3"/>
  <c r="EG51" i="3"/>
  <c r="EF51" i="3"/>
  <c r="EE51" i="3"/>
  <c r="ED51" i="3"/>
  <c r="EC51" i="3"/>
  <c r="EB51" i="3"/>
  <c r="EA51" i="3"/>
  <c r="DZ51" i="3"/>
  <c r="DY51" i="3"/>
  <c r="DX51" i="3"/>
  <c r="DW51" i="3"/>
  <c r="DV51" i="3"/>
  <c r="DU51" i="3"/>
  <c r="DT51" i="3"/>
  <c r="DS51" i="3"/>
  <c r="DR51" i="3"/>
  <c r="DQ51" i="3"/>
  <c r="DP51" i="3"/>
  <c r="DO51" i="3"/>
  <c r="DN51" i="3"/>
  <c r="DM51" i="3"/>
  <c r="DL51" i="3"/>
  <c r="DK51" i="3"/>
  <c r="DJ51" i="3"/>
  <c r="DI51" i="3"/>
  <c r="DH51" i="3"/>
  <c r="DG51" i="3"/>
  <c r="DF51" i="3"/>
  <c r="DE51" i="3"/>
  <c r="DD51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A51" i="3"/>
  <c r="FQ50" i="3"/>
  <c r="FP50" i="3"/>
  <c r="FO50" i="3"/>
  <c r="FN50" i="3"/>
  <c r="FM50" i="3"/>
  <c r="FL50" i="3"/>
  <c r="FK50" i="3"/>
  <c r="FJ50" i="3"/>
  <c r="FI50" i="3"/>
  <c r="FH50" i="3"/>
  <c r="FG50" i="3"/>
  <c r="FF50" i="3"/>
  <c r="FE50" i="3"/>
  <c r="FD50" i="3"/>
  <c r="FC50" i="3"/>
  <c r="FB50" i="3"/>
  <c r="FA50" i="3"/>
  <c r="EZ50" i="3"/>
  <c r="EY50" i="3"/>
  <c r="EX50" i="3"/>
  <c r="EW50" i="3"/>
  <c r="EV50" i="3"/>
  <c r="EU50" i="3"/>
  <c r="ET50" i="3"/>
  <c r="ES50" i="3"/>
  <c r="ER50" i="3"/>
  <c r="EQ50" i="3"/>
  <c r="EP50" i="3"/>
  <c r="EO50" i="3"/>
  <c r="EN50" i="3"/>
  <c r="EM50" i="3"/>
  <c r="EL50" i="3"/>
  <c r="EK50" i="3"/>
  <c r="EJ50" i="3"/>
  <c r="EI50" i="3"/>
  <c r="EH50" i="3"/>
  <c r="EG50" i="3"/>
  <c r="EF50" i="3"/>
  <c r="EE50" i="3"/>
  <c r="ED50" i="3"/>
  <c r="EC50" i="3"/>
  <c r="EB50" i="3"/>
  <c r="EA50" i="3"/>
  <c r="DZ50" i="3"/>
  <c r="DY50" i="3"/>
  <c r="DX50" i="3"/>
  <c r="DW50" i="3"/>
  <c r="DV50" i="3"/>
  <c r="DU50" i="3"/>
  <c r="DT50" i="3"/>
  <c r="DS50" i="3"/>
  <c r="DR50" i="3"/>
  <c r="DQ50" i="3"/>
  <c r="DP50" i="3"/>
  <c r="DO50" i="3"/>
  <c r="DN50" i="3"/>
  <c r="DM50" i="3"/>
  <c r="DL50" i="3"/>
  <c r="DK50" i="3"/>
  <c r="DJ50" i="3"/>
  <c r="DI50" i="3"/>
  <c r="DH50" i="3"/>
  <c r="DG50" i="3"/>
  <c r="DF50" i="3"/>
  <c r="DE50" i="3"/>
  <c r="DD50" i="3"/>
  <c r="DC50" i="3"/>
  <c r="DB50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B50" i="3"/>
  <c r="A50" i="3"/>
  <c r="FQ49" i="3"/>
  <c r="FP49" i="3"/>
  <c r="FO49" i="3"/>
  <c r="FN49" i="3"/>
  <c r="FM49" i="3"/>
  <c r="FL49" i="3"/>
  <c r="FK49" i="3"/>
  <c r="FJ49" i="3"/>
  <c r="FI49" i="3"/>
  <c r="FH49" i="3"/>
  <c r="FG49" i="3"/>
  <c r="FF49" i="3"/>
  <c r="FE49" i="3"/>
  <c r="FD49" i="3"/>
  <c r="FC49" i="3"/>
  <c r="FB49" i="3"/>
  <c r="FA49" i="3"/>
  <c r="EZ49" i="3"/>
  <c r="EY49" i="3"/>
  <c r="EX49" i="3"/>
  <c r="EW49" i="3"/>
  <c r="EV49" i="3"/>
  <c r="EU49" i="3"/>
  <c r="ET49" i="3"/>
  <c r="ES49" i="3"/>
  <c r="ER49" i="3"/>
  <c r="EQ49" i="3"/>
  <c r="EP49" i="3"/>
  <c r="EO49" i="3"/>
  <c r="EN49" i="3"/>
  <c r="EM49" i="3"/>
  <c r="EL49" i="3"/>
  <c r="EK49" i="3"/>
  <c r="EJ49" i="3"/>
  <c r="EI49" i="3"/>
  <c r="EH49" i="3"/>
  <c r="EG49" i="3"/>
  <c r="EF49" i="3"/>
  <c r="EE49" i="3"/>
  <c r="ED49" i="3"/>
  <c r="EC49" i="3"/>
  <c r="EB49" i="3"/>
  <c r="EA49" i="3"/>
  <c r="DZ49" i="3"/>
  <c r="DY49" i="3"/>
  <c r="DX49" i="3"/>
  <c r="DW49" i="3"/>
  <c r="DV49" i="3"/>
  <c r="DU49" i="3"/>
  <c r="DT49" i="3"/>
  <c r="DS49" i="3"/>
  <c r="DR49" i="3"/>
  <c r="DQ49" i="3"/>
  <c r="DP49" i="3"/>
  <c r="DO49" i="3"/>
  <c r="DN49" i="3"/>
  <c r="DM49" i="3"/>
  <c r="DL49" i="3"/>
  <c r="DK49" i="3"/>
  <c r="DJ49" i="3"/>
  <c r="DI49" i="3"/>
  <c r="DH49" i="3"/>
  <c r="DG49" i="3"/>
  <c r="DF49" i="3"/>
  <c r="DE49" i="3"/>
  <c r="DD49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A49" i="3"/>
  <c r="FQ48" i="3"/>
  <c r="FP48" i="3"/>
  <c r="FO48" i="3"/>
  <c r="FN48" i="3"/>
  <c r="FM48" i="3"/>
  <c r="FL48" i="3"/>
  <c r="FK48" i="3"/>
  <c r="FJ48" i="3"/>
  <c r="FI48" i="3"/>
  <c r="FH48" i="3"/>
  <c r="FG48" i="3"/>
  <c r="FF48" i="3"/>
  <c r="FE48" i="3"/>
  <c r="FD48" i="3"/>
  <c r="FC48" i="3"/>
  <c r="FB48" i="3"/>
  <c r="FA48" i="3"/>
  <c r="EZ48" i="3"/>
  <c r="EY48" i="3"/>
  <c r="EX48" i="3"/>
  <c r="EW48" i="3"/>
  <c r="EV48" i="3"/>
  <c r="EU48" i="3"/>
  <c r="ET48" i="3"/>
  <c r="ES48" i="3"/>
  <c r="ER48" i="3"/>
  <c r="EQ48" i="3"/>
  <c r="EP48" i="3"/>
  <c r="EO48" i="3"/>
  <c r="EN48" i="3"/>
  <c r="EM48" i="3"/>
  <c r="EL48" i="3"/>
  <c r="EK48" i="3"/>
  <c r="EJ48" i="3"/>
  <c r="EI48" i="3"/>
  <c r="EH48" i="3"/>
  <c r="EG48" i="3"/>
  <c r="EF48" i="3"/>
  <c r="EE48" i="3"/>
  <c r="ED48" i="3"/>
  <c r="EC48" i="3"/>
  <c r="EB48" i="3"/>
  <c r="EA48" i="3"/>
  <c r="DZ48" i="3"/>
  <c r="DY48" i="3"/>
  <c r="DX48" i="3"/>
  <c r="DW48" i="3"/>
  <c r="DV48" i="3"/>
  <c r="DU48" i="3"/>
  <c r="DT48" i="3"/>
  <c r="DS48" i="3"/>
  <c r="DR48" i="3"/>
  <c r="DQ48" i="3"/>
  <c r="DP48" i="3"/>
  <c r="DO48" i="3"/>
  <c r="DN48" i="3"/>
  <c r="DM48" i="3"/>
  <c r="DL48" i="3"/>
  <c r="DK48" i="3"/>
  <c r="DJ48" i="3"/>
  <c r="DI48" i="3"/>
  <c r="DH48" i="3"/>
  <c r="DG48" i="3"/>
  <c r="DF48" i="3"/>
  <c r="DE48" i="3"/>
  <c r="DD48" i="3"/>
  <c r="DC48" i="3"/>
  <c r="DB48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B48" i="3"/>
  <c r="A48" i="3"/>
  <c r="FQ47" i="3"/>
  <c r="FP47" i="3"/>
  <c r="FO47" i="3"/>
  <c r="FN47" i="3"/>
  <c r="FM47" i="3"/>
  <c r="FL47" i="3"/>
  <c r="FK47" i="3"/>
  <c r="FJ47" i="3"/>
  <c r="FI47" i="3"/>
  <c r="FH47" i="3"/>
  <c r="FG47" i="3"/>
  <c r="FF47" i="3"/>
  <c r="FE47" i="3"/>
  <c r="FD47" i="3"/>
  <c r="FC47" i="3"/>
  <c r="FB47" i="3"/>
  <c r="FA47" i="3"/>
  <c r="EZ47" i="3"/>
  <c r="EY47" i="3"/>
  <c r="EX47" i="3"/>
  <c r="EW47" i="3"/>
  <c r="EV47" i="3"/>
  <c r="EU47" i="3"/>
  <c r="ET47" i="3"/>
  <c r="ES47" i="3"/>
  <c r="ER47" i="3"/>
  <c r="EQ47" i="3"/>
  <c r="EP47" i="3"/>
  <c r="EO47" i="3"/>
  <c r="EN47" i="3"/>
  <c r="EM47" i="3"/>
  <c r="EL47" i="3"/>
  <c r="EK47" i="3"/>
  <c r="EJ47" i="3"/>
  <c r="EI47" i="3"/>
  <c r="EH47" i="3"/>
  <c r="EG47" i="3"/>
  <c r="EF47" i="3"/>
  <c r="EE47" i="3"/>
  <c r="ED47" i="3"/>
  <c r="EC47" i="3"/>
  <c r="EB47" i="3"/>
  <c r="EA47" i="3"/>
  <c r="DZ47" i="3"/>
  <c r="DY47" i="3"/>
  <c r="DX47" i="3"/>
  <c r="DW47" i="3"/>
  <c r="DV47" i="3"/>
  <c r="DU47" i="3"/>
  <c r="DT47" i="3"/>
  <c r="DS47" i="3"/>
  <c r="DR47" i="3"/>
  <c r="DQ47" i="3"/>
  <c r="DP47" i="3"/>
  <c r="DO47" i="3"/>
  <c r="DN47" i="3"/>
  <c r="DM47" i="3"/>
  <c r="DL47" i="3"/>
  <c r="DK47" i="3"/>
  <c r="DJ47" i="3"/>
  <c r="DI47" i="3"/>
  <c r="DH47" i="3"/>
  <c r="DG47" i="3"/>
  <c r="DF47" i="3"/>
  <c r="DE47" i="3"/>
  <c r="DD47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47" i="3"/>
  <c r="B47" i="3"/>
  <c r="A47" i="3"/>
  <c r="FQ46" i="3"/>
  <c r="FP46" i="3"/>
  <c r="FO46" i="3"/>
  <c r="FN46" i="3"/>
  <c r="FM46" i="3"/>
  <c r="FL46" i="3"/>
  <c r="FK46" i="3"/>
  <c r="FJ46" i="3"/>
  <c r="FI46" i="3"/>
  <c r="FH46" i="3"/>
  <c r="FG46" i="3"/>
  <c r="FF46" i="3"/>
  <c r="FE46" i="3"/>
  <c r="FD46" i="3"/>
  <c r="FC46" i="3"/>
  <c r="FB46" i="3"/>
  <c r="FA46" i="3"/>
  <c r="EZ46" i="3"/>
  <c r="EY46" i="3"/>
  <c r="EX46" i="3"/>
  <c r="EW46" i="3"/>
  <c r="EV46" i="3"/>
  <c r="EU46" i="3"/>
  <c r="ET46" i="3"/>
  <c r="ES46" i="3"/>
  <c r="ER46" i="3"/>
  <c r="EQ46" i="3"/>
  <c r="EP46" i="3"/>
  <c r="EO46" i="3"/>
  <c r="EN46" i="3"/>
  <c r="EM46" i="3"/>
  <c r="EL46" i="3"/>
  <c r="EK46" i="3"/>
  <c r="EJ46" i="3"/>
  <c r="EI46" i="3"/>
  <c r="EH46" i="3"/>
  <c r="EG46" i="3"/>
  <c r="EF46" i="3"/>
  <c r="EE46" i="3"/>
  <c r="ED46" i="3"/>
  <c r="EC46" i="3"/>
  <c r="EB46" i="3"/>
  <c r="EA46" i="3"/>
  <c r="DZ46" i="3"/>
  <c r="DY46" i="3"/>
  <c r="DX46" i="3"/>
  <c r="DW46" i="3"/>
  <c r="DV46" i="3"/>
  <c r="DU46" i="3"/>
  <c r="DT46" i="3"/>
  <c r="DS46" i="3"/>
  <c r="DR46" i="3"/>
  <c r="DQ46" i="3"/>
  <c r="DP46" i="3"/>
  <c r="DO46" i="3"/>
  <c r="DN46" i="3"/>
  <c r="DM46" i="3"/>
  <c r="DL46" i="3"/>
  <c r="DK46" i="3"/>
  <c r="DJ46" i="3"/>
  <c r="DI46" i="3"/>
  <c r="DH46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B46" i="3"/>
  <c r="A46" i="3"/>
  <c r="FQ45" i="3"/>
  <c r="FP45" i="3"/>
  <c r="FO45" i="3"/>
  <c r="FN45" i="3"/>
  <c r="FM45" i="3"/>
  <c r="FL45" i="3"/>
  <c r="FK45" i="3"/>
  <c r="FJ45" i="3"/>
  <c r="FI45" i="3"/>
  <c r="FH45" i="3"/>
  <c r="FG45" i="3"/>
  <c r="FF45" i="3"/>
  <c r="FE45" i="3"/>
  <c r="FD45" i="3"/>
  <c r="FC45" i="3"/>
  <c r="FB45" i="3"/>
  <c r="FA45" i="3"/>
  <c r="EZ45" i="3"/>
  <c r="EY45" i="3"/>
  <c r="EX45" i="3"/>
  <c r="EW45" i="3"/>
  <c r="EV45" i="3"/>
  <c r="EU45" i="3"/>
  <c r="ET45" i="3"/>
  <c r="ES45" i="3"/>
  <c r="ER45" i="3"/>
  <c r="EQ45" i="3"/>
  <c r="EP45" i="3"/>
  <c r="EO45" i="3"/>
  <c r="EN45" i="3"/>
  <c r="EM45" i="3"/>
  <c r="EL45" i="3"/>
  <c r="EK45" i="3"/>
  <c r="EJ45" i="3"/>
  <c r="EI45" i="3"/>
  <c r="EH45" i="3"/>
  <c r="EG45" i="3"/>
  <c r="EF45" i="3"/>
  <c r="EE45" i="3"/>
  <c r="ED45" i="3"/>
  <c r="EC45" i="3"/>
  <c r="EB45" i="3"/>
  <c r="EA45" i="3"/>
  <c r="DZ45" i="3"/>
  <c r="DY45" i="3"/>
  <c r="DX45" i="3"/>
  <c r="DW45" i="3"/>
  <c r="DV45" i="3"/>
  <c r="DU45" i="3"/>
  <c r="DT45" i="3"/>
  <c r="DS45" i="3"/>
  <c r="DR45" i="3"/>
  <c r="DQ45" i="3"/>
  <c r="DP45" i="3"/>
  <c r="DO45" i="3"/>
  <c r="DN45" i="3"/>
  <c r="DM45" i="3"/>
  <c r="DL45" i="3"/>
  <c r="DK45" i="3"/>
  <c r="DJ45" i="3"/>
  <c r="DI45" i="3"/>
  <c r="DH45" i="3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FQ44" i="3"/>
  <c r="FP44" i="3"/>
  <c r="FO44" i="3"/>
  <c r="FN44" i="3"/>
  <c r="FM44" i="3"/>
  <c r="FL44" i="3"/>
  <c r="FK44" i="3"/>
  <c r="FJ44" i="3"/>
  <c r="FI44" i="3"/>
  <c r="FH44" i="3"/>
  <c r="FG44" i="3"/>
  <c r="FF44" i="3"/>
  <c r="FE44" i="3"/>
  <c r="FD44" i="3"/>
  <c r="FC44" i="3"/>
  <c r="FB44" i="3"/>
  <c r="FA44" i="3"/>
  <c r="EZ44" i="3"/>
  <c r="EY44" i="3"/>
  <c r="EX44" i="3"/>
  <c r="EW44" i="3"/>
  <c r="EV44" i="3"/>
  <c r="EU44" i="3"/>
  <c r="ET44" i="3"/>
  <c r="ES44" i="3"/>
  <c r="ER44" i="3"/>
  <c r="EQ44" i="3"/>
  <c r="EP44" i="3"/>
  <c r="EO44" i="3"/>
  <c r="EN44" i="3"/>
  <c r="EM44" i="3"/>
  <c r="EL44" i="3"/>
  <c r="EK44" i="3"/>
  <c r="EJ44" i="3"/>
  <c r="EI44" i="3"/>
  <c r="EH44" i="3"/>
  <c r="EG44" i="3"/>
  <c r="EF44" i="3"/>
  <c r="EE44" i="3"/>
  <c r="ED44" i="3"/>
  <c r="EC44" i="3"/>
  <c r="EB44" i="3"/>
  <c r="EA44" i="3"/>
  <c r="DZ44" i="3"/>
  <c r="DY44" i="3"/>
  <c r="DX44" i="3"/>
  <c r="DW44" i="3"/>
  <c r="DV44" i="3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A44" i="3"/>
  <c r="FQ43" i="3"/>
  <c r="FP43" i="3"/>
  <c r="FO43" i="3"/>
  <c r="FN43" i="3"/>
  <c r="FM43" i="3"/>
  <c r="FL43" i="3"/>
  <c r="FK43" i="3"/>
  <c r="FJ43" i="3"/>
  <c r="FI43" i="3"/>
  <c r="FH43" i="3"/>
  <c r="FG43" i="3"/>
  <c r="FF43" i="3"/>
  <c r="FE43" i="3"/>
  <c r="FD43" i="3"/>
  <c r="FC43" i="3"/>
  <c r="FB43" i="3"/>
  <c r="FA43" i="3"/>
  <c r="EZ43" i="3"/>
  <c r="EY43" i="3"/>
  <c r="EX43" i="3"/>
  <c r="EW43" i="3"/>
  <c r="EV43" i="3"/>
  <c r="EU43" i="3"/>
  <c r="ET43" i="3"/>
  <c r="ES43" i="3"/>
  <c r="ER43" i="3"/>
  <c r="EQ43" i="3"/>
  <c r="EP43" i="3"/>
  <c r="EO43" i="3"/>
  <c r="EN43" i="3"/>
  <c r="EM43" i="3"/>
  <c r="EL43" i="3"/>
  <c r="EK43" i="3"/>
  <c r="EJ43" i="3"/>
  <c r="EI43" i="3"/>
  <c r="EH43" i="3"/>
  <c r="EG43" i="3"/>
  <c r="EF43" i="3"/>
  <c r="EE43" i="3"/>
  <c r="ED43" i="3"/>
  <c r="EC43" i="3"/>
  <c r="EB43" i="3"/>
  <c r="EA43" i="3"/>
  <c r="DZ43" i="3"/>
  <c r="DY43" i="3"/>
  <c r="DX43" i="3"/>
  <c r="DW43" i="3"/>
  <c r="DV43" i="3"/>
  <c r="DU43" i="3"/>
  <c r="DT43" i="3"/>
  <c r="DS43" i="3"/>
  <c r="DR43" i="3"/>
  <c r="DQ43" i="3"/>
  <c r="DP43" i="3"/>
  <c r="DO43" i="3"/>
  <c r="DN43" i="3"/>
  <c r="DM43" i="3"/>
  <c r="DL43" i="3"/>
  <c r="DK43" i="3"/>
  <c r="DJ43" i="3"/>
  <c r="DI43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FQ42" i="3"/>
  <c r="FP42" i="3"/>
  <c r="FO42" i="3"/>
  <c r="FN42" i="3"/>
  <c r="FM42" i="3"/>
  <c r="FL42" i="3"/>
  <c r="FK42" i="3"/>
  <c r="FJ42" i="3"/>
  <c r="FI42" i="3"/>
  <c r="FH42" i="3"/>
  <c r="FG42" i="3"/>
  <c r="FF42" i="3"/>
  <c r="FE42" i="3"/>
  <c r="FD42" i="3"/>
  <c r="FC42" i="3"/>
  <c r="FB42" i="3"/>
  <c r="FA42" i="3"/>
  <c r="EZ42" i="3"/>
  <c r="EY42" i="3"/>
  <c r="EX42" i="3"/>
  <c r="EW42" i="3"/>
  <c r="EV42" i="3"/>
  <c r="EU42" i="3"/>
  <c r="ET42" i="3"/>
  <c r="ES42" i="3"/>
  <c r="ER42" i="3"/>
  <c r="EQ42" i="3"/>
  <c r="EP42" i="3"/>
  <c r="EO42" i="3"/>
  <c r="EN42" i="3"/>
  <c r="EM42" i="3"/>
  <c r="EL42" i="3"/>
  <c r="EK42" i="3"/>
  <c r="EJ42" i="3"/>
  <c r="EI42" i="3"/>
  <c r="EH42" i="3"/>
  <c r="EG42" i="3"/>
  <c r="EF42" i="3"/>
  <c r="EE42" i="3"/>
  <c r="ED42" i="3"/>
  <c r="EC42" i="3"/>
  <c r="EB42" i="3"/>
  <c r="EA42" i="3"/>
  <c r="DZ42" i="3"/>
  <c r="DY42" i="3"/>
  <c r="DX42" i="3"/>
  <c r="DW42" i="3"/>
  <c r="DV42" i="3"/>
  <c r="DU42" i="3"/>
  <c r="DT42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FQ41" i="3"/>
  <c r="FP41" i="3"/>
  <c r="FO41" i="3"/>
  <c r="FN41" i="3"/>
  <c r="FM41" i="3"/>
  <c r="FL41" i="3"/>
  <c r="FK41" i="3"/>
  <c r="FJ41" i="3"/>
  <c r="FI41" i="3"/>
  <c r="FH41" i="3"/>
  <c r="FG41" i="3"/>
  <c r="FF41" i="3"/>
  <c r="FE41" i="3"/>
  <c r="FD41" i="3"/>
  <c r="FC41" i="3"/>
  <c r="FB41" i="3"/>
  <c r="FA41" i="3"/>
  <c r="EZ41" i="3"/>
  <c r="EY41" i="3"/>
  <c r="EX41" i="3"/>
  <c r="EW41" i="3"/>
  <c r="EV41" i="3"/>
  <c r="EU41" i="3"/>
  <c r="ET41" i="3"/>
  <c r="ES41" i="3"/>
  <c r="ER41" i="3"/>
  <c r="EQ41" i="3"/>
  <c r="EP41" i="3"/>
  <c r="EO41" i="3"/>
  <c r="EN41" i="3"/>
  <c r="EM41" i="3"/>
  <c r="EL41" i="3"/>
  <c r="EK41" i="3"/>
  <c r="EJ41" i="3"/>
  <c r="EI41" i="3"/>
  <c r="EH41" i="3"/>
  <c r="EG41" i="3"/>
  <c r="EF41" i="3"/>
  <c r="EE41" i="3"/>
  <c r="ED41" i="3"/>
  <c r="EC41" i="3"/>
  <c r="EB41" i="3"/>
  <c r="EA41" i="3"/>
  <c r="DZ41" i="3"/>
  <c r="DY41" i="3"/>
  <c r="DX41" i="3"/>
  <c r="DW41" i="3"/>
  <c r="DV41" i="3"/>
  <c r="DU41" i="3"/>
  <c r="DT41" i="3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FQ40" i="3"/>
  <c r="FP40" i="3"/>
  <c r="FO40" i="3"/>
  <c r="FN40" i="3"/>
  <c r="FM40" i="3"/>
  <c r="FL40" i="3"/>
  <c r="FK40" i="3"/>
  <c r="FJ40" i="3"/>
  <c r="FI40" i="3"/>
  <c r="FH40" i="3"/>
  <c r="FG40" i="3"/>
  <c r="FF40" i="3"/>
  <c r="FE40" i="3"/>
  <c r="FD40" i="3"/>
  <c r="FC40" i="3"/>
  <c r="FB40" i="3"/>
  <c r="FA40" i="3"/>
  <c r="EZ40" i="3"/>
  <c r="EY40" i="3"/>
  <c r="EX40" i="3"/>
  <c r="EW40" i="3"/>
  <c r="EV40" i="3"/>
  <c r="EU40" i="3"/>
  <c r="ET40" i="3"/>
  <c r="ES40" i="3"/>
  <c r="ER40" i="3"/>
  <c r="EQ40" i="3"/>
  <c r="EP40" i="3"/>
  <c r="EO40" i="3"/>
  <c r="EN40" i="3"/>
  <c r="EM40" i="3"/>
  <c r="EL40" i="3"/>
  <c r="EK40" i="3"/>
  <c r="EJ40" i="3"/>
  <c r="EI40" i="3"/>
  <c r="EH40" i="3"/>
  <c r="EG40" i="3"/>
  <c r="EF40" i="3"/>
  <c r="EE40" i="3"/>
  <c r="ED40" i="3"/>
  <c r="EC40" i="3"/>
  <c r="EB40" i="3"/>
  <c r="EA40" i="3"/>
  <c r="DZ40" i="3"/>
  <c r="DY40" i="3"/>
  <c r="DX40" i="3"/>
  <c r="DW40" i="3"/>
  <c r="DV40" i="3"/>
  <c r="DU40" i="3"/>
  <c r="DT40" i="3"/>
  <c r="DS40" i="3"/>
  <c r="DR40" i="3"/>
  <c r="DQ40" i="3"/>
  <c r="DP40" i="3"/>
  <c r="DO40" i="3"/>
  <c r="DN40" i="3"/>
  <c r="DM40" i="3"/>
  <c r="DL40" i="3"/>
  <c r="DK40" i="3"/>
  <c r="DJ40" i="3"/>
  <c r="DI40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FQ39" i="3"/>
  <c r="FP39" i="3"/>
  <c r="FO39" i="3"/>
  <c r="FN39" i="3"/>
  <c r="FM39" i="3"/>
  <c r="FL39" i="3"/>
  <c r="FK39" i="3"/>
  <c r="FJ39" i="3"/>
  <c r="FI39" i="3"/>
  <c r="FH39" i="3"/>
  <c r="FG39" i="3"/>
  <c r="FF39" i="3"/>
  <c r="FE39" i="3"/>
  <c r="FD39" i="3"/>
  <c r="FC39" i="3"/>
  <c r="FB39" i="3"/>
  <c r="FA39" i="3"/>
  <c r="EZ39" i="3"/>
  <c r="EY39" i="3"/>
  <c r="EX39" i="3"/>
  <c r="EW39" i="3"/>
  <c r="EV39" i="3"/>
  <c r="EU39" i="3"/>
  <c r="ET39" i="3"/>
  <c r="ES39" i="3"/>
  <c r="ER39" i="3"/>
  <c r="EQ39" i="3"/>
  <c r="EP39" i="3"/>
  <c r="EO39" i="3"/>
  <c r="EN39" i="3"/>
  <c r="EM39" i="3"/>
  <c r="EL39" i="3"/>
  <c r="EK39" i="3"/>
  <c r="EJ39" i="3"/>
  <c r="EI39" i="3"/>
  <c r="EH39" i="3"/>
  <c r="EG39" i="3"/>
  <c r="EF39" i="3"/>
  <c r="EE39" i="3"/>
  <c r="ED39" i="3"/>
  <c r="EC39" i="3"/>
  <c r="EB39" i="3"/>
  <c r="EA39" i="3"/>
  <c r="DZ39" i="3"/>
  <c r="DY39" i="3"/>
  <c r="DX39" i="3"/>
  <c r="DW39" i="3"/>
  <c r="DV39" i="3"/>
  <c r="DU39" i="3"/>
  <c r="DT39" i="3"/>
  <c r="DS39" i="3"/>
  <c r="DR39" i="3"/>
  <c r="DQ39" i="3"/>
  <c r="DP39" i="3"/>
  <c r="DO39" i="3"/>
  <c r="DN39" i="3"/>
  <c r="DM39" i="3"/>
  <c r="DL39" i="3"/>
  <c r="DK39" i="3"/>
  <c r="DJ39" i="3"/>
  <c r="DI39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FQ38" i="3"/>
  <c r="FP38" i="3"/>
  <c r="FO38" i="3"/>
  <c r="FN38" i="3"/>
  <c r="FM38" i="3"/>
  <c r="FL38" i="3"/>
  <c r="FK38" i="3"/>
  <c r="FJ38" i="3"/>
  <c r="FI38" i="3"/>
  <c r="FH38" i="3"/>
  <c r="FG38" i="3"/>
  <c r="FF38" i="3"/>
  <c r="FE38" i="3"/>
  <c r="FD38" i="3"/>
  <c r="FC38" i="3"/>
  <c r="FB38" i="3"/>
  <c r="FA38" i="3"/>
  <c r="EZ38" i="3"/>
  <c r="EY38" i="3"/>
  <c r="EX38" i="3"/>
  <c r="EW38" i="3"/>
  <c r="EV38" i="3"/>
  <c r="EU38" i="3"/>
  <c r="ET38" i="3"/>
  <c r="ES38" i="3"/>
  <c r="ER38" i="3"/>
  <c r="EQ38" i="3"/>
  <c r="EP38" i="3"/>
  <c r="EO38" i="3"/>
  <c r="EN38" i="3"/>
  <c r="EM38" i="3"/>
  <c r="EL38" i="3"/>
  <c r="EK38" i="3"/>
  <c r="EJ38" i="3"/>
  <c r="EI38" i="3"/>
  <c r="EH38" i="3"/>
  <c r="EG38" i="3"/>
  <c r="EF38" i="3"/>
  <c r="EE38" i="3"/>
  <c r="ED38" i="3"/>
  <c r="EC38" i="3"/>
  <c r="EB38" i="3"/>
  <c r="EA38" i="3"/>
  <c r="DZ38" i="3"/>
  <c r="DY38" i="3"/>
  <c r="DX38" i="3"/>
  <c r="DW38" i="3"/>
  <c r="DV38" i="3"/>
  <c r="DU38" i="3"/>
  <c r="DT38" i="3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FQ37" i="3"/>
  <c r="FP37" i="3"/>
  <c r="FO37" i="3"/>
  <c r="FN37" i="3"/>
  <c r="FM37" i="3"/>
  <c r="FL37" i="3"/>
  <c r="FK37" i="3"/>
  <c r="FJ37" i="3"/>
  <c r="FI37" i="3"/>
  <c r="FH37" i="3"/>
  <c r="FG37" i="3"/>
  <c r="FF37" i="3"/>
  <c r="FE37" i="3"/>
  <c r="FD37" i="3"/>
  <c r="FC37" i="3"/>
  <c r="FB37" i="3"/>
  <c r="FA37" i="3"/>
  <c r="EZ37" i="3"/>
  <c r="EY37" i="3"/>
  <c r="EX37" i="3"/>
  <c r="EW37" i="3"/>
  <c r="EV37" i="3"/>
  <c r="EU37" i="3"/>
  <c r="ET37" i="3"/>
  <c r="ES37" i="3"/>
  <c r="ER37" i="3"/>
  <c r="EQ37" i="3"/>
  <c r="EP37" i="3"/>
  <c r="EO37" i="3"/>
  <c r="EN37" i="3"/>
  <c r="EM37" i="3"/>
  <c r="EL37" i="3"/>
  <c r="EK37" i="3"/>
  <c r="EJ37" i="3"/>
  <c r="EI37" i="3"/>
  <c r="EH37" i="3"/>
  <c r="EG37" i="3"/>
  <c r="EF37" i="3"/>
  <c r="EE37" i="3"/>
  <c r="ED37" i="3"/>
  <c r="EC37" i="3"/>
  <c r="EB37" i="3"/>
  <c r="EA37" i="3"/>
  <c r="DZ37" i="3"/>
  <c r="DY37" i="3"/>
  <c r="DX37" i="3"/>
  <c r="DW37" i="3"/>
  <c r="DV37" i="3"/>
  <c r="DU37" i="3"/>
  <c r="DT37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FQ36" i="3"/>
  <c r="FP36" i="3"/>
  <c r="FO36" i="3"/>
  <c r="FN36" i="3"/>
  <c r="FM36" i="3"/>
  <c r="FL36" i="3"/>
  <c r="FK36" i="3"/>
  <c r="FJ36" i="3"/>
  <c r="FI36" i="3"/>
  <c r="FH36" i="3"/>
  <c r="FG36" i="3"/>
  <c r="FF36" i="3"/>
  <c r="FE36" i="3"/>
  <c r="FD36" i="3"/>
  <c r="FC36" i="3"/>
  <c r="FB36" i="3"/>
  <c r="FA36" i="3"/>
  <c r="EZ36" i="3"/>
  <c r="EY36" i="3"/>
  <c r="EX36" i="3"/>
  <c r="EW36" i="3"/>
  <c r="EV36" i="3"/>
  <c r="EU36" i="3"/>
  <c r="ET36" i="3"/>
  <c r="ES36" i="3"/>
  <c r="ER36" i="3"/>
  <c r="EQ36" i="3"/>
  <c r="EP36" i="3"/>
  <c r="EO36" i="3"/>
  <c r="EN36" i="3"/>
  <c r="EM36" i="3"/>
  <c r="EL36" i="3"/>
  <c r="EK36" i="3"/>
  <c r="EJ36" i="3"/>
  <c r="EI36" i="3"/>
  <c r="EH36" i="3"/>
  <c r="EG36" i="3"/>
  <c r="EF36" i="3"/>
  <c r="EE36" i="3"/>
  <c r="ED36" i="3"/>
  <c r="EC36" i="3"/>
  <c r="EB36" i="3"/>
  <c r="EA36" i="3"/>
  <c r="DZ36" i="3"/>
  <c r="DY36" i="3"/>
  <c r="DX36" i="3"/>
  <c r="DW36" i="3"/>
  <c r="DV36" i="3"/>
  <c r="DU36" i="3"/>
  <c r="DT36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FQ35" i="3"/>
  <c r="FP35" i="3"/>
  <c r="FO35" i="3"/>
  <c r="FN35" i="3"/>
  <c r="FM35" i="3"/>
  <c r="FL35" i="3"/>
  <c r="FK35" i="3"/>
  <c r="FJ35" i="3"/>
  <c r="FI35" i="3"/>
  <c r="FH35" i="3"/>
  <c r="FG35" i="3"/>
  <c r="FF35" i="3"/>
  <c r="FE35" i="3"/>
  <c r="FD35" i="3"/>
  <c r="FC35" i="3"/>
  <c r="FB35" i="3"/>
  <c r="FA35" i="3"/>
  <c r="EZ35" i="3"/>
  <c r="EY35" i="3"/>
  <c r="EX35" i="3"/>
  <c r="EW35" i="3"/>
  <c r="EV35" i="3"/>
  <c r="EU35" i="3"/>
  <c r="ET35" i="3"/>
  <c r="ES35" i="3"/>
  <c r="ER35" i="3"/>
  <c r="EQ35" i="3"/>
  <c r="EP35" i="3"/>
  <c r="EO35" i="3"/>
  <c r="EN35" i="3"/>
  <c r="EM35" i="3"/>
  <c r="EL35" i="3"/>
  <c r="EK35" i="3"/>
  <c r="EJ35" i="3"/>
  <c r="EI35" i="3"/>
  <c r="EH35" i="3"/>
  <c r="EG35" i="3"/>
  <c r="EF35" i="3"/>
  <c r="EE35" i="3"/>
  <c r="ED35" i="3"/>
  <c r="EC35" i="3"/>
  <c r="EB35" i="3"/>
  <c r="EA35" i="3"/>
  <c r="DZ35" i="3"/>
  <c r="DY35" i="3"/>
  <c r="DX35" i="3"/>
  <c r="DW35" i="3"/>
  <c r="DV35" i="3"/>
  <c r="DU35" i="3"/>
  <c r="DT35" i="3"/>
  <c r="DS35" i="3"/>
  <c r="DR35" i="3"/>
  <c r="DQ35" i="3"/>
  <c r="DP35" i="3"/>
  <c r="DO35" i="3"/>
  <c r="DN35" i="3"/>
  <c r="DM35" i="3"/>
  <c r="DL35" i="3"/>
  <c r="DK35" i="3"/>
  <c r="DJ35" i="3"/>
  <c r="DI35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E35" i="3"/>
  <c r="E76" i="3" s="1"/>
  <c r="D35" i="3"/>
  <c r="C35" i="3"/>
  <c r="C76" i="3" s="1"/>
  <c r="B35" i="3"/>
  <c r="B76" i="3" s="1"/>
  <c r="A35" i="3"/>
  <c r="A76" i="3" s="1"/>
  <c r="FQ34" i="3"/>
  <c r="FP34" i="3"/>
  <c r="FO34" i="3"/>
  <c r="FN34" i="3"/>
  <c r="FM34" i="3"/>
  <c r="FL34" i="3"/>
  <c r="FK34" i="3"/>
  <c r="FJ34" i="3"/>
  <c r="FI34" i="3"/>
  <c r="FH34" i="3"/>
  <c r="FG34" i="3"/>
  <c r="FF34" i="3"/>
  <c r="FE34" i="3"/>
  <c r="FD34" i="3"/>
  <c r="FC34" i="3"/>
  <c r="FB34" i="3"/>
  <c r="FA34" i="3"/>
  <c r="EZ34" i="3"/>
  <c r="EY34" i="3"/>
  <c r="EX34" i="3"/>
  <c r="EW34" i="3"/>
  <c r="EV34" i="3"/>
  <c r="EU34" i="3"/>
  <c r="ET34" i="3"/>
  <c r="ES34" i="3"/>
  <c r="ER34" i="3"/>
  <c r="EQ34" i="3"/>
  <c r="EP34" i="3"/>
  <c r="EO34" i="3"/>
  <c r="EN34" i="3"/>
  <c r="EM34" i="3"/>
  <c r="EL34" i="3"/>
  <c r="EK34" i="3"/>
  <c r="EJ34" i="3"/>
  <c r="EI34" i="3"/>
  <c r="EH34" i="3"/>
  <c r="EG34" i="3"/>
  <c r="EF34" i="3"/>
  <c r="EE34" i="3"/>
  <c r="ED34" i="3"/>
  <c r="EC34" i="3"/>
  <c r="EB34" i="3"/>
  <c r="EA34" i="3"/>
  <c r="DZ34" i="3"/>
  <c r="DY34" i="3"/>
  <c r="DX34" i="3"/>
  <c r="DW34" i="3"/>
  <c r="DV34" i="3"/>
  <c r="DU34" i="3"/>
  <c r="DT34" i="3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E34" i="3"/>
  <c r="E75" i="3" s="1"/>
  <c r="D34" i="3"/>
  <c r="D75" i="3" s="1"/>
  <c r="C34" i="3"/>
  <c r="C75" i="3" s="1"/>
  <c r="B34" i="3"/>
  <c r="B75" i="3" s="1"/>
  <c r="A34" i="3"/>
  <c r="A75" i="3" s="1"/>
  <c r="FQ33" i="3"/>
  <c r="FP33" i="3"/>
  <c r="FO33" i="3"/>
  <c r="FN33" i="3"/>
  <c r="FM33" i="3"/>
  <c r="FL33" i="3"/>
  <c r="FK33" i="3"/>
  <c r="FJ33" i="3"/>
  <c r="FI33" i="3"/>
  <c r="FH33" i="3"/>
  <c r="FG33" i="3"/>
  <c r="FF33" i="3"/>
  <c r="FE33" i="3"/>
  <c r="FD33" i="3"/>
  <c r="FC33" i="3"/>
  <c r="FB33" i="3"/>
  <c r="FA33" i="3"/>
  <c r="EZ33" i="3"/>
  <c r="EY33" i="3"/>
  <c r="EX33" i="3"/>
  <c r="EW33" i="3"/>
  <c r="EV33" i="3"/>
  <c r="EU33" i="3"/>
  <c r="ET33" i="3"/>
  <c r="ES33" i="3"/>
  <c r="ER33" i="3"/>
  <c r="EQ33" i="3"/>
  <c r="EP33" i="3"/>
  <c r="EO33" i="3"/>
  <c r="EN33" i="3"/>
  <c r="EM33" i="3"/>
  <c r="EL33" i="3"/>
  <c r="EK33" i="3"/>
  <c r="EJ33" i="3"/>
  <c r="EI33" i="3"/>
  <c r="EH33" i="3"/>
  <c r="EG33" i="3"/>
  <c r="EF33" i="3"/>
  <c r="EE33" i="3"/>
  <c r="ED33" i="3"/>
  <c r="EC33" i="3"/>
  <c r="EB33" i="3"/>
  <c r="EA33" i="3"/>
  <c r="DZ33" i="3"/>
  <c r="DY33" i="3"/>
  <c r="DX33" i="3"/>
  <c r="DW33" i="3"/>
  <c r="DV33" i="3"/>
  <c r="DU33" i="3"/>
  <c r="DT33" i="3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E33" i="3"/>
  <c r="E74" i="3" s="1"/>
  <c r="D33" i="3"/>
  <c r="C33" i="3"/>
  <c r="C74" i="3" s="1"/>
  <c r="B33" i="3"/>
  <c r="A33" i="3"/>
  <c r="A74" i="3" s="1"/>
  <c r="FQ32" i="3"/>
  <c r="FP32" i="3"/>
  <c r="FO32" i="3"/>
  <c r="FN32" i="3"/>
  <c r="FM32" i="3"/>
  <c r="FL32" i="3"/>
  <c r="FK32" i="3"/>
  <c r="FJ32" i="3"/>
  <c r="FI32" i="3"/>
  <c r="FH32" i="3"/>
  <c r="FG32" i="3"/>
  <c r="FF32" i="3"/>
  <c r="FE32" i="3"/>
  <c r="FD32" i="3"/>
  <c r="FC32" i="3"/>
  <c r="FB32" i="3"/>
  <c r="FA32" i="3"/>
  <c r="EZ32" i="3"/>
  <c r="EY32" i="3"/>
  <c r="EX32" i="3"/>
  <c r="EW32" i="3"/>
  <c r="EV32" i="3"/>
  <c r="EU32" i="3"/>
  <c r="ET32" i="3"/>
  <c r="ES32" i="3"/>
  <c r="ER32" i="3"/>
  <c r="EQ32" i="3"/>
  <c r="EP32" i="3"/>
  <c r="EO32" i="3"/>
  <c r="EN32" i="3"/>
  <c r="EM32" i="3"/>
  <c r="EL32" i="3"/>
  <c r="EK32" i="3"/>
  <c r="EJ32" i="3"/>
  <c r="EI32" i="3"/>
  <c r="EH32" i="3"/>
  <c r="EG32" i="3"/>
  <c r="EF32" i="3"/>
  <c r="EE32" i="3"/>
  <c r="ED32" i="3"/>
  <c r="EC32" i="3"/>
  <c r="EB32" i="3"/>
  <c r="EA32" i="3"/>
  <c r="DZ32" i="3"/>
  <c r="DY32" i="3"/>
  <c r="DX32" i="3"/>
  <c r="DW32" i="3"/>
  <c r="DV32" i="3"/>
  <c r="DU32" i="3"/>
  <c r="DT32" i="3"/>
  <c r="DS32" i="3"/>
  <c r="DR32" i="3"/>
  <c r="DQ32" i="3"/>
  <c r="DP32" i="3"/>
  <c r="DO32" i="3"/>
  <c r="DN32" i="3"/>
  <c r="DM32" i="3"/>
  <c r="DL32" i="3"/>
  <c r="DK32" i="3"/>
  <c r="DJ32" i="3"/>
  <c r="DI32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E32" i="3"/>
  <c r="E73" i="3" s="1"/>
  <c r="D32" i="3"/>
  <c r="D73" i="3" s="1"/>
  <c r="C32" i="3"/>
  <c r="C73" i="3" s="1"/>
  <c r="B32" i="3"/>
  <c r="B73" i="3" s="1"/>
  <c r="A32" i="3"/>
  <c r="A73" i="3" s="1"/>
  <c r="FQ31" i="3"/>
  <c r="FP31" i="3"/>
  <c r="FO31" i="3"/>
  <c r="FN31" i="3"/>
  <c r="FM31" i="3"/>
  <c r="FL31" i="3"/>
  <c r="FK31" i="3"/>
  <c r="FJ31" i="3"/>
  <c r="FI31" i="3"/>
  <c r="FH31" i="3"/>
  <c r="FG31" i="3"/>
  <c r="FF31" i="3"/>
  <c r="FE31" i="3"/>
  <c r="FD31" i="3"/>
  <c r="FC31" i="3"/>
  <c r="FB31" i="3"/>
  <c r="FA31" i="3"/>
  <c r="EZ31" i="3"/>
  <c r="EY31" i="3"/>
  <c r="EX31" i="3"/>
  <c r="EW31" i="3"/>
  <c r="EV31" i="3"/>
  <c r="EU31" i="3"/>
  <c r="ET31" i="3"/>
  <c r="ES31" i="3"/>
  <c r="ER31" i="3"/>
  <c r="EQ31" i="3"/>
  <c r="EP31" i="3"/>
  <c r="EO31" i="3"/>
  <c r="EN31" i="3"/>
  <c r="EM31" i="3"/>
  <c r="EL31" i="3"/>
  <c r="EK31" i="3"/>
  <c r="EJ31" i="3"/>
  <c r="EI31" i="3"/>
  <c r="EH31" i="3"/>
  <c r="EG31" i="3"/>
  <c r="EF31" i="3"/>
  <c r="EE31" i="3"/>
  <c r="ED31" i="3"/>
  <c r="EC31" i="3"/>
  <c r="EB31" i="3"/>
  <c r="EA31" i="3"/>
  <c r="DZ31" i="3"/>
  <c r="DY31" i="3"/>
  <c r="DX31" i="3"/>
  <c r="DW31" i="3"/>
  <c r="DV31" i="3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E31" i="3"/>
  <c r="E72" i="3" s="1"/>
  <c r="D31" i="3"/>
  <c r="D72" i="3" s="1"/>
  <c r="C31" i="3"/>
  <c r="C72" i="3" s="1"/>
  <c r="B31" i="3"/>
  <c r="B72" i="3" s="1"/>
  <c r="A31" i="3"/>
  <c r="FQ30" i="3"/>
  <c r="FP30" i="3"/>
  <c r="FO30" i="3"/>
  <c r="FN30" i="3"/>
  <c r="FM30" i="3"/>
  <c r="FL30" i="3"/>
  <c r="FK30" i="3"/>
  <c r="FJ30" i="3"/>
  <c r="FI30" i="3"/>
  <c r="FH30" i="3"/>
  <c r="FG30" i="3"/>
  <c r="FF30" i="3"/>
  <c r="FE30" i="3"/>
  <c r="FD30" i="3"/>
  <c r="FC30" i="3"/>
  <c r="FB30" i="3"/>
  <c r="FA30" i="3"/>
  <c r="EZ30" i="3"/>
  <c r="EY30" i="3"/>
  <c r="EX30" i="3"/>
  <c r="EW30" i="3"/>
  <c r="EV30" i="3"/>
  <c r="EU30" i="3"/>
  <c r="ET30" i="3"/>
  <c r="ES30" i="3"/>
  <c r="ER30" i="3"/>
  <c r="EQ30" i="3"/>
  <c r="EP30" i="3"/>
  <c r="EO30" i="3"/>
  <c r="EN30" i="3"/>
  <c r="EM30" i="3"/>
  <c r="EL30" i="3"/>
  <c r="EK30" i="3"/>
  <c r="EJ30" i="3"/>
  <c r="EI30" i="3"/>
  <c r="EH30" i="3"/>
  <c r="EG30" i="3"/>
  <c r="EF30" i="3"/>
  <c r="EE30" i="3"/>
  <c r="ED30" i="3"/>
  <c r="EC30" i="3"/>
  <c r="EB30" i="3"/>
  <c r="EA30" i="3"/>
  <c r="DZ30" i="3"/>
  <c r="DY30" i="3"/>
  <c r="DX30" i="3"/>
  <c r="DW30" i="3"/>
  <c r="DV30" i="3"/>
  <c r="DU30" i="3"/>
  <c r="DT30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E30" i="3"/>
  <c r="E71" i="3" s="1"/>
  <c r="D30" i="3"/>
  <c r="D71" i="3" s="1"/>
  <c r="C30" i="3"/>
  <c r="C71" i="3" s="1"/>
  <c r="B30" i="3"/>
  <c r="B71" i="3" s="1"/>
  <c r="A30" i="3"/>
  <c r="A71" i="3" s="1"/>
  <c r="FQ29" i="3"/>
  <c r="FP29" i="3"/>
  <c r="FO29" i="3"/>
  <c r="FN29" i="3"/>
  <c r="FM29" i="3"/>
  <c r="FL29" i="3"/>
  <c r="FK29" i="3"/>
  <c r="FJ29" i="3"/>
  <c r="FI29" i="3"/>
  <c r="FH29" i="3"/>
  <c r="FG29" i="3"/>
  <c r="FF29" i="3"/>
  <c r="FE29" i="3"/>
  <c r="FD29" i="3"/>
  <c r="FC29" i="3"/>
  <c r="FB29" i="3"/>
  <c r="FA29" i="3"/>
  <c r="EZ29" i="3"/>
  <c r="EY29" i="3"/>
  <c r="EX29" i="3"/>
  <c r="EW29" i="3"/>
  <c r="EV29" i="3"/>
  <c r="EU29" i="3"/>
  <c r="ET29" i="3"/>
  <c r="ES29" i="3"/>
  <c r="ER29" i="3"/>
  <c r="EQ29" i="3"/>
  <c r="EP29" i="3"/>
  <c r="EO29" i="3"/>
  <c r="EN29" i="3"/>
  <c r="EM29" i="3"/>
  <c r="EL29" i="3"/>
  <c r="EK29" i="3"/>
  <c r="EJ29" i="3"/>
  <c r="EI29" i="3"/>
  <c r="EH29" i="3"/>
  <c r="EG29" i="3"/>
  <c r="EF29" i="3"/>
  <c r="EE29" i="3"/>
  <c r="ED29" i="3"/>
  <c r="EC29" i="3"/>
  <c r="EB29" i="3"/>
  <c r="EA29" i="3"/>
  <c r="DZ29" i="3"/>
  <c r="DY29" i="3"/>
  <c r="DX29" i="3"/>
  <c r="DW29" i="3"/>
  <c r="DV29" i="3"/>
  <c r="DU29" i="3"/>
  <c r="DT29" i="3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E29" i="3"/>
  <c r="E70" i="3" s="1"/>
  <c r="D29" i="3"/>
  <c r="D70" i="3" s="1"/>
  <c r="C29" i="3"/>
  <c r="C70" i="3" s="1"/>
  <c r="B29" i="3"/>
  <c r="B70" i="3" s="1"/>
  <c r="A29" i="3"/>
  <c r="A70" i="3" s="1"/>
  <c r="FQ28" i="3"/>
  <c r="FP28" i="3"/>
  <c r="FO28" i="3"/>
  <c r="FN28" i="3"/>
  <c r="FM28" i="3"/>
  <c r="FL28" i="3"/>
  <c r="FK28" i="3"/>
  <c r="FJ28" i="3"/>
  <c r="FI28" i="3"/>
  <c r="FH28" i="3"/>
  <c r="FG28" i="3"/>
  <c r="FF28" i="3"/>
  <c r="FE28" i="3"/>
  <c r="FD28" i="3"/>
  <c r="FC28" i="3"/>
  <c r="FB28" i="3"/>
  <c r="FA28" i="3"/>
  <c r="EZ28" i="3"/>
  <c r="EY28" i="3"/>
  <c r="EX28" i="3"/>
  <c r="EW28" i="3"/>
  <c r="EV28" i="3"/>
  <c r="EU28" i="3"/>
  <c r="ET28" i="3"/>
  <c r="ES28" i="3"/>
  <c r="ER28" i="3"/>
  <c r="EQ28" i="3"/>
  <c r="EP28" i="3"/>
  <c r="EO28" i="3"/>
  <c r="EN28" i="3"/>
  <c r="EM28" i="3"/>
  <c r="EL28" i="3"/>
  <c r="EK28" i="3"/>
  <c r="EJ28" i="3"/>
  <c r="EI28" i="3"/>
  <c r="EH28" i="3"/>
  <c r="EG28" i="3"/>
  <c r="EF28" i="3"/>
  <c r="EE28" i="3"/>
  <c r="ED28" i="3"/>
  <c r="EC28" i="3"/>
  <c r="EB28" i="3"/>
  <c r="EA28" i="3"/>
  <c r="DZ28" i="3"/>
  <c r="DY28" i="3"/>
  <c r="DX28" i="3"/>
  <c r="DW28" i="3"/>
  <c r="DV28" i="3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E28" i="3"/>
  <c r="E69" i="3" s="1"/>
  <c r="D28" i="3"/>
  <c r="D69" i="3" s="1"/>
  <c r="C28" i="3"/>
  <c r="C69" i="3" s="1"/>
  <c r="B28" i="3"/>
  <c r="B69" i="3" s="1"/>
  <c r="A28" i="3"/>
  <c r="A69" i="3" s="1"/>
  <c r="FQ27" i="3"/>
  <c r="FP27" i="3"/>
  <c r="FO27" i="3"/>
  <c r="FN27" i="3"/>
  <c r="FM27" i="3"/>
  <c r="FL27" i="3"/>
  <c r="FK27" i="3"/>
  <c r="FJ27" i="3"/>
  <c r="FI27" i="3"/>
  <c r="FH27" i="3"/>
  <c r="FG27" i="3"/>
  <c r="FF27" i="3"/>
  <c r="FE27" i="3"/>
  <c r="FD27" i="3"/>
  <c r="FC27" i="3"/>
  <c r="FB27" i="3"/>
  <c r="FA27" i="3"/>
  <c r="EZ27" i="3"/>
  <c r="EY27" i="3"/>
  <c r="EX27" i="3"/>
  <c r="EW27" i="3"/>
  <c r="EV27" i="3"/>
  <c r="EU27" i="3"/>
  <c r="ET27" i="3"/>
  <c r="ES27" i="3"/>
  <c r="ER27" i="3"/>
  <c r="EQ27" i="3"/>
  <c r="EP27" i="3"/>
  <c r="EO27" i="3"/>
  <c r="EN27" i="3"/>
  <c r="EM27" i="3"/>
  <c r="EL27" i="3"/>
  <c r="EK27" i="3"/>
  <c r="EJ27" i="3"/>
  <c r="EI27" i="3"/>
  <c r="EH27" i="3"/>
  <c r="EG27" i="3"/>
  <c r="EF27" i="3"/>
  <c r="EE27" i="3"/>
  <c r="ED27" i="3"/>
  <c r="EC27" i="3"/>
  <c r="EB27" i="3"/>
  <c r="EA27" i="3"/>
  <c r="DZ27" i="3"/>
  <c r="DY27" i="3"/>
  <c r="DX27" i="3"/>
  <c r="DW27" i="3"/>
  <c r="DV27" i="3"/>
  <c r="DU27" i="3"/>
  <c r="DT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E27" i="3"/>
  <c r="E68" i="3" s="1"/>
  <c r="D27" i="3"/>
  <c r="D68" i="3" s="1"/>
  <c r="C27" i="3"/>
  <c r="C68" i="3" s="1"/>
  <c r="B27" i="3"/>
  <c r="B68" i="3" s="1"/>
  <c r="A27" i="3"/>
  <c r="A68" i="3" s="1"/>
  <c r="FQ26" i="3"/>
  <c r="FP26" i="3"/>
  <c r="FO26" i="3"/>
  <c r="FN26" i="3"/>
  <c r="FM26" i="3"/>
  <c r="FL26" i="3"/>
  <c r="FK26" i="3"/>
  <c r="FJ26" i="3"/>
  <c r="FI26" i="3"/>
  <c r="FH26" i="3"/>
  <c r="FG26" i="3"/>
  <c r="FF26" i="3"/>
  <c r="FE26" i="3"/>
  <c r="FD26" i="3"/>
  <c r="FC26" i="3"/>
  <c r="FB26" i="3"/>
  <c r="FA26" i="3"/>
  <c r="EZ26" i="3"/>
  <c r="EY26" i="3"/>
  <c r="EX26" i="3"/>
  <c r="EW26" i="3"/>
  <c r="EV26" i="3"/>
  <c r="EU26" i="3"/>
  <c r="ET26" i="3"/>
  <c r="ES26" i="3"/>
  <c r="ER26" i="3"/>
  <c r="EQ26" i="3"/>
  <c r="EP26" i="3"/>
  <c r="EO26" i="3"/>
  <c r="EN26" i="3"/>
  <c r="EM26" i="3"/>
  <c r="EL26" i="3"/>
  <c r="EK26" i="3"/>
  <c r="EJ26" i="3"/>
  <c r="EI26" i="3"/>
  <c r="EH26" i="3"/>
  <c r="EG26" i="3"/>
  <c r="EF26" i="3"/>
  <c r="EE26" i="3"/>
  <c r="ED26" i="3"/>
  <c r="EC26" i="3"/>
  <c r="EB26" i="3"/>
  <c r="EA26" i="3"/>
  <c r="DZ26" i="3"/>
  <c r="DY26" i="3"/>
  <c r="DX26" i="3"/>
  <c r="DW26" i="3"/>
  <c r="DV26" i="3"/>
  <c r="DU26" i="3"/>
  <c r="DT26" i="3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E26" i="3"/>
  <c r="E67" i="3" s="1"/>
  <c r="D26" i="3"/>
  <c r="D67" i="3" s="1"/>
  <c r="C26" i="3"/>
  <c r="C67" i="3" s="1"/>
  <c r="B26" i="3"/>
  <c r="B67" i="3" s="1"/>
  <c r="A26" i="3"/>
  <c r="A67" i="3" s="1"/>
  <c r="FQ25" i="3"/>
  <c r="FP25" i="3"/>
  <c r="FO25" i="3"/>
  <c r="FN25" i="3"/>
  <c r="FM25" i="3"/>
  <c r="FL25" i="3"/>
  <c r="FK25" i="3"/>
  <c r="FJ25" i="3"/>
  <c r="FI25" i="3"/>
  <c r="FH25" i="3"/>
  <c r="FG25" i="3"/>
  <c r="FF25" i="3"/>
  <c r="FE25" i="3"/>
  <c r="FD25" i="3"/>
  <c r="FC25" i="3"/>
  <c r="FB25" i="3"/>
  <c r="FA25" i="3"/>
  <c r="EZ25" i="3"/>
  <c r="EY25" i="3"/>
  <c r="EX25" i="3"/>
  <c r="EW25" i="3"/>
  <c r="EV25" i="3"/>
  <c r="EU25" i="3"/>
  <c r="ET25" i="3"/>
  <c r="ES25" i="3"/>
  <c r="ER25" i="3"/>
  <c r="EQ25" i="3"/>
  <c r="EP25" i="3"/>
  <c r="EO25" i="3"/>
  <c r="EN25" i="3"/>
  <c r="EM25" i="3"/>
  <c r="EL25" i="3"/>
  <c r="EK25" i="3"/>
  <c r="EJ25" i="3"/>
  <c r="EI25" i="3"/>
  <c r="EH25" i="3"/>
  <c r="EG25" i="3"/>
  <c r="EF25" i="3"/>
  <c r="EE25" i="3"/>
  <c r="ED25" i="3"/>
  <c r="EC25" i="3"/>
  <c r="EB25" i="3"/>
  <c r="EA25" i="3"/>
  <c r="DZ25" i="3"/>
  <c r="DY25" i="3"/>
  <c r="DX25" i="3"/>
  <c r="DW25" i="3"/>
  <c r="DV25" i="3"/>
  <c r="DU25" i="3"/>
  <c r="DT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E25" i="3"/>
  <c r="E66" i="3" s="1"/>
  <c r="D25" i="3"/>
  <c r="D66" i="3" s="1"/>
  <c r="C25" i="3"/>
  <c r="C66" i="3" s="1"/>
  <c r="B25" i="3"/>
  <c r="B66" i="3" s="1"/>
  <c r="A25" i="3"/>
  <c r="A66" i="3" s="1"/>
  <c r="FQ24" i="3"/>
  <c r="FP24" i="3"/>
  <c r="FO24" i="3"/>
  <c r="FN24" i="3"/>
  <c r="FM24" i="3"/>
  <c r="FL24" i="3"/>
  <c r="FK24" i="3"/>
  <c r="FJ24" i="3"/>
  <c r="FI24" i="3"/>
  <c r="FH24" i="3"/>
  <c r="FG24" i="3"/>
  <c r="FF24" i="3"/>
  <c r="FE24" i="3"/>
  <c r="FD24" i="3"/>
  <c r="FC24" i="3"/>
  <c r="FB24" i="3"/>
  <c r="FA24" i="3"/>
  <c r="EZ24" i="3"/>
  <c r="EY24" i="3"/>
  <c r="EX24" i="3"/>
  <c r="EW24" i="3"/>
  <c r="EV24" i="3"/>
  <c r="EU24" i="3"/>
  <c r="ET24" i="3"/>
  <c r="ES24" i="3"/>
  <c r="ER24" i="3"/>
  <c r="EQ24" i="3"/>
  <c r="EP24" i="3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E24" i="3"/>
  <c r="E65" i="3" s="1"/>
  <c r="D24" i="3"/>
  <c r="D65" i="3" s="1"/>
  <c r="C24" i="3"/>
  <c r="C65" i="3" s="1"/>
  <c r="B24" i="3"/>
  <c r="B65" i="3" s="1"/>
  <c r="A24" i="3"/>
  <c r="A65" i="3" s="1"/>
  <c r="FQ23" i="3"/>
  <c r="FP23" i="3"/>
  <c r="FO23" i="3"/>
  <c r="FN23" i="3"/>
  <c r="FM23" i="3"/>
  <c r="FL23" i="3"/>
  <c r="FK23" i="3"/>
  <c r="FJ23" i="3"/>
  <c r="FI23" i="3"/>
  <c r="FH23" i="3"/>
  <c r="FG23" i="3"/>
  <c r="FF23" i="3"/>
  <c r="FE23" i="3"/>
  <c r="FD23" i="3"/>
  <c r="FC23" i="3"/>
  <c r="FB23" i="3"/>
  <c r="FA23" i="3"/>
  <c r="EZ23" i="3"/>
  <c r="EY23" i="3"/>
  <c r="EX23" i="3"/>
  <c r="EW23" i="3"/>
  <c r="EV23" i="3"/>
  <c r="EU23" i="3"/>
  <c r="ET23" i="3"/>
  <c r="ES23" i="3"/>
  <c r="ER23" i="3"/>
  <c r="EQ23" i="3"/>
  <c r="EP23" i="3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E23" i="3"/>
  <c r="B23" i="3"/>
  <c r="A23" i="3"/>
  <c r="FQ22" i="3"/>
  <c r="FP22" i="3"/>
  <c r="FO22" i="3"/>
  <c r="FN22" i="3"/>
  <c r="FM22" i="3"/>
  <c r="FL22" i="3"/>
  <c r="FK22" i="3"/>
  <c r="FJ22" i="3"/>
  <c r="FI22" i="3"/>
  <c r="FH22" i="3"/>
  <c r="FG22" i="3"/>
  <c r="FF22" i="3"/>
  <c r="FE22" i="3"/>
  <c r="FD22" i="3"/>
  <c r="FC22" i="3"/>
  <c r="FB22" i="3"/>
  <c r="FA22" i="3"/>
  <c r="EZ22" i="3"/>
  <c r="EY22" i="3"/>
  <c r="EX22" i="3"/>
  <c r="EW22" i="3"/>
  <c r="EV22" i="3"/>
  <c r="EU22" i="3"/>
  <c r="ET22" i="3"/>
  <c r="ES22" i="3"/>
  <c r="ER22" i="3"/>
  <c r="EQ22" i="3"/>
  <c r="EP22" i="3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E22" i="3"/>
  <c r="E64" i="3" s="1"/>
  <c r="D22" i="3"/>
  <c r="D64" i="3" s="1"/>
  <c r="C22" i="3"/>
  <c r="B22" i="3"/>
  <c r="B64" i="3" s="1"/>
  <c r="A22" i="3"/>
  <c r="A64" i="3" s="1"/>
  <c r="FQ21" i="3"/>
  <c r="FP21" i="3"/>
  <c r="FO21" i="3"/>
  <c r="FN21" i="3"/>
  <c r="FM21" i="3"/>
  <c r="FL21" i="3"/>
  <c r="FK21" i="3"/>
  <c r="FJ21" i="3"/>
  <c r="FI21" i="3"/>
  <c r="FH21" i="3"/>
  <c r="FG21" i="3"/>
  <c r="FF21" i="3"/>
  <c r="FE21" i="3"/>
  <c r="FD21" i="3"/>
  <c r="FC21" i="3"/>
  <c r="FB21" i="3"/>
  <c r="FA21" i="3"/>
  <c r="EZ21" i="3"/>
  <c r="EY21" i="3"/>
  <c r="EX21" i="3"/>
  <c r="EW21" i="3"/>
  <c r="EV21" i="3"/>
  <c r="EU21" i="3"/>
  <c r="ET21" i="3"/>
  <c r="ES21" i="3"/>
  <c r="ER21" i="3"/>
  <c r="EQ21" i="3"/>
  <c r="EP21" i="3"/>
  <c r="EO21" i="3"/>
  <c r="EN21" i="3"/>
  <c r="EM21" i="3"/>
  <c r="EL21" i="3"/>
  <c r="EK21" i="3"/>
  <c r="EJ21" i="3"/>
  <c r="EI21" i="3"/>
  <c r="EH21" i="3"/>
  <c r="EG21" i="3"/>
  <c r="EF21" i="3"/>
  <c r="EE21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E21" i="3"/>
  <c r="E63" i="3" s="1"/>
  <c r="D21" i="3"/>
  <c r="D63" i="3" s="1"/>
  <c r="C21" i="3"/>
  <c r="C63" i="3" s="1"/>
  <c r="B21" i="3"/>
  <c r="B63" i="3" s="1"/>
  <c r="A21" i="3"/>
  <c r="A63" i="3" s="1"/>
  <c r="FQ20" i="3"/>
  <c r="FP20" i="3"/>
  <c r="FO20" i="3"/>
  <c r="FN20" i="3"/>
  <c r="FM20" i="3"/>
  <c r="FL20" i="3"/>
  <c r="FK20" i="3"/>
  <c r="FJ20" i="3"/>
  <c r="FI20" i="3"/>
  <c r="FH20" i="3"/>
  <c r="FG20" i="3"/>
  <c r="FF20" i="3"/>
  <c r="FE20" i="3"/>
  <c r="FD20" i="3"/>
  <c r="FC20" i="3"/>
  <c r="FB20" i="3"/>
  <c r="FA20" i="3"/>
  <c r="EZ20" i="3"/>
  <c r="EY20" i="3"/>
  <c r="EX20" i="3"/>
  <c r="EW20" i="3"/>
  <c r="EV20" i="3"/>
  <c r="EU20" i="3"/>
  <c r="ET20" i="3"/>
  <c r="ES20" i="3"/>
  <c r="ER20" i="3"/>
  <c r="EQ20" i="3"/>
  <c r="EP20" i="3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E20" i="3"/>
  <c r="E62" i="3" s="1"/>
  <c r="D20" i="3"/>
  <c r="D62" i="3" s="1"/>
  <c r="C20" i="3"/>
  <c r="C62" i="3" s="1"/>
  <c r="B20" i="3"/>
  <c r="B62" i="3" s="1"/>
  <c r="A20" i="3"/>
  <c r="A62" i="3" s="1"/>
  <c r="FQ19" i="3"/>
  <c r="FP19" i="3"/>
  <c r="FO19" i="3"/>
  <c r="FN19" i="3"/>
  <c r="FM19" i="3"/>
  <c r="FL19" i="3"/>
  <c r="FK19" i="3"/>
  <c r="FJ19" i="3"/>
  <c r="FI19" i="3"/>
  <c r="FH19" i="3"/>
  <c r="FG19" i="3"/>
  <c r="FF19" i="3"/>
  <c r="FE19" i="3"/>
  <c r="FD19" i="3"/>
  <c r="FC19" i="3"/>
  <c r="FB19" i="3"/>
  <c r="FA19" i="3"/>
  <c r="EZ19" i="3"/>
  <c r="EY19" i="3"/>
  <c r="EX19" i="3"/>
  <c r="EW19" i="3"/>
  <c r="EV19" i="3"/>
  <c r="EU19" i="3"/>
  <c r="ET19" i="3"/>
  <c r="ES19" i="3"/>
  <c r="ER19" i="3"/>
  <c r="EQ19" i="3"/>
  <c r="EP19" i="3"/>
  <c r="EO19" i="3"/>
  <c r="EN19" i="3"/>
  <c r="EM19" i="3"/>
  <c r="EL19" i="3"/>
  <c r="EK19" i="3"/>
  <c r="EJ19" i="3"/>
  <c r="EI19" i="3"/>
  <c r="EH19" i="3"/>
  <c r="EG19" i="3"/>
  <c r="EF19" i="3"/>
  <c r="EE19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E19" i="3"/>
  <c r="B19" i="3"/>
  <c r="A19" i="3"/>
  <c r="FQ18" i="3"/>
  <c r="FP18" i="3"/>
  <c r="FO18" i="3"/>
  <c r="FN18" i="3"/>
  <c r="FM18" i="3"/>
  <c r="FL18" i="3"/>
  <c r="FK18" i="3"/>
  <c r="FJ18" i="3"/>
  <c r="FI18" i="3"/>
  <c r="FH18" i="3"/>
  <c r="FG18" i="3"/>
  <c r="FF18" i="3"/>
  <c r="FE18" i="3"/>
  <c r="FD18" i="3"/>
  <c r="FC18" i="3"/>
  <c r="FB18" i="3"/>
  <c r="FA18" i="3"/>
  <c r="EZ18" i="3"/>
  <c r="EY18" i="3"/>
  <c r="EX18" i="3"/>
  <c r="EW18" i="3"/>
  <c r="EV18" i="3"/>
  <c r="EU18" i="3"/>
  <c r="ET18" i="3"/>
  <c r="ES18" i="3"/>
  <c r="ER18" i="3"/>
  <c r="EQ18" i="3"/>
  <c r="EP18" i="3"/>
  <c r="EO18" i="3"/>
  <c r="EN18" i="3"/>
  <c r="EM18" i="3"/>
  <c r="EL18" i="3"/>
  <c r="EK18" i="3"/>
  <c r="EJ18" i="3"/>
  <c r="EI18" i="3"/>
  <c r="EH18" i="3"/>
  <c r="EG18" i="3"/>
  <c r="EF18" i="3"/>
  <c r="EE18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E18" i="3"/>
  <c r="B18" i="3"/>
  <c r="A18" i="3"/>
  <c r="FQ17" i="3"/>
  <c r="FP17" i="3"/>
  <c r="FO17" i="3"/>
  <c r="FN17" i="3"/>
  <c r="FM17" i="3"/>
  <c r="FL17" i="3"/>
  <c r="FK17" i="3"/>
  <c r="FJ17" i="3"/>
  <c r="FI17" i="3"/>
  <c r="FH17" i="3"/>
  <c r="FG17" i="3"/>
  <c r="FF17" i="3"/>
  <c r="FE17" i="3"/>
  <c r="FD17" i="3"/>
  <c r="FC17" i="3"/>
  <c r="FB17" i="3"/>
  <c r="FA17" i="3"/>
  <c r="EZ17" i="3"/>
  <c r="EY17" i="3"/>
  <c r="EX17" i="3"/>
  <c r="EW17" i="3"/>
  <c r="EV17" i="3"/>
  <c r="EU17" i="3"/>
  <c r="ET17" i="3"/>
  <c r="ES17" i="3"/>
  <c r="ER17" i="3"/>
  <c r="EQ17" i="3"/>
  <c r="EP17" i="3"/>
  <c r="EO17" i="3"/>
  <c r="EN17" i="3"/>
  <c r="EM17" i="3"/>
  <c r="EL17" i="3"/>
  <c r="EK17" i="3"/>
  <c r="EJ17" i="3"/>
  <c r="EI17" i="3"/>
  <c r="EH17" i="3"/>
  <c r="EG17" i="3"/>
  <c r="EF17" i="3"/>
  <c r="EE17" i="3"/>
  <c r="ED17" i="3"/>
  <c r="EC17" i="3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E17" i="3"/>
  <c r="B17" i="3"/>
  <c r="A17" i="3"/>
  <c r="FQ16" i="3"/>
  <c r="FP16" i="3"/>
  <c r="FO16" i="3"/>
  <c r="FN16" i="3"/>
  <c r="FM16" i="3"/>
  <c r="FL16" i="3"/>
  <c r="FK16" i="3"/>
  <c r="FJ16" i="3"/>
  <c r="FI16" i="3"/>
  <c r="FH16" i="3"/>
  <c r="FG16" i="3"/>
  <c r="FF16" i="3"/>
  <c r="FE16" i="3"/>
  <c r="FD16" i="3"/>
  <c r="FC16" i="3"/>
  <c r="FB16" i="3"/>
  <c r="FA16" i="3"/>
  <c r="EZ16" i="3"/>
  <c r="EY16" i="3"/>
  <c r="EX16" i="3"/>
  <c r="EW16" i="3"/>
  <c r="EV16" i="3"/>
  <c r="EU16" i="3"/>
  <c r="ET16" i="3"/>
  <c r="ES16" i="3"/>
  <c r="ER16" i="3"/>
  <c r="EQ16" i="3"/>
  <c r="EP16" i="3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E16" i="3"/>
  <c r="B16" i="3"/>
  <c r="A16" i="3"/>
  <c r="FQ15" i="3"/>
  <c r="FP15" i="3"/>
  <c r="FO15" i="3"/>
  <c r="FN15" i="3"/>
  <c r="FM15" i="3"/>
  <c r="FL15" i="3"/>
  <c r="FK15" i="3"/>
  <c r="FJ15" i="3"/>
  <c r="FI15" i="3"/>
  <c r="FH15" i="3"/>
  <c r="FG15" i="3"/>
  <c r="FF15" i="3"/>
  <c r="FE15" i="3"/>
  <c r="FD15" i="3"/>
  <c r="FC15" i="3"/>
  <c r="FB15" i="3"/>
  <c r="FA15" i="3"/>
  <c r="EZ15" i="3"/>
  <c r="EY15" i="3"/>
  <c r="EX15" i="3"/>
  <c r="EW15" i="3"/>
  <c r="EV15" i="3"/>
  <c r="EU15" i="3"/>
  <c r="ET15" i="3"/>
  <c r="ES15" i="3"/>
  <c r="ER15" i="3"/>
  <c r="EQ15" i="3"/>
  <c r="EP15" i="3"/>
  <c r="EO15" i="3"/>
  <c r="EN15" i="3"/>
  <c r="EM15" i="3"/>
  <c r="EL15" i="3"/>
  <c r="EK15" i="3"/>
  <c r="EJ15" i="3"/>
  <c r="EI15" i="3"/>
  <c r="EH15" i="3"/>
  <c r="EG15" i="3"/>
  <c r="EF15" i="3"/>
  <c r="EE15" i="3"/>
  <c r="ED15" i="3"/>
  <c r="EC15" i="3"/>
  <c r="EB15" i="3"/>
  <c r="EA15" i="3"/>
  <c r="DZ15" i="3"/>
  <c r="DY15" i="3"/>
  <c r="DX15" i="3"/>
  <c r="DW15" i="3"/>
  <c r="DV15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E15" i="3"/>
  <c r="E61" i="3" s="1"/>
  <c r="D15" i="3"/>
  <c r="D61" i="3" s="1"/>
  <c r="C15" i="3"/>
  <c r="C61" i="3" s="1"/>
  <c r="B15" i="3"/>
  <c r="B61" i="3" s="1"/>
  <c r="A15" i="3"/>
  <c r="A61" i="3" s="1"/>
  <c r="FQ14" i="3"/>
  <c r="FP14" i="3"/>
  <c r="FO14" i="3"/>
  <c r="FN14" i="3"/>
  <c r="FM14" i="3"/>
  <c r="FL14" i="3"/>
  <c r="FK14" i="3"/>
  <c r="FJ14" i="3"/>
  <c r="FI14" i="3"/>
  <c r="FH14" i="3"/>
  <c r="FG14" i="3"/>
  <c r="FF14" i="3"/>
  <c r="FE14" i="3"/>
  <c r="FD14" i="3"/>
  <c r="FC14" i="3"/>
  <c r="FB14" i="3"/>
  <c r="FA14" i="3"/>
  <c r="EZ14" i="3"/>
  <c r="EY14" i="3"/>
  <c r="EX14" i="3"/>
  <c r="EW14" i="3"/>
  <c r="EV14" i="3"/>
  <c r="EU14" i="3"/>
  <c r="ET14" i="3"/>
  <c r="ES14" i="3"/>
  <c r="ER14" i="3"/>
  <c r="EQ14" i="3"/>
  <c r="EP14" i="3"/>
  <c r="EO14" i="3"/>
  <c r="EN14" i="3"/>
  <c r="EM14" i="3"/>
  <c r="EL14" i="3"/>
  <c r="EK14" i="3"/>
  <c r="EJ14" i="3"/>
  <c r="EI14" i="3"/>
  <c r="EH14" i="3"/>
  <c r="EG14" i="3"/>
  <c r="EF14" i="3"/>
  <c r="EE14" i="3"/>
  <c r="ED14" i="3"/>
  <c r="EC14" i="3"/>
  <c r="EB14" i="3"/>
  <c r="EA14" i="3"/>
  <c r="DZ14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E14" i="3"/>
  <c r="B14" i="3"/>
  <c r="A14" i="3"/>
  <c r="FQ13" i="3"/>
  <c r="FP13" i="3"/>
  <c r="FO13" i="3"/>
  <c r="FN13" i="3"/>
  <c r="FM13" i="3"/>
  <c r="FL13" i="3"/>
  <c r="FK13" i="3"/>
  <c r="FJ13" i="3"/>
  <c r="FI13" i="3"/>
  <c r="FH13" i="3"/>
  <c r="FG13" i="3"/>
  <c r="FF13" i="3"/>
  <c r="FE13" i="3"/>
  <c r="FD13" i="3"/>
  <c r="FC13" i="3"/>
  <c r="FB13" i="3"/>
  <c r="FA13" i="3"/>
  <c r="EZ13" i="3"/>
  <c r="EY13" i="3"/>
  <c r="EX13" i="3"/>
  <c r="EW13" i="3"/>
  <c r="EV13" i="3"/>
  <c r="EU13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E13" i="3"/>
  <c r="B13" i="3"/>
  <c r="A13" i="3"/>
  <c r="FQ12" i="3"/>
  <c r="FP12" i="3"/>
  <c r="FO12" i="3"/>
  <c r="FN12" i="3"/>
  <c r="FM12" i="3"/>
  <c r="FL12" i="3"/>
  <c r="FK12" i="3"/>
  <c r="FJ12" i="3"/>
  <c r="FI12" i="3"/>
  <c r="FH12" i="3"/>
  <c r="FG12" i="3"/>
  <c r="FF12" i="3"/>
  <c r="FE12" i="3"/>
  <c r="FD12" i="3"/>
  <c r="FC12" i="3"/>
  <c r="FB12" i="3"/>
  <c r="FA12" i="3"/>
  <c r="EZ12" i="3"/>
  <c r="EY12" i="3"/>
  <c r="EX12" i="3"/>
  <c r="EW12" i="3"/>
  <c r="EV12" i="3"/>
  <c r="EU12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E12" i="3"/>
  <c r="B12" i="3"/>
  <c r="A12" i="3"/>
  <c r="FQ11" i="3"/>
  <c r="FP11" i="3"/>
  <c r="FO11" i="3"/>
  <c r="FN11" i="3"/>
  <c r="FM11" i="3"/>
  <c r="FL11" i="3"/>
  <c r="FK11" i="3"/>
  <c r="FJ11" i="3"/>
  <c r="FI11" i="3"/>
  <c r="FH11" i="3"/>
  <c r="FG11" i="3"/>
  <c r="FF11" i="3"/>
  <c r="FE11" i="3"/>
  <c r="FD11" i="3"/>
  <c r="FC11" i="3"/>
  <c r="FB11" i="3"/>
  <c r="FA11" i="3"/>
  <c r="EZ11" i="3"/>
  <c r="EY11" i="3"/>
  <c r="EX11" i="3"/>
  <c r="EW11" i="3"/>
  <c r="EV11" i="3"/>
  <c r="EU11" i="3"/>
  <c r="ET11" i="3"/>
  <c r="ES11" i="3"/>
  <c r="ER11" i="3"/>
  <c r="EQ11" i="3"/>
  <c r="EP11" i="3"/>
  <c r="EO11" i="3"/>
  <c r="EN11" i="3"/>
  <c r="EM11" i="3"/>
  <c r="EL11" i="3"/>
  <c r="EK11" i="3"/>
  <c r="EJ11" i="3"/>
  <c r="EI11" i="3"/>
  <c r="EH11" i="3"/>
  <c r="EG11" i="3"/>
  <c r="EF11" i="3"/>
  <c r="EE11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E11" i="3"/>
  <c r="B11" i="3"/>
  <c r="A11" i="3"/>
  <c r="FQ10" i="3"/>
  <c r="FP10" i="3"/>
  <c r="FO10" i="3"/>
  <c r="FN10" i="3"/>
  <c r="FM10" i="3"/>
  <c r="FL10" i="3"/>
  <c r="FK10" i="3"/>
  <c r="FJ10" i="3"/>
  <c r="FI10" i="3"/>
  <c r="FH10" i="3"/>
  <c r="FG10" i="3"/>
  <c r="FF10" i="3"/>
  <c r="FE10" i="3"/>
  <c r="FD10" i="3"/>
  <c r="FC10" i="3"/>
  <c r="FB10" i="3"/>
  <c r="FA10" i="3"/>
  <c r="EZ10" i="3"/>
  <c r="EY10" i="3"/>
  <c r="EX10" i="3"/>
  <c r="EW10" i="3"/>
  <c r="EV10" i="3"/>
  <c r="EU10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E10" i="3"/>
  <c r="B10" i="3"/>
  <c r="A10" i="3"/>
  <c r="FQ9" i="3"/>
  <c r="FP9" i="3"/>
  <c r="FO9" i="3"/>
  <c r="FN9" i="3"/>
  <c r="FM9" i="3"/>
  <c r="FL9" i="3"/>
  <c r="FK9" i="3"/>
  <c r="FJ9" i="3"/>
  <c r="FI9" i="3"/>
  <c r="FH9" i="3"/>
  <c r="FG9" i="3"/>
  <c r="FF9" i="3"/>
  <c r="FE9" i="3"/>
  <c r="FD9" i="3"/>
  <c r="FC9" i="3"/>
  <c r="FB9" i="3"/>
  <c r="FA9" i="3"/>
  <c r="EZ9" i="3"/>
  <c r="EY9" i="3"/>
  <c r="EX9" i="3"/>
  <c r="EW9" i="3"/>
  <c r="EV9" i="3"/>
  <c r="EU9" i="3"/>
  <c r="ET9" i="3"/>
  <c r="ES9" i="3"/>
  <c r="ER9" i="3"/>
  <c r="EQ9" i="3"/>
  <c r="EP9" i="3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E9" i="3"/>
  <c r="B9" i="3"/>
  <c r="A9" i="3"/>
  <c r="FQ8" i="3"/>
  <c r="FP8" i="3"/>
  <c r="FO8" i="3"/>
  <c r="FN8" i="3"/>
  <c r="FM8" i="3"/>
  <c r="FL8" i="3"/>
  <c r="FK8" i="3"/>
  <c r="FJ8" i="3"/>
  <c r="FI8" i="3"/>
  <c r="FH8" i="3"/>
  <c r="FG8" i="3"/>
  <c r="FF8" i="3"/>
  <c r="FE8" i="3"/>
  <c r="FD8" i="3"/>
  <c r="FC8" i="3"/>
  <c r="FB8" i="3"/>
  <c r="FA8" i="3"/>
  <c r="EZ8" i="3"/>
  <c r="EY8" i="3"/>
  <c r="EX8" i="3"/>
  <c r="EW8" i="3"/>
  <c r="EV8" i="3"/>
  <c r="EU8" i="3"/>
  <c r="ET8" i="3"/>
  <c r="ES8" i="3"/>
  <c r="ER8" i="3"/>
  <c r="EQ8" i="3"/>
  <c r="EP8" i="3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E8" i="3"/>
  <c r="B8" i="3"/>
  <c r="A8" i="3"/>
  <c r="FQ7" i="3"/>
  <c r="FP7" i="3"/>
  <c r="FO7" i="3"/>
  <c r="FN7" i="3"/>
  <c r="FM7" i="3"/>
  <c r="FL7" i="3"/>
  <c r="FK7" i="3"/>
  <c r="FJ7" i="3"/>
  <c r="FI7" i="3"/>
  <c r="FH7" i="3"/>
  <c r="FG7" i="3"/>
  <c r="FF7" i="3"/>
  <c r="FE7" i="3"/>
  <c r="FD7" i="3"/>
  <c r="FC7" i="3"/>
  <c r="FB7" i="3"/>
  <c r="FA7" i="3"/>
  <c r="EZ7" i="3"/>
  <c r="EY7" i="3"/>
  <c r="EX7" i="3"/>
  <c r="EW7" i="3"/>
  <c r="EV7" i="3"/>
  <c r="EU7" i="3"/>
  <c r="ET7" i="3"/>
  <c r="ES7" i="3"/>
  <c r="ER7" i="3"/>
  <c r="EQ7" i="3"/>
  <c r="EP7" i="3"/>
  <c r="EO7" i="3"/>
  <c r="EN7" i="3"/>
  <c r="EM7" i="3"/>
  <c r="EL7" i="3"/>
  <c r="EK7" i="3"/>
  <c r="EJ7" i="3"/>
  <c r="EI7" i="3"/>
  <c r="EH7" i="3"/>
  <c r="EG7" i="3"/>
  <c r="EF7" i="3"/>
  <c r="EE7" i="3"/>
  <c r="ED7" i="3"/>
  <c r="EC7" i="3"/>
  <c r="EB7" i="3"/>
  <c r="EA7" i="3"/>
  <c r="DZ7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E7" i="3"/>
  <c r="B7" i="3"/>
  <c r="A7" i="3"/>
  <c r="FQ6" i="3"/>
  <c r="FP6" i="3"/>
  <c r="FO6" i="3"/>
  <c r="FN6" i="3"/>
  <c r="FM6" i="3"/>
  <c r="FL6" i="3"/>
  <c r="FK6" i="3"/>
  <c r="FJ6" i="3"/>
  <c r="FI6" i="3"/>
  <c r="FH6" i="3"/>
  <c r="FG6" i="3"/>
  <c r="FF6" i="3"/>
  <c r="FE6" i="3"/>
  <c r="FD6" i="3"/>
  <c r="FC6" i="3"/>
  <c r="FB6" i="3"/>
  <c r="FA6" i="3"/>
  <c r="EZ6" i="3"/>
  <c r="EY6" i="3"/>
  <c r="EX6" i="3"/>
  <c r="EW6" i="3"/>
  <c r="EV6" i="3"/>
  <c r="EU6" i="3"/>
  <c r="ET6" i="3"/>
  <c r="ES6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E6" i="3"/>
  <c r="B6" i="3"/>
  <c r="A6" i="3"/>
  <c r="FQ5" i="3"/>
  <c r="FP5" i="3"/>
  <c r="FO5" i="3"/>
  <c r="FN5" i="3"/>
  <c r="FM5" i="3"/>
  <c r="FL5" i="3"/>
  <c r="FK5" i="3"/>
  <c r="FJ5" i="3"/>
  <c r="FI5" i="3"/>
  <c r="FH5" i="3"/>
  <c r="FG5" i="3"/>
  <c r="FF5" i="3"/>
  <c r="FE5" i="3"/>
  <c r="FD5" i="3"/>
  <c r="FC5" i="3"/>
  <c r="FB5" i="3"/>
  <c r="FA5" i="3"/>
  <c r="EZ5" i="3"/>
  <c r="EY5" i="3"/>
  <c r="EX5" i="3"/>
  <c r="EW5" i="3"/>
  <c r="EV5" i="3"/>
  <c r="EU5" i="3"/>
  <c r="ET5" i="3"/>
  <c r="ES5" i="3"/>
  <c r="ER5" i="3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E5" i="3"/>
  <c r="E60" i="3" s="1"/>
  <c r="D5" i="3"/>
  <c r="D60" i="3" s="1"/>
  <c r="C5" i="3"/>
  <c r="C60" i="3" s="1"/>
  <c r="B5" i="3"/>
  <c r="B60" i="3" s="1"/>
  <c r="A5" i="3"/>
  <c r="A60" i="3" s="1"/>
  <c r="FQ4" i="3"/>
  <c r="FP4" i="3"/>
  <c r="FO4" i="3"/>
  <c r="FN4" i="3"/>
  <c r="FM4" i="3"/>
  <c r="FL4" i="3"/>
  <c r="FK4" i="3"/>
  <c r="FJ4" i="3"/>
  <c r="FI4" i="3"/>
  <c r="FH4" i="3"/>
  <c r="FG4" i="3"/>
  <c r="FF4" i="3"/>
  <c r="FE4" i="3"/>
  <c r="FD4" i="3"/>
  <c r="FC4" i="3"/>
  <c r="FB4" i="3"/>
  <c r="FA4" i="3"/>
  <c r="EZ4" i="3"/>
  <c r="EY4" i="3"/>
  <c r="EX4" i="3"/>
  <c r="EW4" i="3"/>
  <c r="EV4" i="3"/>
  <c r="EU4" i="3"/>
  <c r="ET4" i="3"/>
  <c r="ES4" i="3"/>
  <c r="ER4" i="3"/>
  <c r="EQ4" i="3"/>
  <c r="EP4" i="3"/>
  <c r="EO4" i="3"/>
  <c r="EN4" i="3"/>
  <c r="EM4" i="3"/>
  <c r="EL4" i="3"/>
  <c r="EK4" i="3"/>
  <c r="EJ4" i="3"/>
  <c r="EI4" i="3"/>
  <c r="EH4" i="3"/>
  <c r="EG4" i="3"/>
  <c r="EF4" i="3"/>
  <c r="EE4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E4" i="3"/>
  <c r="E59" i="3" s="1"/>
  <c r="D4" i="3"/>
  <c r="D59" i="3" s="1"/>
  <c r="C4" i="3"/>
  <c r="C59" i="3" s="1"/>
  <c r="B4" i="3"/>
  <c r="B59" i="3" s="1"/>
  <c r="A4" i="3"/>
  <c r="A59" i="3" s="1"/>
  <c r="FQ3" i="3"/>
  <c r="FP3" i="3"/>
  <c r="FO3" i="3"/>
  <c r="FN3" i="3"/>
  <c r="FM3" i="3"/>
  <c r="FL3" i="3"/>
  <c r="FK3" i="3"/>
  <c r="FJ3" i="3"/>
  <c r="FI3" i="3"/>
  <c r="FH3" i="3"/>
  <c r="FG3" i="3"/>
  <c r="FF3" i="3"/>
  <c r="FE3" i="3"/>
  <c r="FD3" i="3"/>
  <c r="FC3" i="3"/>
  <c r="FB3" i="3"/>
  <c r="FA3" i="3"/>
  <c r="EZ3" i="3"/>
  <c r="EY3" i="3"/>
  <c r="EX3" i="3"/>
  <c r="EW3" i="3"/>
  <c r="EV3" i="3"/>
  <c r="EU3" i="3"/>
  <c r="ET3" i="3"/>
  <c r="ES3" i="3"/>
  <c r="ER3" i="3"/>
  <c r="EQ3" i="3"/>
  <c r="EP3" i="3"/>
  <c r="EO3" i="3"/>
  <c r="EN3" i="3"/>
  <c r="EM3" i="3"/>
  <c r="EL3" i="3"/>
  <c r="EK3" i="3"/>
  <c r="EJ3" i="3"/>
  <c r="EI3" i="3"/>
  <c r="EH3" i="3"/>
  <c r="EG3" i="3"/>
  <c r="EF3" i="3"/>
  <c r="EE3" i="3"/>
  <c r="ED3" i="3"/>
  <c r="EC3" i="3"/>
  <c r="EB3" i="3"/>
  <c r="EA3" i="3"/>
  <c r="DZ3" i="3"/>
  <c r="DY3" i="3"/>
  <c r="DX3" i="3"/>
  <c r="DW3" i="3"/>
  <c r="DV3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E3" i="3"/>
  <c r="B3" i="3"/>
  <c r="A3" i="3"/>
  <c r="E2" i="3"/>
  <c r="D2" i="3"/>
  <c r="C2" i="3"/>
  <c r="B2" i="3"/>
  <c r="A2" i="3"/>
  <c r="E35" i="2"/>
  <c r="C35" i="2"/>
  <c r="B35" i="2"/>
  <c r="A35" i="2"/>
  <c r="E34" i="2"/>
  <c r="D34" i="2"/>
  <c r="C34" i="2"/>
  <c r="B34" i="2"/>
  <c r="A34" i="2"/>
  <c r="E33" i="2"/>
  <c r="D33" i="2"/>
  <c r="C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E7" i="2"/>
  <c r="D7" i="2"/>
  <c r="C7" i="2"/>
  <c r="B7" i="2"/>
  <c r="A7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E2" i="2"/>
  <c r="D2" i="2"/>
  <c r="C2" i="2"/>
  <c r="B2" i="2"/>
  <c r="A2" i="2"/>
  <c r="C93" i="3"/>
  <c r="A45" i="3"/>
  <c r="CC54" i="3" l="1"/>
  <c r="T54" i="3"/>
  <c r="AQ53" i="3"/>
  <c r="W54" i="3"/>
  <c r="AN53" i="3"/>
  <c r="H53" i="3"/>
  <c r="BT53" i="3"/>
  <c r="AZ54" i="3"/>
  <c r="K53" i="3"/>
  <c r="BW53" i="3"/>
  <c r="BD54" i="3"/>
  <c r="X53" i="3"/>
  <c r="BD53" i="3"/>
  <c r="CJ53" i="3"/>
  <c r="AJ54" i="3"/>
  <c r="BX54" i="3"/>
  <c r="AA53" i="3"/>
  <c r="BG53" i="3"/>
  <c r="G54" i="3"/>
  <c r="AM54" i="3"/>
  <c r="D76" i="3"/>
  <c r="D35" i="2"/>
  <c r="B74" i="3"/>
  <c r="B33" i="2"/>
  <c r="CI54" i="3"/>
  <c r="CE54" i="3"/>
  <c r="CA54" i="3"/>
  <c r="BW54" i="3"/>
  <c r="BS54" i="3"/>
  <c r="BO54" i="3"/>
  <c r="BK54" i="3"/>
  <c r="BG54" i="3"/>
  <c r="BC54" i="3"/>
  <c r="CK54" i="3"/>
  <c r="CF54" i="3"/>
  <c r="BZ54" i="3"/>
  <c r="BU54" i="3"/>
  <c r="BP54" i="3"/>
  <c r="B85" i="3"/>
  <c r="CH54" i="3"/>
  <c r="CB54" i="3"/>
  <c r="BT54" i="3"/>
  <c r="BM54" i="3"/>
  <c r="BH54" i="3"/>
  <c r="BB54" i="3"/>
  <c r="AX54" i="3"/>
  <c r="AT54" i="3"/>
  <c r="AP54" i="3"/>
  <c r="AL54" i="3"/>
  <c r="AH54" i="3"/>
  <c r="AD54" i="3"/>
  <c r="Z54" i="3"/>
  <c r="V54" i="3"/>
  <c r="R54" i="3"/>
  <c r="N54" i="3"/>
  <c r="J54" i="3"/>
  <c r="F54" i="3"/>
  <c r="CH53" i="3"/>
  <c r="CD53" i="3"/>
  <c r="BZ53" i="3"/>
  <c r="BV53" i="3"/>
  <c r="BR53" i="3"/>
  <c r="BN53" i="3"/>
  <c r="BJ53" i="3"/>
  <c r="BF53" i="3"/>
  <c r="BB53" i="3"/>
  <c r="AX53" i="3"/>
  <c r="AT53" i="3"/>
  <c r="AP53" i="3"/>
  <c r="AL53" i="3"/>
  <c r="AH53" i="3"/>
  <c r="AD53" i="3"/>
  <c r="Z53" i="3"/>
  <c r="V53" i="3"/>
  <c r="R53" i="3"/>
  <c r="N53" i="3"/>
  <c r="J53" i="3"/>
  <c r="F53" i="3"/>
  <c r="CG54" i="3"/>
  <c r="BY54" i="3"/>
  <c r="BR54" i="3"/>
  <c r="BL54" i="3"/>
  <c r="BF54" i="3"/>
  <c r="BA54" i="3"/>
  <c r="AW54" i="3"/>
  <c r="AS54" i="3"/>
  <c r="AO54" i="3"/>
  <c r="AK54" i="3"/>
  <c r="AG54" i="3"/>
  <c r="AC54" i="3"/>
  <c r="Y54" i="3"/>
  <c r="U54" i="3"/>
  <c r="Q54" i="3"/>
  <c r="M54" i="3"/>
  <c r="I54" i="3"/>
  <c r="CK53" i="3"/>
  <c r="CG53" i="3"/>
  <c r="CC53" i="3"/>
  <c r="BY53" i="3"/>
  <c r="BU53" i="3"/>
  <c r="BQ53" i="3"/>
  <c r="BM53" i="3"/>
  <c r="BI53" i="3"/>
  <c r="BE53" i="3"/>
  <c r="BA53" i="3"/>
  <c r="AW53" i="3"/>
  <c r="AS53" i="3"/>
  <c r="AO53" i="3"/>
  <c r="AK53" i="3"/>
  <c r="AG53" i="3"/>
  <c r="AC53" i="3"/>
  <c r="Y53" i="3"/>
  <c r="U53" i="3"/>
  <c r="Q53" i="3"/>
  <c r="M53" i="3"/>
  <c r="I53" i="3"/>
  <c r="CJ54" i="3"/>
  <c r="BV54" i="3"/>
  <c r="BI54" i="3"/>
  <c r="AY54" i="3"/>
  <c r="AQ54" i="3"/>
  <c r="AI54" i="3"/>
  <c r="AA54" i="3"/>
  <c r="S54" i="3"/>
  <c r="K54" i="3"/>
  <c r="CI53" i="3"/>
  <c r="CA53" i="3"/>
  <c r="BS53" i="3"/>
  <c r="BK53" i="3"/>
  <c r="BC53" i="3"/>
  <c r="AU53" i="3"/>
  <c r="AM53" i="3"/>
  <c r="AE53" i="3"/>
  <c r="W53" i="3"/>
  <c r="O53" i="3"/>
  <c r="G53" i="3"/>
  <c r="CD54" i="3"/>
  <c r="BQ54" i="3"/>
  <c r="BE54" i="3"/>
  <c r="AV54" i="3"/>
  <c r="AN54" i="3"/>
  <c r="AF54" i="3"/>
  <c r="X54" i="3"/>
  <c r="P54" i="3"/>
  <c r="H54" i="3"/>
  <c r="CF53" i="3"/>
  <c r="BX53" i="3"/>
  <c r="BP53" i="3"/>
  <c r="BH53" i="3"/>
  <c r="AZ53" i="3"/>
  <c r="AR53" i="3"/>
  <c r="AJ53" i="3"/>
  <c r="AB53" i="3"/>
  <c r="T53" i="3"/>
  <c r="L53" i="3"/>
  <c r="P53" i="3"/>
  <c r="AF53" i="3"/>
  <c r="AV53" i="3"/>
  <c r="BL53" i="3"/>
  <c r="CB53" i="3"/>
  <c r="L54" i="3"/>
  <c r="AB54" i="3"/>
  <c r="AR54" i="3"/>
  <c r="BJ54" i="3"/>
  <c r="S53" i="3"/>
  <c r="AI53" i="3"/>
  <c r="AY53" i="3"/>
  <c r="BO53" i="3"/>
  <c r="CE53" i="3"/>
  <c r="O54" i="3"/>
  <c r="AE54" i="3"/>
  <c r="AU54" i="3"/>
  <c r="BN54" i="3"/>
  <c r="C49" i="3"/>
  <c r="B49" i="3"/>
  <c r="BD75" i="3"/>
  <c r="BD71" i="3"/>
  <c r="BD65" i="3"/>
  <c r="BD73" i="3"/>
  <c r="BD58" i="3"/>
  <c r="BW64" i="3"/>
  <c r="X59" i="3"/>
  <c r="AN69" i="3"/>
  <c r="BD76" i="3"/>
  <c r="BD69" i="3"/>
  <c r="BD64" i="3"/>
  <c r="BD60" i="3"/>
  <c r="BD63" i="3"/>
  <c r="CJ65" i="3"/>
  <c r="K60" i="3"/>
  <c r="F61" i="3"/>
  <c r="BD72" i="3"/>
  <c r="BD67" i="3"/>
  <c r="BD70" i="3"/>
  <c r="BD57" i="3"/>
  <c r="BD55" i="3"/>
  <c r="H56" i="3"/>
  <c r="BW66" i="3"/>
  <c r="AN55" i="3"/>
  <c r="BD68" i="3"/>
  <c r="BD74" i="3"/>
  <c r="BD66" i="3"/>
  <c r="BD62" i="3"/>
  <c r="BD56" i="3"/>
  <c r="BD59" i="3"/>
  <c r="CJ72" i="3"/>
  <c r="AQ62" i="3"/>
  <c r="K76" i="3"/>
  <c r="AN68" i="3"/>
  <c r="H76" i="3"/>
  <c r="BT72" i="3"/>
  <c r="AA70" i="3"/>
  <c r="X72" i="3"/>
  <c r="BW75" i="3"/>
  <c r="BG75" i="3"/>
  <c r="B93" i="3" l="1"/>
  <c r="B89" i="3"/>
  <c r="AI72" i="3"/>
  <c r="AI71" i="3"/>
  <c r="AI56" i="3"/>
  <c r="AI60" i="3"/>
  <c r="AI59" i="3"/>
  <c r="AV72" i="3"/>
  <c r="AV74" i="3"/>
  <c r="AV75" i="3"/>
  <c r="AV63" i="3"/>
  <c r="AV59" i="3"/>
  <c r="T75" i="3"/>
  <c r="T73" i="3"/>
  <c r="T67" i="3"/>
  <c r="T74" i="3"/>
  <c r="T59" i="3"/>
  <c r="T55" i="3"/>
  <c r="AZ68" i="3"/>
  <c r="AZ67" i="3"/>
  <c r="AZ66" i="3"/>
  <c r="AZ55" i="3"/>
  <c r="AZ59" i="3"/>
  <c r="CF69" i="3"/>
  <c r="CF70" i="3"/>
  <c r="CF65" i="3"/>
  <c r="CF60" i="3"/>
  <c r="CF55" i="3"/>
  <c r="W73" i="3"/>
  <c r="W69" i="3"/>
  <c r="W58" i="3"/>
  <c r="W66" i="3"/>
  <c r="W70" i="3"/>
  <c r="BC75" i="3"/>
  <c r="BC74" i="3"/>
  <c r="BC65" i="3"/>
  <c r="BC55" i="3"/>
  <c r="BC66" i="3"/>
  <c r="BC63" i="3"/>
  <c r="CI76" i="3"/>
  <c r="CI68" i="3"/>
  <c r="CI56" i="3"/>
  <c r="CI66" i="3"/>
  <c r="CI60" i="3"/>
  <c r="Q74" i="3"/>
  <c r="Q63" i="3"/>
  <c r="Q59" i="3"/>
  <c r="Q72" i="3"/>
  <c r="Q75" i="3"/>
  <c r="AG71" i="3"/>
  <c r="AG60" i="3"/>
  <c r="AG75" i="3"/>
  <c r="AG62" i="3"/>
  <c r="AG58" i="3"/>
  <c r="AW76" i="3"/>
  <c r="AW75" i="3"/>
  <c r="AW60" i="3"/>
  <c r="AW59" i="3"/>
  <c r="AW69" i="3"/>
  <c r="AW55" i="3"/>
  <c r="BM74" i="3"/>
  <c r="BM72" i="3"/>
  <c r="BM65" i="3"/>
  <c r="BM56" i="3"/>
  <c r="BM55" i="3"/>
  <c r="CC74" i="3"/>
  <c r="CC70" i="3"/>
  <c r="CC69" i="3"/>
  <c r="CC66" i="3"/>
  <c r="CC55" i="3"/>
  <c r="F74" i="3"/>
  <c r="F73" i="3"/>
  <c r="F72" i="3"/>
  <c r="F63" i="3"/>
  <c r="F57" i="3"/>
  <c r="V76" i="3"/>
  <c r="V71" i="3"/>
  <c r="V59" i="3"/>
  <c r="V63" i="3"/>
  <c r="V73" i="3"/>
  <c r="V57" i="3"/>
  <c r="AL71" i="3"/>
  <c r="AL67" i="3"/>
  <c r="AL65" i="3"/>
  <c r="AL64" i="3"/>
  <c r="AL58" i="3"/>
  <c r="BB70" i="3"/>
  <c r="BB62" i="3"/>
  <c r="BB73" i="3"/>
  <c r="BB56" i="3"/>
  <c r="BB60" i="3"/>
  <c r="BR74" i="3"/>
  <c r="BR73" i="3"/>
  <c r="BR59" i="3"/>
  <c r="BR64" i="3"/>
  <c r="BR58" i="3"/>
  <c r="CH76" i="3"/>
  <c r="CH71" i="3"/>
  <c r="CH59" i="3"/>
  <c r="CH63" i="3"/>
  <c r="CH55" i="3"/>
  <c r="CH69" i="3"/>
  <c r="BW68" i="3"/>
  <c r="BG56" i="3"/>
  <c r="AQ72" i="3"/>
  <c r="AA64" i="3"/>
  <c r="AA76" i="3"/>
  <c r="K74" i="3"/>
  <c r="CJ60" i="3"/>
  <c r="BT55" i="3"/>
  <c r="BT76" i="3"/>
  <c r="AN71" i="3"/>
  <c r="X73" i="3"/>
  <c r="H57" i="3"/>
  <c r="CE73" i="3"/>
  <c r="CE65" i="3"/>
  <c r="CE55" i="3"/>
  <c r="CE60" i="3"/>
  <c r="CE59" i="3"/>
  <c r="S75" i="3"/>
  <c r="S68" i="3"/>
  <c r="S56" i="3"/>
  <c r="S71" i="3"/>
  <c r="S60" i="3"/>
  <c r="S63" i="3"/>
  <c r="AF70" i="3"/>
  <c r="AF67" i="3"/>
  <c r="AF63" i="3"/>
  <c r="AF55" i="3"/>
  <c r="AF62" i="3"/>
  <c r="AB71" i="3"/>
  <c r="AB70" i="3"/>
  <c r="AB65" i="3"/>
  <c r="AB56" i="3"/>
  <c r="AB55" i="3"/>
  <c r="BH74" i="3"/>
  <c r="BH73" i="3"/>
  <c r="BH65" i="3"/>
  <c r="BH63" i="3"/>
  <c r="BH58" i="3"/>
  <c r="AE75" i="3"/>
  <c r="AE70" i="3"/>
  <c r="AE58" i="3"/>
  <c r="AE66" i="3"/>
  <c r="AE63" i="3"/>
  <c r="AE60" i="3"/>
  <c r="BK76" i="3"/>
  <c r="BK65" i="3"/>
  <c r="BK55" i="3"/>
  <c r="BK67" i="3"/>
  <c r="BK59" i="3"/>
  <c r="U73" i="3"/>
  <c r="U72" i="3"/>
  <c r="U60" i="3"/>
  <c r="U64" i="3"/>
  <c r="U57" i="3"/>
  <c r="AK71" i="3"/>
  <c r="AK67" i="3"/>
  <c r="AK60" i="3"/>
  <c r="AK58" i="3"/>
  <c r="AK64" i="3"/>
  <c r="BA76" i="3"/>
  <c r="BA67" i="3"/>
  <c r="BA69" i="3"/>
  <c r="BA58" i="3"/>
  <c r="BA65" i="3"/>
  <c r="BA64" i="3"/>
  <c r="BQ70" i="3"/>
  <c r="BQ63" i="3"/>
  <c r="BQ72" i="3"/>
  <c r="BQ62" i="3"/>
  <c r="BQ57" i="3"/>
  <c r="CG73" i="3"/>
  <c r="CG74" i="3"/>
  <c r="CG63" i="3"/>
  <c r="CG58" i="3"/>
  <c r="CG62" i="3"/>
  <c r="J74" i="3"/>
  <c r="J75" i="3"/>
  <c r="J59" i="3"/>
  <c r="J58" i="3"/>
  <c r="J56" i="3"/>
  <c r="Z76" i="3"/>
  <c r="Z69" i="3"/>
  <c r="Z71" i="3"/>
  <c r="Z68" i="3"/>
  <c r="Z55" i="3"/>
  <c r="Z56" i="3"/>
  <c r="AP73" i="3"/>
  <c r="AP66" i="3"/>
  <c r="AP58" i="3"/>
  <c r="AP65" i="3"/>
  <c r="AP64" i="3"/>
  <c r="BF70" i="3"/>
  <c r="BF62" i="3"/>
  <c r="BF72" i="3"/>
  <c r="BF60" i="3"/>
  <c r="BF65" i="3"/>
  <c r="BV74" i="3"/>
  <c r="BV69" i="3"/>
  <c r="BV71" i="3"/>
  <c r="BV55" i="3"/>
  <c r="BV60" i="3"/>
  <c r="K62" i="3"/>
  <c r="BW71" i="3"/>
  <c r="BG57" i="3"/>
  <c r="AQ67" i="3"/>
  <c r="AA60" i="3"/>
  <c r="AA73" i="3"/>
  <c r="K69" i="3"/>
  <c r="CJ70" i="3"/>
  <c r="BT62" i="3"/>
  <c r="AN63" i="3"/>
  <c r="AN76" i="3"/>
  <c r="X75" i="3"/>
  <c r="H60" i="3"/>
  <c r="BO69" i="3"/>
  <c r="BO71" i="3"/>
  <c r="BO56" i="3"/>
  <c r="BO67" i="3"/>
  <c r="BO59" i="3"/>
  <c r="CB72" i="3"/>
  <c r="CB68" i="3"/>
  <c r="CB64" i="3"/>
  <c r="CB58" i="3"/>
  <c r="CB56" i="3"/>
  <c r="P76" i="3"/>
  <c r="P70" i="3"/>
  <c r="P64" i="3"/>
  <c r="P63" i="3"/>
  <c r="P62" i="3"/>
  <c r="P59" i="3"/>
  <c r="AJ76" i="3"/>
  <c r="AJ69" i="3"/>
  <c r="AJ62" i="3"/>
  <c r="AJ58" i="3"/>
  <c r="AJ56" i="3"/>
  <c r="BP69" i="3"/>
  <c r="BP70" i="3"/>
  <c r="BP66" i="3"/>
  <c r="BP74" i="3"/>
  <c r="BP55" i="3"/>
  <c r="G76" i="3"/>
  <c r="G75" i="3"/>
  <c r="G65" i="3"/>
  <c r="G55" i="3"/>
  <c r="G60" i="3"/>
  <c r="AM75" i="3"/>
  <c r="AM71" i="3"/>
  <c r="AM70" i="3"/>
  <c r="AM56" i="3"/>
  <c r="AM64" i="3"/>
  <c r="AM63" i="3"/>
  <c r="BS76" i="3"/>
  <c r="BS68" i="3"/>
  <c r="BS57" i="3"/>
  <c r="BS60" i="3"/>
  <c r="BS64" i="3"/>
  <c r="I71" i="3"/>
  <c r="I67" i="3"/>
  <c r="I66" i="3"/>
  <c r="I55" i="3"/>
  <c r="I58" i="3"/>
  <c r="Y75" i="3"/>
  <c r="Y70" i="3"/>
  <c r="Y69" i="3"/>
  <c r="Y58" i="3"/>
  <c r="Y68" i="3"/>
  <c r="AO76" i="3"/>
  <c r="AO67" i="3"/>
  <c r="AO60" i="3"/>
  <c r="AO62" i="3"/>
  <c r="AO58" i="3"/>
  <c r="AO66" i="3"/>
  <c r="BE72" i="3"/>
  <c r="BE70" i="3"/>
  <c r="BE66" i="3"/>
  <c r="BE58" i="3"/>
  <c r="BE56" i="3"/>
  <c r="BU71" i="3"/>
  <c r="BU73" i="3"/>
  <c r="BU68" i="3"/>
  <c r="BU62" i="3"/>
  <c r="BU56" i="3"/>
  <c r="CK75" i="3"/>
  <c r="CK67" i="3"/>
  <c r="CK60" i="3"/>
  <c r="CK64" i="3"/>
  <c r="CK65" i="3"/>
  <c r="N76" i="3"/>
  <c r="N72" i="3"/>
  <c r="N66" i="3"/>
  <c r="N58" i="3"/>
  <c r="N65" i="3"/>
  <c r="N57" i="3"/>
  <c r="AD70" i="3"/>
  <c r="AD67" i="3"/>
  <c r="AD68" i="3"/>
  <c r="AD65" i="3"/>
  <c r="AD57" i="3"/>
  <c r="AT74" i="3"/>
  <c r="AT69" i="3"/>
  <c r="AT62" i="3"/>
  <c r="AT57" i="3"/>
  <c r="AT63" i="3"/>
  <c r="BJ75" i="3"/>
  <c r="BJ69" i="3"/>
  <c r="BJ62" i="3"/>
  <c r="BJ60" i="3"/>
  <c r="BJ58" i="3"/>
  <c r="BZ76" i="3"/>
  <c r="BZ72" i="3"/>
  <c r="BZ67" i="3"/>
  <c r="BZ68" i="3"/>
  <c r="BZ58" i="3"/>
  <c r="BZ56" i="3"/>
  <c r="BW67" i="3"/>
  <c r="BG59" i="3"/>
  <c r="BG73" i="3"/>
  <c r="AQ69" i="3"/>
  <c r="AA65" i="3"/>
  <c r="K56" i="3"/>
  <c r="CJ55" i="3"/>
  <c r="BT59" i="3"/>
  <c r="BT75" i="3"/>
  <c r="AN67" i="3"/>
  <c r="X64" i="3"/>
  <c r="H63" i="3"/>
  <c r="AY75" i="3"/>
  <c r="AY68" i="3"/>
  <c r="AY56" i="3"/>
  <c r="AY67" i="3"/>
  <c r="AY63" i="3"/>
  <c r="AY62" i="3"/>
  <c r="BL70" i="3"/>
  <c r="BL71" i="3"/>
  <c r="BL63" i="3"/>
  <c r="BL55" i="3"/>
  <c r="BL59" i="3"/>
  <c r="L71" i="3"/>
  <c r="L64" i="3"/>
  <c r="L67" i="3"/>
  <c r="L56" i="3"/>
  <c r="L60" i="3"/>
  <c r="AR75" i="3"/>
  <c r="AR67" i="3"/>
  <c r="AR70" i="3"/>
  <c r="AR63" i="3"/>
  <c r="AR62" i="3"/>
  <c r="BX72" i="3"/>
  <c r="BX67" i="3"/>
  <c r="BX69" i="3"/>
  <c r="BX59" i="3"/>
  <c r="BX60" i="3"/>
  <c r="BX57" i="3"/>
  <c r="O69" i="3"/>
  <c r="O58" i="3"/>
  <c r="O74" i="3"/>
  <c r="O71" i="3"/>
  <c r="O59" i="3"/>
  <c r="AU76" i="3"/>
  <c r="AU65" i="3"/>
  <c r="AU55" i="3"/>
  <c r="AU59" i="3"/>
  <c r="AU72" i="3"/>
  <c r="CA73" i="3"/>
  <c r="CA68" i="3"/>
  <c r="CA56" i="3"/>
  <c r="CA71" i="3"/>
  <c r="CA60" i="3"/>
  <c r="M76" i="3"/>
  <c r="M74" i="3"/>
  <c r="M60" i="3"/>
  <c r="M65" i="3"/>
  <c r="M73" i="3"/>
  <c r="M56" i="3"/>
  <c r="AC67" i="3"/>
  <c r="AC60" i="3"/>
  <c r="AC73" i="3"/>
  <c r="AC58" i="3"/>
  <c r="AC56" i="3"/>
  <c r="AS67" i="3"/>
  <c r="AS63" i="3"/>
  <c r="AS69" i="3"/>
  <c r="AS55" i="3"/>
  <c r="AS75" i="3"/>
  <c r="BI71" i="3"/>
  <c r="BI68" i="3"/>
  <c r="BI66" i="3"/>
  <c r="BI59" i="3"/>
  <c r="BI74" i="3"/>
  <c r="BY76" i="3"/>
  <c r="BY72" i="3"/>
  <c r="BY63" i="3"/>
  <c r="BY65" i="3"/>
  <c r="BY70" i="3"/>
  <c r="BY55" i="3"/>
  <c r="R71" i="3"/>
  <c r="R62" i="3"/>
  <c r="R64" i="3"/>
  <c r="R75" i="3"/>
  <c r="R63" i="3"/>
  <c r="AH70" i="3"/>
  <c r="AH69" i="3"/>
  <c r="AH67" i="3"/>
  <c r="AH57" i="3"/>
  <c r="AH56" i="3"/>
  <c r="AX74" i="3"/>
  <c r="AX72" i="3"/>
  <c r="AX59" i="3"/>
  <c r="AX60" i="3"/>
  <c r="AX55" i="3"/>
  <c r="BN76" i="3"/>
  <c r="BN72" i="3"/>
  <c r="BN62" i="3"/>
  <c r="BN68" i="3"/>
  <c r="BN60" i="3"/>
  <c r="BN57" i="3"/>
  <c r="CD71" i="3"/>
  <c r="CD62" i="3"/>
  <c r="CD75" i="3"/>
  <c r="CD56" i="3"/>
  <c r="CD57" i="3"/>
  <c r="BW55" i="3"/>
  <c r="BG55" i="3"/>
  <c r="AQ56" i="3"/>
  <c r="AA72" i="3"/>
  <c r="K63" i="3"/>
  <c r="CJ59" i="3"/>
  <c r="BT58" i="3"/>
  <c r="AN56" i="3"/>
  <c r="X63" i="3"/>
  <c r="H62" i="3"/>
  <c r="N71" i="3"/>
  <c r="BJ72" i="3"/>
  <c r="BJ55" i="3"/>
  <c r="BZ64" i="3"/>
  <c r="BG74" i="3"/>
  <c r="CJ62" i="3"/>
  <c r="X60" i="3"/>
  <c r="AY72" i="3"/>
  <c r="AY64" i="3"/>
  <c r="BL57" i="3"/>
  <c r="L70" i="3"/>
  <c r="AR68" i="3"/>
  <c r="AR57" i="3"/>
  <c r="BX66" i="3"/>
  <c r="O76" i="3"/>
  <c r="O66" i="3"/>
  <c r="AU68" i="3"/>
  <c r="AU64" i="3"/>
  <c r="CA57" i="3"/>
  <c r="M72" i="3"/>
  <c r="M55" i="3"/>
  <c r="AC55" i="3"/>
  <c r="AS58" i="3"/>
  <c r="BI73" i="3"/>
  <c r="BY75" i="3"/>
  <c r="BY58" i="3"/>
  <c r="R68" i="3"/>
  <c r="AH72" i="3"/>
  <c r="AX76" i="3"/>
  <c r="AX57" i="3"/>
  <c r="BN73" i="3"/>
  <c r="CD66" i="3"/>
  <c r="BW62" i="3"/>
  <c r="K67" i="3"/>
  <c r="X56" i="3"/>
  <c r="AI69" i="3"/>
  <c r="AI65" i="3"/>
  <c r="AI55" i="3"/>
  <c r="AI70" i="3"/>
  <c r="AI64" i="3"/>
  <c r="AV73" i="3"/>
  <c r="AV71" i="3"/>
  <c r="AV69" i="3"/>
  <c r="AV58" i="3"/>
  <c r="AV56" i="3"/>
  <c r="T72" i="3"/>
  <c r="T70" i="3"/>
  <c r="T66" i="3"/>
  <c r="T71" i="3"/>
  <c r="T60" i="3"/>
  <c r="AZ75" i="3"/>
  <c r="AZ76" i="3"/>
  <c r="AZ64" i="3"/>
  <c r="AZ62" i="3"/>
  <c r="AZ65" i="3"/>
  <c r="AZ60" i="3"/>
  <c r="CF68" i="3"/>
  <c r="CF67" i="3"/>
  <c r="CF62" i="3"/>
  <c r="CF66" i="3"/>
  <c r="CF63" i="3"/>
  <c r="W76" i="3"/>
  <c r="W72" i="3"/>
  <c r="W57" i="3"/>
  <c r="W64" i="3"/>
  <c r="W67" i="3"/>
  <c r="BC73" i="3"/>
  <c r="BC71" i="3"/>
  <c r="BC58" i="3"/>
  <c r="BC67" i="3"/>
  <c r="BC62" i="3"/>
  <c r="CI75" i="3"/>
  <c r="CI74" i="3"/>
  <c r="CI65" i="3"/>
  <c r="CI55" i="3"/>
  <c r="CI64" i="3"/>
  <c r="CI62" i="3"/>
  <c r="Q73" i="3"/>
  <c r="Q60" i="3"/>
  <c r="Q68" i="3"/>
  <c r="Q62" i="3"/>
  <c r="Q64" i="3"/>
  <c r="AG74" i="3"/>
  <c r="AG73" i="3"/>
  <c r="AG69" i="3"/>
  <c r="AG56" i="3"/>
  <c r="AG55" i="3"/>
  <c r="AW71" i="3"/>
  <c r="AW73" i="3"/>
  <c r="AW72" i="3"/>
  <c r="AW57" i="3"/>
  <c r="AW66" i="3"/>
  <c r="BM76" i="3"/>
  <c r="BM67" i="3"/>
  <c r="BM69" i="3"/>
  <c r="BM70" i="3"/>
  <c r="BM73" i="3"/>
  <c r="BM57" i="3"/>
  <c r="CC67" i="3"/>
  <c r="CC63" i="3"/>
  <c r="CC65" i="3"/>
  <c r="CC56" i="3"/>
  <c r="CC62" i="3"/>
  <c r="F70" i="3"/>
  <c r="F66" i="3"/>
  <c r="F68" i="3"/>
  <c r="F56" i="3"/>
  <c r="F64" i="3"/>
  <c r="V74" i="3"/>
  <c r="V69" i="3"/>
  <c r="V72" i="3"/>
  <c r="V60" i="3"/>
  <c r="V55" i="3"/>
  <c r="AL76" i="3"/>
  <c r="AL69" i="3"/>
  <c r="AL66" i="3"/>
  <c r="AL72" i="3"/>
  <c r="AL60" i="3"/>
  <c r="AL57" i="3"/>
  <c r="BB71" i="3"/>
  <c r="BB59" i="3"/>
  <c r="BB69" i="3"/>
  <c r="BB68" i="3"/>
  <c r="BB57" i="3"/>
  <c r="BR70" i="3"/>
  <c r="BR67" i="3"/>
  <c r="BR65" i="3"/>
  <c r="BR57" i="3"/>
  <c r="BR69" i="3"/>
  <c r="CH74" i="3"/>
  <c r="CH67" i="3"/>
  <c r="CH73" i="3"/>
  <c r="CH60" i="3"/>
  <c r="CH64" i="3"/>
  <c r="BG64" i="3"/>
  <c r="BW76" i="3"/>
  <c r="BG68" i="3"/>
  <c r="AQ57" i="3"/>
  <c r="AA63" i="3"/>
  <c r="K72" i="3"/>
  <c r="K73" i="3"/>
  <c r="CJ75" i="3"/>
  <c r="BT63" i="3"/>
  <c r="AN57" i="3"/>
  <c r="AN72" i="3"/>
  <c r="X74" i="3"/>
  <c r="H73" i="3"/>
  <c r="CE69" i="3"/>
  <c r="CE58" i="3"/>
  <c r="CE76" i="3"/>
  <c r="CE74" i="3"/>
  <c r="CE63" i="3"/>
  <c r="S73" i="3"/>
  <c r="S65" i="3"/>
  <c r="S55" i="3"/>
  <c r="S67" i="3"/>
  <c r="S64" i="3"/>
  <c r="AF76" i="3"/>
  <c r="AF68" i="3"/>
  <c r="AF64" i="3"/>
  <c r="AF58" i="3"/>
  <c r="AF56" i="3"/>
  <c r="AF60" i="3"/>
  <c r="AB68" i="3"/>
  <c r="AB69" i="3"/>
  <c r="AB66" i="3"/>
  <c r="AB62" i="3"/>
  <c r="AB57" i="3"/>
  <c r="BH71" i="3"/>
  <c r="BH70" i="3"/>
  <c r="BH59" i="3"/>
  <c r="BH57" i="3"/>
  <c r="BH62" i="3"/>
  <c r="AE73" i="3"/>
  <c r="AE68" i="3"/>
  <c r="AE57" i="3"/>
  <c r="AE62" i="3"/>
  <c r="AE64" i="3"/>
  <c r="BK75" i="3"/>
  <c r="BK70" i="3"/>
  <c r="BK58" i="3"/>
  <c r="BK74" i="3"/>
  <c r="BK60" i="3"/>
  <c r="BK66" i="3"/>
  <c r="U70" i="3"/>
  <c r="U68" i="3"/>
  <c r="U58" i="3"/>
  <c r="U59" i="3"/>
  <c r="U65" i="3"/>
  <c r="AK75" i="3"/>
  <c r="AK74" i="3"/>
  <c r="AK72" i="3"/>
  <c r="AK65" i="3"/>
  <c r="AK59" i="3"/>
  <c r="BA71" i="3"/>
  <c r="BA74" i="3"/>
  <c r="BA68" i="3"/>
  <c r="BA59" i="3"/>
  <c r="BA57" i="3"/>
  <c r="BQ76" i="3"/>
  <c r="BQ67" i="3"/>
  <c r="BQ60" i="3"/>
  <c r="BQ65" i="3"/>
  <c r="BQ55" i="3"/>
  <c r="BQ56" i="3"/>
  <c r="CG70" i="3"/>
  <c r="CG72" i="3"/>
  <c r="CG60" i="3"/>
  <c r="CG65" i="3"/>
  <c r="CG59" i="3"/>
  <c r="J70" i="3"/>
  <c r="J72" i="3"/>
  <c r="J71" i="3"/>
  <c r="J55" i="3"/>
  <c r="J57" i="3"/>
  <c r="Z74" i="3"/>
  <c r="Z66" i="3"/>
  <c r="Z67" i="3"/>
  <c r="Z65" i="3"/>
  <c r="Z57" i="3"/>
  <c r="AP76" i="3"/>
  <c r="AP75" i="3"/>
  <c r="AP62" i="3"/>
  <c r="AP68" i="3"/>
  <c r="AP63" i="3"/>
  <c r="AP60" i="3"/>
  <c r="BF75" i="3"/>
  <c r="BF59" i="3"/>
  <c r="BF69" i="3"/>
  <c r="BF55" i="3"/>
  <c r="BF68" i="3"/>
  <c r="BV70" i="3"/>
  <c r="BV66" i="3"/>
  <c r="BV64" i="3"/>
  <c r="BV56" i="3"/>
  <c r="BV57" i="3"/>
  <c r="BW72" i="3"/>
  <c r="BW69" i="3"/>
  <c r="BG71" i="3"/>
  <c r="AQ58" i="3"/>
  <c r="AA67" i="3"/>
  <c r="K59" i="3"/>
  <c r="K75" i="3"/>
  <c r="CJ64" i="3"/>
  <c r="BT73" i="3"/>
  <c r="AN62" i="3"/>
  <c r="X62" i="3"/>
  <c r="H59" i="3"/>
  <c r="H75" i="3"/>
  <c r="BO72" i="3"/>
  <c r="BO65" i="3"/>
  <c r="BO55" i="3"/>
  <c r="BO60" i="3"/>
  <c r="BO62" i="3"/>
  <c r="CB75" i="3"/>
  <c r="CB74" i="3"/>
  <c r="CB66" i="3"/>
  <c r="CB55" i="3"/>
  <c r="CB60" i="3"/>
  <c r="P72" i="3"/>
  <c r="P68" i="3"/>
  <c r="P69" i="3"/>
  <c r="P58" i="3"/>
  <c r="P60" i="3"/>
  <c r="AJ75" i="3"/>
  <c r="AJ73" i="3"/>
  <c r="AJ64" i="3"/>
  <c r="AJ57" i="3"/>
  <c r="AJ66" i="3"/>
  <c r="AJ59" i="3"/>
  <c r="BP68" i="3"/>
  <c r="BP67" i="3"/>
  <c r="BP62" i="3"/>
  <c r="BP65" i="3"/>
  <c r="BP58" i="3"/>
  <c r="G74" i="3"/>
  <c r="G72" i="3"/>
  <c r="G58" i="3"/>
  <c r="G67" i="3"/>
  <c r="G62" i="3"/>
  <c r="AM73" i="3"/>
  <c r="AM69" i="3"/>
  <c r="AM65" i="3"/>
  <c r="AM55" i="3"/>
  <c r="AM59" i="3"/>
  <c r="BS75" i="3"/>
  <c r="BS74" i="3"/>
  <c r="BS70" i="3"/>
  <c r="BS56" i="3"/>
  <c r="BS67" i="3"/>
  <c r="BS62" i="3"/>
  <c r="I72" i="3"/>
  <c r="I63" i="3"/>
  <c r="I74" i="3"/>
  <c r="I64" i="3"/>
  <c r="I69" i="3"/>
  <c r="Y71" i="3"/>
  <c r="Y67" i="3"/>
  <c r="Y62" i="3"/>
  <c r="Y56" i="3"/>
  <c r="Y66" i="3"/>
  <c r="AO75" i="3"/>
  <c r="AO73" i="3"/>
  <c r="AO74" i="3"/>
  <c r="AO57" i="3"/>
  <c r="AO69" i="3"/>
  <c r="BE76" i="3"/>
  <c r="BE69" i="3"/>
  <c r="BE63" i="3"/>
  <c r="BE62" i="3"/>
  <c r="BE64" i="3"/>
  <c r="BE68" i="3"/>
  <c r="BU72" i="3"/>
  <c r="BU70" i="3"/>
  <c r="BU74" i="3"/>
  <c r="BU57" i="3"/>
  <c r="BU65" i="3"/>
  <c r="CK71" i="3"/>
  <c r="CK73" i="3"/>
  <c r="CK74" i="3"/>
  <c r="CK59" i="3"/>
  <c r="CK58" i="3"/>
  <c r="N75" i="3"/>
  <c r="N73" i="3"/>
  <c r="N62" i="3"/>
  <c r="N68" i="3"/>
  <c r="N55" i="3"/>
  <c r="AD76" i="3"/>
  <c r="AD72" i="3"/>
  <c r="AD66" i="3"/>
  <c r="AD71" i="3"/>
  <c r="AD64" i="3"/>
  <c r="AD58" i="3"/>
  <c r="AT70" i="3"/>
  <c r="AT71" i="3"/>
  <c r="AT59" i="3"/>
  <c r="AT65" i="3"/>
  <c r="AT58" i="3"/>
  <c r="BJ74" i="3"/>
  <c r="BJ73" i="3"/>
  <c r="BJ59" i="3"/>
  <c r="BJ57" i="3"/>
  <c r="BJ71" i="3"/>
  <c r="BZ75" i="3"/>
  <c r="BZ69" i="3"/>
  <c r="BZ66" i="3"/>
  <c r="BZ60" i="3"/>
  <c r="BZ65" i="3"/>
  <c r="X70" i="3"/>
  <c r="BW58" i="3"/>
  <c r="BG72" i="3"/>
  <c r="AQ66" i="3"/>
  <c r="AQ75" i="3"/>
  <c r="AA69" i="3"/>
  <c r="K68" i="3"/>
  <c r="CJ66" i="3"/>
  <c r="BT57" i="3"/>
  <c r="AN65" i="3"/>
  <c r="X65" i="3"/>
  <c r="X68" i="3"/>
  <c r="H66" i="3"/>
  <c r="AY73" i="3"/>
  <c r="AY65" i="3"/>
  <c r="AY55" i="3"/>
  <c r="AY71" i="3"/>
  <c r="AY59" i="3"/>
  <c r="BL76" i="3"/>
  <c r="BL68" i="3"/>
  <c r="BL67" i="3"/>
  <c r="BL58" i="3"/>
  <c r="BL66" i="3"/>
  <c r="BL56" i="3"/>
  <c r="L68" i="3"/>
  <c r="L75" i="3"/>
  <c r="L65" i="3"/>
  <c r="L57" i="3"/>
  <c r="L55" i="3"/>
  <c r="AR74" i="3"/>
  <c r="AR76" i="3"/>
  <c r="AR66" i="3"/>
  <c r="AR58" i="3"/>
  <c r="AR60" i="3"/>
  <c r="BX74" i="3"/>
  <c r="BX76" i="3"/>
  <c r="BX75" i="3"/>
  <c r="BX70" i="3"/>
  <c r="BX55" i="3"/>
  <c r="O75" i="3"/>
  <c r="O70" i="3"/>
  <c r="O57" i="3"/>
  <c r="O67" i="3"/>
  <c r="O63" i="3"/>
  <c r="O64" i="3"/>
  <c r="AU69" i="3"/>
  <c r="AU58" i="3"/>
  <c r="AU62" i="3"/>
  <c r="AU60" i="3"/>
  <c r="AU66" i="3"/>
  <c r="CA69" i="3"/>
  <c r="CA65" i="3"/>
  <c r="CA55" i="3"/>
  <c r="CA67" i="3"/>
  <c r="CA59" i="3"/>
  <c r="M71" i="3"/>
  <c r="M68" i="3"/>
  <c r="M70" i="3"/>
  <c r="M64" i="3"/>
  <c r="M58" i="3"/>
  <c r="AC76" i="3"/>
  <c r="AC72" i="3"/>
  <c r="AC74" i="3"/>
  <c r="AC64" i="3"/>
  <c r="AC57" i="3"/>
  <c r="AC62" i="3"/>
  <c r="AS72" i="3"/>
  <c r="AS60" i="3"/>
  <c r="AS64" i="3"/>
  <c r="AS56" i="3"/>
  <c r="AS65" i="3"/>
  <c r="BI67" i="3"/>
  <c r="BI63" i="3"/>
  <c r="BI75" i="3"/>
  <c r="BI70" i="3"/>
  <c r="BI58" i="3"/>
  <c r="BY71" i="3"/>
  <c r="BY69" i="3"/>
  <c r="BY60" i="3"/>
  <c r="BY57" i="3"/>
  <c r="BY62" i="3"/>
  <c r="R76" i="3"/>
  <c r="R72" i="3"/>
  <c r="R59" i="3"/>
  <c r="R67" i="3"/>
  <c r="R60" i="3"/>
  <c r="R58" i="3"/>
  <c r="AH71" i="3"/>
  <c r="AH66" i="3"/>
  <c r="AH68" i="3"/>
  <c r="AH63" i="3"/>
  <c r="AH73" i="3"/>
  <c r="AX70" i="3"/>
  <c r="AX69" i="3"/>
  <c r="AX68" i="3"/>
  <c r="AX58" i="3"/>
  <c r="AX65" i="3"/>
  <c r="BN74" i="3"/>
  <c r="BN69" i="3"/>
  <c r="BN59" i="3"/>
  <c r="BN64" i="3"/>
  <c r="BN55" i="3"/>
  <c r="CD76" i="3"/>
  <c r="CD72" i="3"/>
  <c r="CD59" i="3"/>
  <c r="CD64" i="3"/>
  <c r="CD60" i="3"/>
  <c r="CD55" i="3"/>
  <c r="BW65" i="3"/>
  <c r="BG65" i="3"/>
  <c r="AQ68" i="3"/>
  <c r="AA56" i="3"/>
  <c r="K57" i="3"/>
  <c r="CJ73" i="3"/>
  <c r="BT66" i="3"/>
  <c r="AN75" i="3"/>
  <c r="X67" i="3"/>
  <c r="H69" i="3"/>
  <c r="N70" i="3"/>
  <c r="BJ76" i="3"/>
  <c r="BJ63" i="3"/>
  <c r="BZ59" i="3"/>
  <c r="BW73" i="3"/>
  <c r="K64" i="3"/>
  <c r="AN74" i="3"/>
  <c r="AA66" i="3"/>
  <c r="AY74" i="3"/>
  <c r="BL64" i="3"/>
  <c r="L69" i="3"/>
  <c r="L66" i="3"/>
  <c r="AR59" i="3"/>
  <c r="BX73" i="3"/>
  <c r="BX58" i="3"/>
  <c r="O55" i="3"/>
  <c r="CA70" i="3"/>
  <c r="CA66" i="3"/>
  <c r="M59" i="3"/>
  <c r="AC66" i="3"/>
  <c r="AS68" i="3"/>
  <c r="BI76" i="3"/>
  <c r="BI62" i="3"/>
  <c r="BY68" i="3"/>
  <c r="R70" i="3"/>
  <c r="R55" i="3"/>
  <c r="AH64" i="3"/>
  <c r="AX64" i="3"/>
  <c r="BN66" i="3"/>
  <c r="CD70" i="3"/>
  <c r="CD58" i="3"/>
  <c r="AQ63" i="3"/>
  <c r="BT71" i="3"/>
  <c r="AI75" i="3"/>
  <c r="AI68" i="3"/>
  <c r="AI58" i="3"/>
  <c r="AI76" i="3"/>
  <c r="AI67" i="3"/>
  <c r="AI63" i="3"/>
  <c r="AV70" i="3"/>
  <c r="AV67" i="3"/>
  <c r="AV66" i="3"/>
  <c r="AV62" i="3"/>
  <c r="AV57" i="3"/>
  <c r="T68" i="3"/>
  <c r="T69" i="3"/>
  <c r="T65" i="3"/>
  <c r="T57" i="3"/>
  <c r="T56" i="3"/>
  <c r="AZ72" i="3"/>
  <c r="AZ73" i="3"/>
  <c r="AZ71" i="3"/>
  <c r="AZ57" i="3"/>
  <c r="AZ58" i="3"/>
  <c r="CF75" i="3"/>
  <c r="CF76" i="3"/>
  <c r="CF64" i="3"/>
  <c r="CF57" i="3"/>
  <c r="CF58" i="3"/>
  <c r="CF56" i="3"/>
  <c r="W74" i="3"/>
  <c r="W68" i="3"/>
  <c r="W56" i="3"/>
  <c r="W59" i="3"/>
  <c r="W62" i="3"/>
  <c r="BC69" i="3"/>
  <c r="BC72" i="3"/>
  <c r="BC57" i="3"/>
  <c r="BC64" i="3"/>
  <c r="BC60" i="3"/>
  <c r="CI73" i="3"/>
  <c r="CI71" i="3"/>
  <c r="CI58" i="3"/>
  <c r="CI70" i="3"/>
  <c r="CI59" i="3"/>
  <c r="Q76" i="3"/>
  <c r="Q70" i="3"/>
  <c r="Q69" i="3"/>
  <c r="Q66" i="3"/>
  <c r="Q58" i="3"/>
  <c r="Q57" i="3"/>
  <c r="AG67" i="3"/>
  <c r="AG70" i="3"/>
  <c r="AG59" i="3"/>
  <c r="AG57" i="3"/>
  <c r="AG72" i="3"/>
  <c r="AW74" i="3"/>
  <c r="AW70" i="3"/>
  <c r="AW68" i="3"/>
  <c r="AW56" i="3"/>
  <c r="AW62" i="3"/>
  <c r="BM71" i="3"/>
  <c r="BM63" i="3"/>
  <c r="BM68" i="3"/>
  <c r="BM59" i="3"/>
  <c r="BM62" i="3"/>
  <c r="CC76" i="3"/>
  <c r="CC75" i="3"/>
  <c r="CC60" i="3"/>
  <c r="CC64" i="3"/>
  <c r="CC68" i="3"/>
  <c r="CC58" i="3"/>
  <c r="F71" i="3"/>
  <c r="F62" i="3"/>
  <c r="F67" i="3"/>
  <c r="F58" i="3"/>
  <c r="F75" i="3"/>
  <c r="V70" i="3"/>
  <c r="V66" i="3"/>
  <c r="V68" i="3"/>
  <c r="V58" i="3"/>
  <c r="V67" i="3"/>
  <c r="AL74" i="3"/>
  <c r="AL75" i="3"/>
  <c r="AL62" i="3"/>
  <c r="AL63" i="3"/>
  <c r="AL55" i="3"/>
  <c r="BB76" i="3"/>
  <c r="BB67" i="3"/>
  <c r="BB75" i="3"/>
  <c r="BB63" i="3"/>
  <c r="BB58" i="3"/>
  <c r="BB55" i="3"/>
  <c r="BR75" i="3"/>
  <c r="BR66" i="3"/>
  <c r="BR63" i="3"/>
  <c r="BR56" i="3"/>
  <c r="BR60" i="3"/>
  <c r="CH70" i="3"/>
  <c r="CH66" i="3"/>
  <c r="CH65" i="3"/>
  <c r="CH58" i="3"/>
  <c r="CH57" i="3"/>
  <c r="BW59" i="3"/>
  <c r="BG60" i="3"/>
  <c r="BG76" i="3"/>
  <c r="AQ71" i="3"/>
  <c r="AA57" i="3"/>
  <c r="K66" i="3"/>
  <c r="H67" i="3"/>
  <c r="CJ67" i="3"/>
  <c r="BT70" i="3"/>
  <c r="AN59" i="3"/>
  <c r="X58" i="3"/>
  <c r="X76" i="3"/>
  <c r="H68" i="3"/>
  <c r="CE72" i="3"/>
  <c r="CE57" i="3"/>
  <c r="CE71" i="3"/>
  <c r="CE67" i="3"/>
  <c r="CE64" i="3"/>
  <c r="S72" i="3"/>
  <c r="S58" i="3"/>
  <c r="S66" i="3"/>
  <c r="S76" i="3"/>
  <c r="S62" i="3"/>
  <c r="AF72" i="3"/>
  <c r="AF74" i="3"/>
  <c r="AF75" i="3"/>
  <c r="AF66" i="3"/>
  <c r="AF57" i="3"/>
  <c r="AB72" i="3"/>
  <c r="AB75" i="3"/>
  <c r="AB64" i="3"/>
  <c r="AB59" i="3"/>
  <c r="AB67" i="3"/>
  <c r="AB63" i="3"/>
  <c r="BH68" i="3"/>
  <c r="BH64" i="3"/>
  <c r="BH56" i="3"/>
  <c r="BH66" i="3"/>
  <c r="BH76" i="3"/>
  <c r="AE76" i="3"/>
  <c r="AE72" i="3"/>
  <c r="AE56" i="3"/>
  <c r="AE67" i="3"/>
  <c r="AE71" i="3"/>
  <c r="BK73" i="3"/>
  <c r="BK68" i="3"/>
  <c r="BK57" i="3"/>
  <c r="BK62" i="3"/>
  <c r="BK63" i="3"/>
  <c r="U76" i="3"/>
  <c r="U75" i="3"/>
  <c r="U67" i="3"/>
  <c r="U55" i="3"/>
  <c r="U69" i="3"/>
  <c r="U56" i="3"/>
  <c r="AK73" i="3"/>
  <c r="AK68" i="3"/>
  <c r="AK69" i="3"/>
  <c r="AK55" i="3"/>
  <c r="AK56" i="3"/>
  <c r="BA73" i="3"/>
  <c r="BA75" i="3"/>
  <c r="BA63" i="3"/>
  <c r="BA55" i="3"/>
  <c r="BA56" i="3"/>
  <c r="BQ71" i="3"/>
  <c r="BQ74" i="3"/>
  <c r="BQ75" i="3"/>
  <c r="BQ58" i="3"/>
  <c r="BQ69" i="3"/>
  <c r="CG76" i="3"/>
  <c r="CG67" i="3"/>
  <c r="CG69" i="3"/>
  <c r="CG64" i="3"/>
  <c r="CG57" i="3"/>
  <c r="CG56" i="3"/>
  <c r="J73" i="3"/>
  <c r="J66" i="3"/>
  <c r="J67" i="3"/>
  <c r="J64" i="3"/>
  <c r="J63" i="3"/>
  <c r="Z70" i="3"/>
  <c r="Z62" i="3"/>
  <c r="Z75" i="3"/>
  <c r="Z58" i="3"/>
  <c r="Z60" i="3"/>
  <c r="AP74" i="3"/>
  <c r="AP69" i="3"/>
  <c r="AP59" i="3"/>
  <c r="AP57" i="3"/>
  <c r="AP71" i="3"/>
  <c r="BF76" i="3"/>
  <c r="BF73" i="3"/>
  <c r="BF71" i="3"/>
  <c r="BF67" i="3"/>
  <c r="BF64" i="3"/>
  <c r="BF57" i="3"/>
  <c r="BV73" i="3"/>
  <c r="BV62" i="3"/>
  <c r="BV58" i="3"/>
  <c r="BV75" i="3"/>
  <c r="BV67" i="3"/>
  <c r="BW63" i="3"/>
  <c r="BG62" i="3"/>
  <c r="BG69" i="3"/>
  <c r="AQ74" i="3"/>
  <c r="AA58" i="3"/>
  <c r="K55" i="3"/>
  <c r="CJ58" i="3"/>
  <c r="CJ69" i="3"/>
  <c r="BT74" i="3"/>
  <c r="AN70" i="3"/>
  <c r="X57" i="3"/>
  <c r="H71" i="3"/>
  <c r="BO75" i="3"/>
  <c r="BO68" i="3"/>
  <c r="BO58" i="3"/>
  <c r="BO66" i="3"/>
  <c r="BO76" i="3"/>
  <c r="BO63" i="3"/>
  <c r="CB73" i="3"/>
  <c r="CB71" i="3"/>
  <c r="CB69" i="3"/>
  <c r="CB65" i="3"/>
  <c r="CB59" i="3"/>
  <c r="P75" i="3"/>
  <c r="P74" i="3"/>
  <c r="P66" i="3"/>
  <c r="P55" i="3"/>
  <c r="P56" i="3"/>
  <c r="AJ72" i="3"/>
  <c r="AJ70" i="3"/>
  <c r="AJ74" i="3"/>
  <c r="AJ63" i="3"/>
  <c r="AJ55" i="3"/>
  <c r="BP75" i="3"/>
  <c r="BP76" i="3"/>
  <c r="BP64" i="3"/>
  <c r="BP57" i="3"/>
  <c r="BP56" i="3"/>
  <c r="BP60" i="3"/>
  <c r="G71" i="3"/>
  <c r="G68" i="3"/>
  <c r="G57" i="3"/>
  <c r="G64" i="3"/>
  <c r="G63" i="3"/>
  <c r="AM76" i="3"/>
  <c r="AM72" i="3"/>
  <c r="AM58" i="3"/>
  <c r="AM67" i="3"/>
  <c r="AM62" i="3"/>
  <c r="BS73" i="3"/>
  <c r="BS71" i="3"/>
  <c r="BS65" i="3"/>
  <c r="BS55" i="3"/>
  <c r="BS66" i="3"/>
  <c r="I76" i="3"/>
  <c r="I73" i="3"/>
  <c r="I60" i="3"/>
  <c r="I62" i="3"/>
  <c r="I59" i="3"/>
  <c r="I57" i="3"/>
  <c r="Y72" i="3"/>
  <c r="Y63" i="3"/>
  <c r="Y59" i="3"/>
  <c r="Y65" i="3"/>
  <c r="Y64" i="3"/>
  <c r="AO71" i="3"/>
  <c r="AO70" i="3"/>
  <c r="AO68" i="3"/>
  <c r="AO64" i="3"/>
  <c r="AO55" i="3"/>
  <c r="BE75" i="3"/>
  <c r="BE67" i="3"/>
  <c r="BE60" i="3"/>
  <c r="BE57" i="3"/>
  <c r="BE59" i="3"/>
  <c r="BU76" i="3"/>
  <c r="BU69" i="3"/>
  <c r="BU63" i="3"/>
  <c r="BU66" i="3"/>
  <c r="BU58" i="3"/>
  <c r="BU59" i="3"/>
  <c r="CK72" i="3"/>
  <c r="CK70" i="3"/>
  <c r="CK62" i="3"/>
  <c r="CK66" i="3"/>
  <c r="CK68" i="3"/>
  <c r="N74" i="3"/>
  <c r="N69" i="3"/>
  <c r="N59" i="3"/>
  <c r="N67" i="3"/>
  <c r="N64" i="3"/>
  <c r="AD75" i="3"/>
  <c r="AD73" i="3"/>
  <c r="AD62" i="3"/>
  <c r="AD60" i="3"/>
  <c r="AD55" i="3"/>
  <c r="AT76" i="3"/>
  <c r="AT72" i="3"/>
  <c r="AT67" i="3"/>
  <c r="AT68" i="3"/>
  <c r="AT56" i="3"/>
  <c r="AT55" i="3"/>
  <c r="BJ70" i="3"/>
  <c r="BJ67" i="3"/>
  <c r="BJ68" i="3"/>
  <c r="BJ64" i="3"/>
  <c r="BJ56" i="3"/>
  <c r="BZ74" i="3"/>
  <c r="BZ73" i="3"/>
  <c r="BZ62" i="3"/>
  <c r="BZ57" i="3"/>
  <c r="BZ63" i="3"/>
  <c r="AQ59" i="3"/>
  <c r="BW74" i="3"/>
  <c r="BG58" i="3"/>
  <c r="AQ55" i="3"/>
  <c r="AA62" i="3"/>
  <c r="AA75" i="3"/>
  <c r="K70" i="3"/>
  <c r="CJ71" i="3"/>
  <c r="BT60" i="3"/>
  <c r="AN73" i="3"/>
  <c r="X55" i="3"/>
  <c r="H65" i="3"/>
  <c r="H72" i="3"/>
  <c r="AY69" i="3"/>
  <c r="AY58" i="3"/>
  <c r="AY66" i="3"/>
  <c r="AY60" i="3"/>
  <c r="AY76" i="3"/>
  <c r="BL72" i="3"/>
  <c r="BL75" i="3"/>
  <c r="BL69" i="3"/>
  <c r="BL60" i="3"/>
  <c r="BL65" i="3"/>
  <c r="L72" i="3"/>
  <c r="L76" i="3"/>
  <c r="L73" i="3"/>
  <c r="L59" i="3"/>
  <c r="L63" i="3"/>
  <c r="L58" i="3"/>
  <c r="AR71" i="3"/>
  <c r="AR69" i="3"/>
  <c r="AR65" i="3"/>
  <c r="AR56" i="3"/>
  <c r="AR55" i="3"/>
  <c r="BX71" i="3"/>
  <c r="BX64" i="3"/>
  <c r="BX65" i="3"/>
  <c r="BX62" i="3"/>
  <c r="BX63" i="3"/>
  <c r="O73" i="3"/>
  <c r="O68" i="3"/>
  <c r="O56" i="3"/>
  <c r="O72" i="3"/>
  <c r="O60" i="3"/>
  <c r="AU75" i="3"/>
  <c r="AU70" i="3"/>
  <c r="AU57" i="3"/>
  <c r="AU71" i="3"/>
  <c r="AU67" i="3"/>
  <c r="AU63" i="3"/>
  <c r="CA76" i="3"/>
  <c r="CA58" i="3"/>
  <c r="CA72" i="3"/>
  <c r="CA62" i="3"/>
  <c r="CA74" i="3"/>
  <c r="M75" i="3"/>
  <c r="M67" i="3"/>
  <c r="M66" i="3"/>
  <c r="M57" i="3"/>
  <c r="M62" i="3"/>
  <c r="AC71" i="3"/>
  <c r="AC68" i="3"/>
  <c r="AC70" i="3"/>
  <c r="AC69" i="3"/>
  <c r="AC59" i="3"/>
  <c r="AS76" i="3"/>
  <c r="AS74" i="3"/>
  <c r="AS73" i="3"/>
  <c r="AS62" i="3"/>
  <c r="AS70" i="3"/>
  <c r="AS57" i="3"/>
  <c r="BI72" i="3"/>
  <c r="BI60" i="3"/>
  <c r="BI64" i="3"/>
  <c r="BI57" i="3"/>
  <c r="BI55" i="3"/>
  <c r="BY67" i="3"/>
  <c r="BY74" i="3"/>
  <c r="BY66" i="3"/>
  <c r="BY64" i="3"/>
  <c r="BY56" i="3"/>
  <c r="R74" i="3"/>
  <c r="R69" i="3"/>
  <c r="R73" i="3"/>
  <c r="R65" i="3"/>
  <c r="R56" i="3"/>
  <c r="AH76" i="3"/>
  <c r="AH75" i="3"/>
  <c r="AH62" i="3"/>
  <c r="AH65" i="3"/>
  <c r="AH58" i="3"/>
  <c r="AH55" i="3"/>
  <c r="AX75" i="3"/>
  <c r="AX66" i="3"/>
  <c r="AX73" i="3"/>
  <c r="AX63" i="3"/>
  <c r="AX67" i="3"/>
  <c r="BN70" i="3"/>
  <c r="BN75" i="3"/>
  <c r="BN67" i="3"/>
  <c r="BN65" i="3"/>
  <c r="BN56" i="3"/>
  <c r="CD74" i="3"/>
  <c r="CD69" i="3"/>
  <c r="CD68" i="3"/>
  <c r="CD63" i="3"/>
  <c r="CD73" i="3"/>
  <c r="BT65" i="3"/>
  <c r="BW70" i="3"/>
  <c r="BG70" i="3"/>
  <c r="AQ70" i="3"/>
  <c r="AA68" i="3"/>
  <c r="K71" i="3"/>
  <c r="CJ74" i="3"/>
  <c r="BT67" i="3"/>
  <c r="AN66" i="3"/>
  <c r="X71" i="3"/>
  <c r="H64" i="3"/>
  <c r="AD74" i="3"/>
  <c r="AT64" i="3"/>
  <c r="BJ65" i="3"/>
  <c r="BZ71" i="3"/>
  <c r="BW60" i="3"/>
  <c r="AA55" i="3"/>
  <c r="CJ68" i="3"/>
  <c r="H74" i="3"/>
  <c r="AY70" i="3"/>
  <c r="BL74" i="3"/>
  <c r="L74" i="3"/>
  <c r="L62" i="3"/>
  <c r="AR64" i="3"/>
  <c r="BX68" i="3"/>
  <c r="O62" i="3"/>
  <c r="AU56" i="3"/>
  <c r="CA75" i="3"/>
  <c r="CA63" i="3"/>
  <c r="M69" i="3"/>
  <c r="AC75" i="3"/>
  <c r="AC65" i="3"/>
  <c r="AS66" i="3"/>
  <c r="BI69" i="3"/>
  <c r="BI65" i="3"/>
  <c r="BY73" i="3"/>
  <c r="R66" i="3"/>
  <c r="AH74" i="3"/>
  <c r="AH60" i="3"/>
  <c r="AX62" i="3"/>
  <c r="BN71" i="3"/>
  <c r="BN63" i="3"/>
  <c r="CD67" i="3"/>
  <c r="BG63" i="3"/>
  <c r="CJ56" i="3"/>
  <c r="H55" i="3"/>
  <c r="AI73" i="3"/>
  <c r="AI74" i="3"/>
  <c r="AI57" i="3"/>
  <c r="AI66" i="3"/>
  <c r="AI62" i="3"/>
  <c r="AV76" i="3"/>
  <c r="AV68" i="3"/>
  <c r="AV64" i="3"/>
  <c r="AV65" i="3"/>
  <c r="AV55" i="3"/>
  <c r="AV60" i="3"/>
  <c r="T76" i="3"/>
  <c r="T64" i="3"/>
  <c r="T62" i="3"/>
  <c r="T63" i="3"/>
  <c r="T58" i="3"/>
  <c r="AZ69" i="3"/>
  <c r="AZ70" i="3"/>
  <c r="AZ74" i="3"/>
  <c r="AZ63" i="3"/>
  <c r="AZ56" i="3"/>
  <c r="CF72" i="3"/>
  <c r="CF73" i="3"/>
  <c r="CF74" i="3"/>
  <c r="CF71" i="3"/>
  <c r="CF59" i="3"/>
  <c r="W75" i="3"/>
  <c r="W71" i="3"/>
  <c r="W65" i="3"/>
  <c r="W55" i="3"/>
  <c r="W63" i="3"/>
  <c r="W60" i="3"/>
  <c r="BC76" i="3"/>
  <c r="BC68" i="3"/>
  <c r="BC56" i="3"/>
  <c r="BC59" i="3"/>
  <c r="BC70" i="3"/>
  <c r="CI69" i="3"/>
  <c r="CI72" i="3"/>
  <c r="CI57" i="3"/>
  <c r="CI67" i="3"/>
  <c r="CI63" i="3"/>
  <c r="Q71" i="3"/>
  <c r="Q67" i="3"/>
  <c r="Q65" i="3"/>
  <c r="Q56" i="3"/>
  <c r="Q55" i="3"/>
  <c r="AG76" i="3"/>
  <c r="AG63" i="3"/>
  <c r="AG65" i="3"/>
  <c r="AG64" i="3"/>
  <c r="AG66" i="3"/>
  <c r="AG68" i="3"/>
  <c r="AW67" i="3"/>
  <c r="AW63" i="3"/>
  <c r="AW65" i="3"/>
  <c r="AW64" i="3"/>
  <c r="AW58" i="3"/>
  <c r="BM75" i="3"/>
  <c r="BM60" i="3"/>
  <c r="BM66" i="3"/>
  <c r="BM58" i="3"/>
  <c r="BM64" i="3"/>
  <c r="CC71" i="3"/>
  <c r="CC73" i="3"/>
  <c r="CC72" i="3"/>
  <c r="CC59" i="3"/>
  <c r="CC57" i="3"/>
  <c r="F76" i="3"/>
  <c r="F69" i="3"/>
  <c r="F59" i="3"/>
  <c r="F65" i="3"/>
  <c r="F60" i="3"/>
  <c r="F55" i="3"/>
  <c r="V75" i="3"/>
  <c r="V62" i="3"/>
  <c r="V65" i="3"/>
  <c r="V56" i="3"/>
  <c r="V64" i="3"/>
  <c r="AL70" i="3"/>
  <c r="AL73" i="3"/>
  <c r="AL59" i="3"/>
  <c r="AL56" i="3"/>
  <c r="AL68" i="3"/>
  <c r="BB74" i="3"/>
  <c r="BB66" i="3"/>
  <c r="BB65" i="3"/>
  <c r="BB64" i="3"/>
  <c r="BB72" i="3"/>
  <c r="BR76" i="3"/>
  <c r="BR71" i="3"/>
  <c r="BR62" i="3"/>
  <c r="BR68" i="3"/>
  <c r="BR72" i="3"/>
  <c r="BR55" i="3"/>
  <c r="CH75" i="3"/>
  <c r="CH62" i="3"/>
  <c r="CH68" i="3"/>
  <c r="CH56" i="3"/>
  <c r="CH72" i="3"/>
  <c r="BW56" i="3"/>
  <c r="BG67" i="3"/>
  <c r="AQ64" i="3"/>
  <c r="AQ76" i="3"/>
  <c r="AA71" i="3"/>
  <c r="K58" i="3"/>
  <c r="CJ57" i="3"/>
  <c r="CJ76" i="3"/>
  <c r="BT69" i="3"/>
  <c r="AN60" i="3"/>
  <c r="X69" i="3"/>
  <c r="H70" i="3"/>
  <c r="CE75" i="3"/>
  <c r="CE68" i="3"/>
  <c r="CE56" i="3"/>
  <c r="CE66" i="3"/>
  <c r="CE62" i="3"/>
  <c r="CE70" i="3"/>
  <c r="S69" i="3"/>
  <c r="S57" i="3"/>
  <c r="S74" i="3"/>
  <c r="S70" i="3"/>
  <c r="S59" i="3"/>
  <c r="AF73" i="3"/>
  <c r="AF71" i="3"/>
  <c r="AF69" i="3"/>
  <c r="AF59" i="3"/>
  <c r="AF65" i="3"/>
  <c r="AB74" i="3"/>
  <c r="AB73" i="3"/>
  <c r="AB76" i="3"/>
  <c r="AB60" i="3"/>
  <c r="AB58" i="3"/>
  <c r="BH72" i="3"/>
  <c r="BH67" i="3"/>
  <c r="BH69" i="3"/>
  <c r="BH55" i="3"/>
  <c r="BH75" i="3"/>
  <c r="BH60" i="3"/>
  <c r="AE69" i="3"/>
  <c r="AE65" i="3"/>
  <c r="AE55" i="3"/>
  <c r="AE59" i="3"/>
  <c r="AE74" i="3"/>
  <c r="BK69" i="3"/>
  <c r="BK72" i="3"/>
  <c r="BK56" i="3"/>
  <c r="BK71" i="3"/>
  <c r="BK64" i="3"/>
  <c r="U71" i="3"/>
  <c r="U74" i="3"/>
  <c r="U63" i="3"/>
  <c r="U66" i="3"/>
  <c r="U62" i="3"/>
  <c r="AK76" i="3"/>
  <c r="AK70" i="3"/>
  <c r="AK63" i="3"/>
  <c r="AK66" i="3"/>
  <c r="AK62" i="3"/>
  <c r="AK57" i="3"/>
  <c r="BA70" i="3"/>
  <c r="BA72" i="3"/>
  <c r="BA60" i="3"/>
  <c r="BA66" i="3"/>
  <c r="BA62" i="3"/>
  <c r="BQ73" i="3"/>
  <c r="BQ68" i="3"/>
  <c r="BQ64" i="3"/>
  <c r="BQ66" i="3"/>
  <c r="BQ59" i="3"/>
  <c r="CG71" i="3"/>
  <c r="CG75" i="3"/>
  <c r="CG68" i="3"/>
  <c r="CG66" i="3"/>
  <c r="CG55" i="3"/>
  <c r="J76" i="3"/>
  <c r="J69" i="3"/>
  <c r="J62" i="3"/>
  <c r="J68" i="3"/>
  <c r="J60" i="3"/>
  <c r="J65" i="3"/>
  <c r="Z73" i="3"/>
  <c r="Z59" i="3"/>
  <c r="Z72" i="3"/>
  <c r="Z64" i="3"/>
  <c r="Z63" i="3"/>
  <c r="AP70" i="3"/>
  <c r="AP72" i="3"/>
  <c r="AP67" i="3"/>
  <c r="AP55" i="3"/>
  <c r="AP56" i="3"/>
  <c r="BF74" i="3"/>
  <c r="BF66" i="3"/>
  <c r="BF58" i="3"/>
  <c r="BF63" i="3"/>
  <c r="BF56" i="3"/>
  <c r="BV76" i="3"/>
  <c r="BV72" i="3"/>
  <c r="BV59" i="3"/>
  <c r="BV65" i="3"/>
  <c r="BV68" i="3"/>
  <c r="BV63" i="3"/>
  <c r="BW57" i="3"/>
  <c r="BG66" i="3"/>
  <c r="AQ60" i="3"/>
  <c r="AQ73" i="3"/>
  <c r="AA74" i="3"/>
  <c r="K65" i="3"/>
  <c r="CJ63" i="3"/>
  <c r="BT56" i="3"/>
  <c r="BT68" i="3"/>
  <c r="AN64" i="3"/>
  <c r="X66" i="3"/>
  <c r="H58" i="3"/>
  <c r="BO73" i="3"/>
  <c r="BO74" i="3"/>
  <c r="BO57" i="3"/>
  <c r="BO70" i="3"/>
  <c r="BO64" i="3"/>
  <c r="CB76" i="3"/>
  <c r="CB70" i="3"/>
  <c r="CB67" i="3"/>
  <c r="CB63" i="3"/>
  <c r="CB57" i="3"/>
  <c r="CB62" i="3"/>
  <c r="P73" i="3"/>
  <c r="P71" i="3"/>
  <c r="P67" i="3"/>
  <c r="P65" i="3"/>
  <c r="P57" i="3"/>
  <c r="AJ68" i="3"/>
  <c r="AJ67" i="3"/>
  <c r="AJ71" i="3"/>
  <c r="AJ60" i="3"/>
  <c r="AJ65" i="3"/>
  <c r="BP72" i="3"/>
  <c r="BP73" i="3"/>
  <c r="BP71" i="3"/>
  <c r="BP59" i="3"/>
  <c r="BP63" i="3"/>
  <c r="G73" i="3"/>
  <c r="G69" i="3"/>
  <c r="G70" i="3"/>
  <c r="G56" i="3"/>
  <c r="G59" i="3"/>
  <c r="G66" i="3"/>
  <c r="AM74" i="3"/>
  <c r="AM68" i="3"/>
  <c r="AM57" i="3"/>
  <c r="AM66" i="3"/>
  <c r="AM60" i="3"/>
  <c r="BS69" i="3"/>
  <c r="BS72" i="3"/>
  <c r="BS58" i="3"/>
  <c r="BS59" i="3"/>
  <c r="BS63" i="3"/>
  <c r="I75" i="3"/>
  <c r="I70" i="3"/>
  <c r="I68" i="3"/>
  <c r="I65" i="3"/>
  <c r="I56" i="3"/>
  <c r="Y76" i="3"/>
  <c r="Y73" i="3"/>
  <c r="Y60" i="3"/>
  <c r="Y74" i="3"/>
  <c r="Y57" i="3"/>
  <c r="Y55" i="3"/>
  <c r="AO72" i="3"/>
  <c r="AO63" i="3"/>
  <c r="AO65" i="3"/>
  <c r="AO59" i="3"/>
  <c r="AO56" i="3"/>
  <c r="BE71" i="3"/>
  <c r="BE73" i="3"/>
  <c r="BE74" i="3"/>
  <c r="BE65" i="3"/>
  <c r="BE55" i="3"/>
  <c r="BU75" i="3"/>
  <c r="BU67" i="3"/>
  <c r="BU60" i="3"/>
  <c r="BU64" i="3"/>
  <c r="BU55" i="3"/>
  <c r="CK76" i="3"/>
  <c r="CK69" i="3"/>
  <c r="CK63" i="3"/>
  <c r="CK57" i="3"/>
  <c r="CK56" i="3"/>
  <c r="CK55" i="3"/>
  <c r="N60" i="3"/>
  <c r="N63" i="3"/>
  <c r="N56" i="3"/>
  <c r="AD69" i="3"/>
  <c r="AD59" i="3"/>
  <c r="AD63" i="3"/>
  <c r="AD56" i="3"/>
  <c r="AT75" i="3"/>
  <c r="AT73" i="3"/>
  <c r="AT66" i="3"/>
  <c r="AT60" i="3"/>
  <c r="BJ66" i="3"/>
  <c r="BZ70" i="3"/>
  <c r="BZ55" i="3"/>
  <c r="AQ65" i="3"/>
  <c r="BT64" i="3"/>
  <c r="AY57" i="3"/>
  <c r="BL73" i="3"/>
  <c r="BL62" i="3"/>
  <c r="AR72" i="3"/>
  <c r="AR73" i="3"/>
  <c r="BX56" i="3"/>
  <c r="O65" i="3"/>
  <c r="AU73" i="3"/>
  <c r="AU74" i="3"/>
  <c r="CA64" i="3"/>
  <c r="M63" i="3"/>
  <c r="AC63" i="3"/>
  <c r="AS71" i="3"/>
  <c r="AS59" i="3"/>
  <c r="BI56" i="3"/>
  <c r="BY59" i="3"/>
  <c r="R57" i="3"/>
  <c r="AH59" i="3"/>
  <c r="AX71" i="3"/>
  <c r="AX56" i="3"/>
  <c r="BN58" i="3"/>
  <c r="CD65" i="3"/>
  <c r="AA59" i="3"/>
  <c r="AN58" i="3"/>
  <c r="CG91" i="3" l="1"/>
  <c r="CG92" i="3" s="1"/>
  <c r="CC91" i="3"/>
  <c r="CC92" i="3" s="1"/>
  <c r="BY91" i="3"/>
  <c r="BY92" i="3" s="1"/>
  <c r="BU91" i="3"/>
  <c r="BU92" i="3" s="1"/>
  <c r="BQ91" i="3"/>
  <c r="BQ92" i="3" s="1"/>
  <c r="BM91" i="3"/>
  <c r="BM92" i="3" s="1"/>
  <c r="BI91" i="3"/>
  <c r="BI92" i="3" s="1"/>
  <c r="BE91" i="3"/>
  <c r="BE92" i="3" s="1"/>
  <c r="BA91" i="3"/>
  <c r="BA92" i="3" s="1"/>
  <c r="AW91" i="3"/>
  <c r="AW92" i="3" s="1"/>
  <c r="AS91" i="3"/>
  <c r="AS92" i="3" s="1"/>
  <c r="AO91" i="3"/>
  <c r="AO92" i="3" s="1"/>
  <c r="AK91" i="3"/>
  <c r="AK92" i="3" s="1"/>
  <c r="AG91" i="3"/>
  <c r="AG92" i="3" s="1"/>
  <c r="AC91" i="3"/>
  <c r="AC92" i="3" s="1"/>
  <c r="Y91" i="3"/>
  <c r="Y92" i="3" s="1"/>
  <c r="U91" i="3"/>
  <c r="U92" i="3" s="1"/>
  <c r="Q91" i="3"/>
  <c r="Q92" i="3" s="1"/>
  <c r="M91" i="3"/>
  <c r="M92" i="3" s="1"/>
  <c r="I91" i="3"/>
  <c r="I92" i="3" s="1"/>
  <c r="E91" i="3"/>
  <c r="E92" i="3" s="1"/>
  <c r="CF91" i="3"/>
  <c r="CF92" i="3" s="1"/>
  <c r="CB91" i="3"/>
  <c r="CB92" i="3" s="1"/>
  <c r="BX91" i="3"/>
  <c r="BX92" i="3" s="1"/>
  <c r="BT91" i="3"/>
  <c r="BT92" i="3" s="1"/>
  <c r="BP91" i="3"/>
  <c r="BP92" i="3" s="1"/>
  <c r="BL91" i="3"/>
  <c r="BL92" i="3" s="1"/>
  <c r="BH91" i="3"/>
  <c r="BH92" i="3" s="1"/>
  <c r="BD91" i="3"/>
  <c r="BD92" i="3" s="1"/>
  <c r="AZ91" i="3"/>
  <c r="AZ92" i="3" s="1"/>
  <c r="AV91" i="3"/>
  <c r="AV92" i="3" s="1"/>
  <c r="AR91" i="3"/>
  <c r="AR92" i="3" s="1"/>
  <c r="AN91" i="3"/>
  <c r="AN92" i="3" s="1"/>
  <c r="AJ91" i="3"/>
  <c r="AJ92" i="3" s="1"/>
  <c r="AF91" i="3"/>
  <c r="AF92" i="3" s="1"/>
  <c r="AB91" i="3"/>
  <c r="AB92" i="3" s="1"/>
  <c r="X91" i="3"/>
  <c r="X92" i="3" s="1"/>
  <c r="T91" i="3"/>
  <c r="T92" i="3" s="1"/>
  <c r="P91" i="3"/>
  <c r="P92" i="3" s="1"/>
  <c r="L91" i="3"/>
  <c r="L92" i="3" s="1"/>
  <c r="H91" i="3"/>
  <c r="H92" i="3" s="1"/>
  <c r="CE91" i="3"/>
  <c r="CE92" i="3" s="1"/>
  <c r="BW91" i="3"/>
  <c r="BW92" i="3" s="1"/>
  <c r="BO91" i="3"/>
  <c r="BO92" i="3" s="1"/>
  <c r="BG91" i="3"/>
  <c r="BG92" i="3" s="1"/>
  <c r="AY91" i="3"/>
  <c r="AY92" i="3" s="1"/>
  <c r="AQ91" i="3"/>
  <c r="AQ92" i="3" s="1"/>
  <c r="AI91" i="3"/>
  <c r="AI92" i="3" s="1"/>
  <c r="AA91" i="3"/>
  <c r="AA92" i="3" s="1"/>
  <c r="S91" i="3"/>
  <c r="S92" i="3" s="1"/>
  <c r="K91" i="3"/>
  <c r="K92" i="3" s="1"/>
  <c r="D91" i="3"/>
  <c r="D92" i="3" s="1"/>
  <c r="CD91" i="3"/>
  <c r="CD92" i="3" s="1"/>
  <c r="BV91" i="3"/>
  <c r="BV92" i="3" s="1"/>
  <c r="BN91" i="3"/>
  <c r="BN92" i="3" s="1"/>
  <c r="BF91" i="3"/>
  <c r="BF92" i="3" s="1"/>
  <c r="AX91" i="3"/>
  <c r="AX92" i="3" s="1"/>
  <c r="AP91" i="3"/>
  <c r="AP92" i="3" s="1"/>
  <c r="AH91" i="3"/>
  <c r="AH92" i="3" s="1"/>
  <c r="Z91" i="3"/>
  <c r="Z92" i="3" s="1"/>
  <c r="R91" i="3"/>
  <c r="R92" i="3" s="1"/>
  <c r="J91" i="3"/>
  <c r="J92" i="3" s="1"/>
  <c r="C91" i="3"/>
  <c r="C92" i="3" s="1"/>
  <c r="BS91" i="3"/>
  <c r="BS92" i="3" s="1"/>
  <c r="BC91" i="3"/>
  <c r="BC92" i="3" s="1"/>
  <c r="AM91" i="3"/>
  <c r="AM92" i="3" s="1"/>
  <c r="W91" i="3"/>
  <c r="W92" i="3" s="1"/>
  <c r="G91" i="3"/>
  <c r="G92" i="3" s="1"/>
  <c r="CH91" i="3"/>
  <c r="CH92" i="3" s="1"/>
  <c r="BR91" i="3"/>
  <c r="BR92" i="3" s="1"/>
  <c r="BB91" i="3"/>
  <c r="BB92" i="3" s="1"/>
  <c r="AL91" i="3"/>
  <c r="AL92" i="3" s="1"/>
  <c r="V91" i="3"/>
  <c r="V92" i="3" s="1"/>
  <c r="F91" i="3"/>
  <c r="F92" i="3" s="1"/>
  <c r="BK91" i="3"/>
  <c r="BK92" i="3" s="1"/>
  <c r="AE91" i="3"/>
  <c r="AE92" i="3" s="1"/>
  <c r="B91" i="3"/>
  <c r="B92" i="3" s="1"/>
  <c r="BJ91" i="3"/>
  <c r="BJ92" i="3" s="1"/>
  <c r="AD91" i="3"/>
  <c r="AD92" i="3" s="1"/>
  <c r="AT91" i="3"/>
  <c r="AT92" i="3" s="1"/>
  <c r="BZ91" i="3"/>
  <c r="BZ92" i="3" s="1"/>
  <c r="N91" i="3"/>
  <c r="N92" i="3" s="1"/>
  <c r="O91" i="3"/>
  <c r="O92" i="3" s="1"/>
  <c r="CA91" i="3"/>
  <c r="CA92" i="3" s="1"/>
  <c r="AU91" i="3"/>
  <c r="AU92" i="3" s="1"/>
  <c r="CG95" i="3"/>
  <c r="CG96" i="3" s="1"/>
  <c r="CC95" i="3"/>
  <c r="CC96" i="3" s="1"/>
  <c r="BY95" i="3"/>
  <c r="BY96" i="3" s="1"/>
  <c r="BU95" i="3"/>
  <c r="BU96" i="3" s="1"/>
  <c r="BQ95" i="3"/>
  <c r="BQ96" i="3" s="1"/>
  <c r="BM95" i="3"/>
  <c r="BM96" i="3" s="1"/>
  <c r="BI95" i="3"/>
  <c r="BI96" i="3" s="1"/>
  <c r="BE95" i="3"/>
  <c r="BE96" i="3" s="1"/>
  <c r="BA95" i="3"/>
  <c r="BA96" i="3" s="1"/>
  <c r="AW95" i="3"/>
  <c r="AW96" i="3" s="1"/>
  <c r="AS95" i="3"/>
  <c r="AS96" i="3" s="1"/>
  <c r="AO95" i="3"/>
  <c r="AO96" i="3" s="1"/>
  <c r="AK95" i="3"/>
  <c r="AK96" i="3" s="1"/>
  <c r="AG95" i="3"/>
  <c r="AG96" i="3" s="1"/>
  <c r="AC95" i="3"/>
  <c r="AC96" i="3" s="1"/>
  <c r="Y95" i="3"/>
  <c r="Y96" i="3" s="1"/>
  <c r="U95" i="3"/>
  <c r="U96" i="3" s="1"/>
  <c r="Q95" i="3"/>
  <c r="Q96" i="3" s="1"/>
  <c r="M95" i="3"/>
  <c r="M96" i="3" s="1"/>
  <c r="I95" i="3"/>
  <c r="I96" i="3" s="1"/>
  <c r="E95" i="3"/>
  <c r="E96" i="3" s="1"/>
  <c r="CF95" i="3"/>
  <c r="CF96" i="3" s="1"/>
  <c r="CB95" i="3"/>
  <c r="CB96" i="3" s="1"/>
  <c r="BX95" i="3"/>
  <c r="BX96" i="3" s="1"/>
  <c r="BT95" i="3"/>
  <c r="BT96" i="3" s="1"/>
  <c r="BP95" i="3"/>
  <c r="BP96" i="3" s="1"/>
  <c r="BL95" i="3"/>
  <c r="BL96" i="3" s="1"/>
  <c r="BH95" i="3"/>
  <c r="BH96" i="3" s="1"/>
  <c r="BD95" i="3"/>
  <c r="BD96" i="3" s="1"/>
  <c r="AZ95" i="3"/>
  <c r="AZ96" i="3" s="1"/>
  <c r="AV95" i="3"/>
  <c r="AV96" i="3" s="1"/>
  <c r="AR95" i="3"/>
  <c r="AR96" i="3" s="1"/>
  <c r="AN95" i="3"/>
  <c r="AN96" i="3" s="1"/>
  <c r="AJ95" i="3"/>
  <c r="AJ96" i="3" s="1"/>
  <c r="AF95" i="3"/>
  <c r="AF96" i="3" s="1"/>
  <c r="AB95" i="3"/>
  <c r="AB96" i="3" s="1"/>
  <c r="X95" i="3"/>
  <c r="X96" i="3" s="1"/>
  <c r="T95" i="3"/>
  <c r="T96" i="3" s="1"/>
  <c r="P95" i="3"/>
  <c r="P96" i="3" s="1"/>
  <c r="L95" i="3"/>
  <c r="L96" i="3" s="1"/>
  <c r="H95" i="3"/>
  <c r="H96" i="3" s="1"/>
  <c r="D95" i="3"/>
  <c r="D96" i="3" s="1"/>
  <c r="CH95" i="3"/>
  <c r="CH96" i="3" s="1"/>
  <c r="BZ95" i="3"/>
  <c r="BZ96" i="3" s="1"/>
  <c r="BR95" i="3"/>
  <c r="BR96" i="3" s="1"/>
  <c r="BJ95" i="3"/>
  <c r="BJ96" i="3" s="1"/>
  <c r="BB95" i="3"/>
  <c r="BB96" i="3" s="1"/>
  <c r="AT95" i="3"/>
  <c r="AT96" i="3" s="1"/>
  <c r="AL95" i="3"/>
  <c r="AL96" i="3" s="1"/>
  <c r="AD95" i="3"/>
  <c r="AD96" i="3" s="1"/>
  <c r="V95" i="3"/>
  <c r="V96" i="3" s="1"/>
  <c r="N95" i="3"/>
  <c r="N96" i="3" s="1"/>
  <c r="F95" i="3"/>
  <c r="F96" i="3" s="1"/>
  <c r="CE95" i="3"/>
  <c r="CE96" i="3" s="1"/>
  <c r="BW95" i="3"/>
  <c r="BW96" i="3" s="1"/>
  <c r="BO95" i="3"/>
  <c r="BO96" i="3" s="1"/>
  <c r="BG95" i="3"/>
  <c r="BG96" i="3" s="1"/>
  <c r="AY95" i="3"/>
  <c r="AY96" i="3" s="1"/>
  <c r="AQ95" i="3"/>
  <c r="AQ96" i="3" s="1"/>
  <c r="AI95" i="3"/>
  <c r="AI96" i="3" s="1"/>
  <c r="AA95" i="3"/>
  <c r="AA96" i="3" s="1"/>
  <c r="S95" i="3"/>
  <c r="S96" i="3" s="1"/>
  <c r="K95" i="3"/>
  <c r="K96" i="3" s="1"/>
  <c r="C95" i="3"/>
  <c r="C96" i="3" s="1"/>
  <c r="CA95" i="3"/>
  <c r="CA96" i="3" s="1"/>
  <c r="BK95" i="3"/>
  <c r="BK96" i="3" s="1"/>
  <c r="AU95" i="3"/>
  <c r="AU96" i="3" s="1"/>
  <c r="AE95" i="3"/>
  <c r="AE96" i="3" s="1"/>
  <c r="O95" i="3"/>
  <c r="O96" i="3" s="1"/>
  <c r="BV95" i="3"/>
  <c r="BV96" i="3" s="1"/>
  <c r="BF95" i="3"/>
  <c r="BF96" i="3" s="1"/>
  <c r="AP95" i="3"/>
  <c r="AP96" i="3" s="1"/>
  <c r="Z95" i="3"/>
  <c r="Z96" i="3" s="1"/>
  <c r="J95" i="3"/>
  <c r="J96" i="3" s="1"/>
  <c r="CD95" i="3"/>
  <c r="CD96" i="3" s="1"/>
  <c r="AX95" i="3"/>
  <c r="AX96" i="3" s="1"/>
  <c r="R95" i="3"/>
  <c r="R96" i="3" s="1"/>
  <c r="BS95" i="3"/>
  <c r="BS96" i="3" s="1"/>
  <c r="AM95" i="3"/>
  <c r="AM96" i="3" s="1"/>
  <c r="G95" i="3"/>
  <c r="G96" i="3" s="1"/>
  <c r="BC95" i="3"/>
  <c r="BC96" i="3" s="1"/>
  <c r="AH95" i="3"/>
  <c r="AH96" i="3" s="1"/>
  <c r="W95" i="3"/>
  <c r="W96" i="3" s="1"/>
  <c r="BN95" i="3"/>
  <c r="BN96" i="3" s="1"/>
  <c r="B95" i="3"/>
  <c r="B96" i="3" s="1"/>
  <c r="R2" i="3" l="1"/>
  <c r="CX2" i="3"/>
  <c r="AG2" i="3"/>
  <c r="DM2" i="3"/>
  <c r="BN2" i="3"/>
  <c r="ET2" i="3"/>
  <c r="BE2" i="3"/>
  <c r="EK2" i="3"/>
  <c r="DF2" i="3"/>
  <c r="Z2" i="3"/>
  <c r="F2" i="3"/>
  <c r="CL2" i="3"/>
  <c r="DQ2" i="3"/>
  <c r="AK2" i="3"/>
  <c r="EW2" i="3"/>
  <c r="BQ2" i="3"/>
  <c r="N2" i="3"/>
  <c r="CT2" i="3"/>
  <c r="AT2" i="3"/>
  <c r="DZ2" i="3"/>
  <c r="BZ2" i="3"/>
  <c r="FF2" i="3"/>
  <c r="CY2" i="3"/>
  <c r="S2" i="3"/>
  <c r="DO2" i="3"/>
  <c r="AI2" i="3"/>
  <c r="EE2" i="3"/>
  <c r="AY2" i="3"/>
  <c r="EU2" i="3"/>
  <c r="BO2" i="3"/>
  <c r="FK2" i="3"/>
  <c r="CE2" i="3"/>
  <c r="CV2" i="3"/>
  <c r="P2" i="3"/>
  <c r="DL2" i="3"/>
  <c r="AF2" i="3"/>
  <c r="EB2" i="3"/>
  <c r="AV2" i="3"/>
  <c r="ER2" i="3"/>
  <c r="BL2" i="3"/>
  <c r="FH2" i="3"/>
  <c r="CB2" i="3"/>
  <c r="Q2" i="3"/>
  <c r="CW2" i="3"/>
  <c r="BM2" i="3"/>
  <c r="ES2" i="3"/>
  <c r="I2" i="3"/>
  <c r="CO2" i="3"/>
  <c r="BU2" i="3"/>
  <c r="FA2" i="3"/>
  <c r="DV2" i="3"/>
  <c r="AP2" i="3"/>
  <c r="M2" i="3"/>
  <c r="CS2" i="3"/>
  <c r="AS2" i="3"/>
  <c r="DY2" i="3"/>
  <c r="BY2" i="3"/>
  <c r="FE2" i="3"/>
  <c r="V2" i="3"/>
  <c r="DB2" i="3"/>
  <c r="BB2" i="3"/>
  <c r="EH2" i="3"/>
  <c r="CH2" i="3"/>
  <c r="FN2" i="3"/>
  <c r="DC2" i="3"/>
  <c r="W2" i="3"/>
  <c r="DS2" i="3"/>
  <c r="AM2" i="3"/>
  <c r="EI2" i="3"/>
  <c r="BC2" i="3"/>
  <c r="EY2" i="3"/>
  <c r="BS2" i="3"/>
  <c r="FO2" i="3"/>
  <c r="CI2" i="3"/>
  <c r="T2" i="3"/>
  <c r="CZ2" i="3"/>
  <c r="AJ2" i="3"/>
  <c r="DP2" i="3"/>
  <c r="AZ2" i="3"/>
  <c r="EF2" i="3"/>
  <c r="BP2" i="3"/>
  <c r="EV2" i="3"/>
  <c r="CF2" i="3"/>
  <c r="FL2" i="3"/>
  <c r="AX2" i="3"/>
  <c r="ED2" i="3"/>
  <c r="CC2" i="3"/>
  <c r="FI2" i="3"/>
  <c r="Y2" i="3"/>
  <c r="DE2" i="3"/>
  <c r="CK2" i="3"/>
  <c r="FQ2" i="3"/>
  <c r="EL2" i="3"/>
  <c r="BF2" i="3"/>
  <c r="DA2" i="3"/>
  <c r="U2" i="3"/>
  <c r="EG2" i="3"/>
  <c r="BA2" i="3"/>
  <c r="FM2" i="3"/>
  <c r="CG2" i="3"/>
  <c r="AD2" i="3"/>
  <c r="DJ2" i="3"/>
  <c r="BJ2" i="3"/>
  <c r="EP2" i="3"/>
  <c r="CQ2" i="3"/>
  <c r="K2" i="3"/>
  <c r="DG2" i="3"/>
  <c r="AA2" i="3"/>
  <c r="DW2" i="3"/>
  <c r="AQ2" i="3"/>
  <c r="EM2" i="3"/>
  <c r="BG2" i="3"/>
  <c r="FC2" i="3"/>
  <c r="BW2" i="3"/>
  <c r="H2" i="3"/>
  <c r="CN2" i="3"/>
  <c r="X2" i="3"/>
  <c r="DD2" i="3"/>
  <c r="AN2" i="3"/>
  <c r="DT2" i="3"/>
  <c r="BD2" i="3"/>
  <c r="EJ2" i="3"/>
  <c r="BT2" i="3"/>
  <c r="EZ2" i="3"/>
  <c r="CJ2" i="3"/>
  <c r="FP2" i="3"/>
  <c r="CD2" i="3"/>
  <c r="FJ2" i="3"/>
  <c r="AW2" i="3"/>
  <c r="EC2" i="3"/>
  <c r="AH2" i="3"/>
  <c r="DN2" i="3"/>
  <c r="AO2" i="3"/>
  <c r="DU2" i="3"/>
  <c r="CP2" i="3"/>
  <c r="J2" i="3"/>
  <c r="FB2" i="3"/>
  <c r="BV2" i="3"/>
  <c r="AC2" i="3"/>
  <c r="DI2" i="3"/>
  <c r="BI2" i="3"/>
  <c r="EO2" i="3"/>
  <c r="CM2" i="3"/>
  <c r="G2" i="3"/>
  <c r="AL2" i="3"/>
  <c r="DR2" i="3"/>
  <c r="BR2" i="3"/>
  <c r="EX2" i="3"/>
  <c r="CU2" i="3"/>
  <c r="O2" i="3"/>
  <c r="DK2" i="3"/>
  <c r="AE2" i="3"/>
  <c r="EA2" i="3"/>
  <c r="AU2" i="3"/>
  <c r="EQ2" i="3"/>
  <c r="BK2" i="3"/>
  <c r="FG2" i="3"/>
  <c r="CA2" i="3"/>
  <c r="L2" i="3"/>
  <c r="CR2" i="3"/>
  <c r="AB2" i="3"/>
  <c r="DH2" i="3"/>
  <c r="AR2" i="3"/>
  <c r="DX2" i="3"/>
  <c r="BH2" i="3"/>
  <c r="EN2" i="3"/>
  <c r="BX2" i="3"/>
  <c r="FD2" i="3"/>
  <c r="R22" i="3"/>
  <c r="R27" i="3"/>
  <c r="R31" i="3"/>
  <c r="R12" i="3"/>
  <c r="R29" i="3"/>
  <c r="R33" i="3"/>
  <c r="R10" i="3"/>
  <c r="R11" i="3"/>
  <c r="R34" i="3"/>
  <c r="R4" i="3"/>
  <c r="R9" i="3"/>
  <c r="R28" i="3"/>
  <c r="R30" i="3"/>
  <c r="R21" i="3"/>
  <c r="R26" i="3"/>
  <c r="R32" i="3"/>
  <c r="R25" i="3"/>
  <c r="R20" i="3"/>
  <c r="R35" i="3"/>
  <c r="R5" i="3"/>
  <c r="R24" i="3"/>
  <c r="R7" i="3"/>
  <c r="R17" i="3"/>
  <c r="R14" i="3"/>
  <c r="R15" i="3"/>
  <c r="BN27" i="3"/>
  <c r="BN32" i="3"/>
  <c r="BN28" i="3"/>
  <c r="BN25" i="3"/>
  <c r="BN29" i="3"/>
  <c r="BN10" i="3"/>
  <c r="BN12" i="3"/>
  <c r="BN35" i="3"/>
  <c r="BN5" i="3"/>
  <c r="BN4" i="3"/>
  <c r="BN34" i="3"/>
  <c r="BN31" i="3"/>
  <c r="BN11" i="3"/>
  <c r="BN22" i="3"/>
  <c r="BN26" i="3"/>
  <c r="BN30" i="3"/>
  <c r="BN20" i="3"/>
  <c r="BN33" i="3"/>
  <c r="BN9" i="3"/>
  <c r="BN24" i="3"/>
  <c r="BN21" i="3"/>
  <c r="BN7" i="3"/>
  <c r="BN17" i="3"/>
  <c r="BN14" i="3"/>
  <c r="BN15" i="3"/>
  <c r="N25" i="3"/>
  <c r="N34" i="3"/>
  <c r="N9" i="3"/>
  <c r="N29" i="3"/>
  <c r="N26" i="3"/>
  <c r="N5" i="3"/>
  <c r="N12" i="3"/>
  <c r="N32" i="3"/>
  <c r="N33" i="3"/>
  <c r="N22" i="3"/>
  <c r="N21" i="3"/>
  <c r="N35" i="3"/>
  <c r="N24" i="3"/>
  <c r="N30" i="3"/>
  <c r="N20" i="3"/>
  <c r="N28" i="3"/>
  <c r="N10" i="3"/>
  <c r="N31" i="3"/>
  <c r="N11" i="3"/>
  <c r="N27" i="3"/>
  <c r="N4" i="3"/>
  <c r="N7" i="3"/>
  <c r="N17" i="3"/>
  <c r="N14" i="3"/>
  <c r="N15" i="3"/>
  <c r="BZ31" i="3"/>
  <c r="BZ10" i="3"/>
  <c r="BZ5" i="3"/>
  <c r="BZ20" i="3"/>
  <c r="BZ30" i="3"/>
  <c r="BZ29" i="3"/>
  <c r="BZ26" i="3"/>
  <c r="BZ22" i="3"/>
  <c r="BZ34" i="3"/>
  <c r="BZ24" i="3"/>
  <c r="BZ11" i="3"/>
  <c r="BZ9" i="3"/>
  <c r="BZ27" i="3"/>
  <c r="BZ28" i="3"/>
  <c r="BZ33" i="3"/>
  <c r="BZ21" i="3"/>
  <c r="BZ35" i="3"/>
  <c r="BZ12" i="3"/>
  <c r="BZ25" i="3"/>
  <c r="BZ4" i="3"/>
  <c r="BZ32" i="3"/>
  <c r="BZ7" i="3"/>
  <c r="BZ17" i="3"/>
  <c r="BZ14" i="3"/>
  <c r="BZ15" i="3"/>
  <c r="BM10" i="3"/>
  <c r="BM28" i="3"/>
  <c r="BM21" i="3"/>
  <c r="BM25" i="3"/>
  <c r="BM33" i="3"/>
  <c r="BM9" i="3"/>
  <c r="BM29" i="3"/>
  <c r="BM27" i="3"/>
  <c r="BM12" i="3"/>
  <c r="BM31" i="3"/>
  <c r="BM35" i="3"/>
  <c r="BM32" i="3"/>
  <c r="BM4" i="3"/>
  <c r="BM34" i="3"/>
  <c r="BM22" i="3"/>
  <c r="BM24" i="3"/>
  <c r="BM26" i="3"/>
  <c r="BM11" i="3"/>
  <c r="BM30" i="3"/>
  <c r="BM20" i="3"/>
  <c r="BM5" i="3"/>
  <c r="BM7" i="3"/>
  <c r="BM17" i="3"/>
  <c r="BM14" i="3"/>
  <c r="BM15" i="3"/>
  <c r="BU30" i="3"/>
  <c r="BU10" i="3"/>
  <c r="BU33" i="3"/>
  <c r="BU21" i="3"/>
  <c r="BU22" i="3"/>
  <c r="BU32" i="3"/>
  <c r="BU11" i="3"/>
  <c r="BU25" i="3"/>
  <c r="BU34" i="3"/>
  <c r="BU9" i="3"/>
  <c r="BU27" i="3"/>
  <c r="BU31" i="3"/>
  <c r="BU24" i="3"/>
  <c r="BU35" i="3"/>
  <c r="BU12" i="3"/>
  <c r="BU26" i="3"/>
  <c r="BU20" i="3"/>
  <c r="BU29" i="3"/>
  <c r="BU28" i="3"/>
  <c r="BU4" i="3"/>
  <c r="BU5" i="3"/>
  <c r="BU17" i="3"/>
  <c r="BU14" i="3"/>
  <c r="BU7" i="3"/>
  <c r="BU15" i="3"/>
  <c r="M33" i="3"/>
  <c r="M10" i="3"/>
  <c r="M22" i="3"/>
  <c r="M25" i="3"/>
  <c r="M5" i="3"/>
  <c r="M31" i="3"/>
  <c r="M30" i="3"/>
  <c r="M12" i="3"/>
  <c r="M11" i="3"/>
  <c r="M24" i="3"/>
  <c r="M9" i="3"/>
  <c r="M27" i="3"/>
  <c r="M4" i="3"/>
  <c r="M34" i="3"/>
  <c r="M20" i="3"/>
  <c r="M21" i="3"/>
  <c r="M35" i="3"/>
  <c r="M32" i="3"/>
  <c r="M29" i="3"/>
  <c r="M26" i="3"/>
  <c r="M28" i="3"/>
  <c r="M7" i="3"/>
  <c r="M17" i="3"/>
  <c r="M14" i="3"/>
  <c r="M15" i="3"/>
  <c r="BY35" i="3"/>
  <c r="BY29" i="3"/>
  <c r="BY5" i="3"/>
  <c r="BY33" i="3"/>
  <c r="BY31" i="3"/>
  <c r="BY9" i="3"/>
  <c r="BY11" i="3"/>
  <c r="BY25" i="3"/>
  <c r="BY32" i="3"/>
  <c r="BY21" i="3"/>
  <c r="BY34" i="3"/>
  <c r="BY30" i="3"/>
  <c r="BY20" i="3"/>
  <c r="BY22" i="3"/>
  <c r="BY24" i="3"/>
  <c r="BY12" i="3"/>
  <c r="BY28" i="3"/>
  <c r="BY27" i="3"/>
  <c r="BY26" i="3"/>
  <c r="BY10" i="3"/>
  <c r="BY4" i="3"/>
  <c r="BY7" i="3"/>
  <c r="BY17" i="3"/>
  <c r="BY14" i="3"/>
  <c r="BY15" i="3"/>
  <c r="BB20" i="3"/>
  <c r="BB27" i="3"/>
  <c r="BB21" i="3"/>
  <c r="BB33" i="3"/>
  <c r="BB31" i="3"/>
  <c r="BB32" i="3"/>
  <c r="BB30" i="3"/>
  <c r="BB11" i="3"/>
  <c r="BB35" i="3"/>
  <c r="BB12" i="3"/>
  <c r="BB25" i="3"/>
  <c r="BB10" i="3"/>
  <c r="BB4" i="3"/>
  <c r="BB26" i="3"/>
  <c r="BB9" i="3"/>
  <c r="BB24" i="3"/>
  <c r="BB29" i="3"/>
  <c r="BB5" i="3"/>
  <c r="BB28" i="3"/>
  <c r="BB34" i="3"/>
  <c r="BB22" i="3"/>
  <c r="BB7" i="3"/>
  <c r="BB17" i="3"/>
  <c r="BB14" i="3"/>
  <c r="BB15" i="3"/>
  <c r="AJ12" i="3"/>
  <c r="AJ22" i="3"/>
  <c r="AJ29" i="3"/>
  <c r="AJ30" i="3"/>
  <c r="AJ35" i="3"/>
  <c r="AJ10" i="3"/>
  <c r="AJ11" i="3"/>
  <c r="AJ33" i="3"/>
  <c r="AJ5" i="3"/>
  <c r="AJ28" i="3"/>
  <c r="AJ34" i="3"/>
  <c r="AJ25" i="3"/>
  <c r="AJ21" i="3"/>
  <c r="AJ27" i="3"/>
  <c r="AJ24" i="3"/>
  <c r="AJ20" i="3"/>
  <c r="AJ32" i="3"/>
  <c r="AJ4" i="3"/>
  <c r="AJ31" i="3"/>
  <c r="AJ9" i="3"/>
  <c r="AJ26" i="3"/>
  <c r="AJ14" i="3"/>
  <c r="AJ15" i="3"/>
  <c r="AJ7" i="3"/>
  <c r="AJ17" i="3"/>
  <c r="BP25" i="3"/>
  <c r="BP27" i="3"/>
  <c r="BP12" i="3"/>
  <c r="BP34" i="3"/>
  <c r="BP10" i="3"/>
  <c r="BP32" i="3"/>
  <c r="BP33" i="3"/>
  <c r="BP26" i="3"/>
  <c r="BP35" i="3"/>
  <c r="BP5" i="3"/>
  <c r="BP30" i="3"/>
  <c r="BP28" i="3"/>
  <c r="BP9" i="3"/>
  <c r="BP20" i="3"/>
  <c r="BP22" i="3"/>
  <c r="BP4" i="3"/>
  <c r="BP29" i="3"/>
  <c r="BP24" i="3"/>
  <c r="BP11" i="3"/>
  <c r="BP31" i="3"/>
  <c r="BP21" i="3"/>
  <c r="BP14" i="3"/>
  <c r="BP15" i="3"/>
  <c r="BP7" i="3"/>
  <c r="BP17" i="3"/>
  <c r="AX33" i="3"/>
  <c r="AX9" i="3"/>
  <c r="AX27" i="3"/>
  <c r="AX25" i="3"/>
  <c r="AX31" i="3"/>
  <c r="AX12" i="3"/>
  <c r="AX32" i="3"/>
  <c r="AX20" i="3"/>
  <c r="AX4" i="3"/>
  <c r="AX35" i="3"/>
  <c r="AX29" i="3"/>
  <c r="AX24" i="3"/>
  <c r="AX21" i="3"/>
  <c r="AX30" i="3"/>
  <c r="AX5" i="3"/>
  <c r="AX11" i="3"/>
  <c r="AX28" i="3"/>
  <c r="AX22" i="3"/>
  <c r="AX34" i="3"/>
  <c r="AX26" i="3"/>
  <c r="AX10" i="3"/>
  <c r="AX7" i="3"/>
  <c r="AX17" i="3"/>
  <c r="AX14" i="3"/>
  <c r="AX15" i="3"/>
  <c r="Y34" i="3"/>
  <c r="Y27" i="3"/>
  <c r="Y20" i="3"/>
  <c r="Y21" i="3"/>
  <c r="Y33" i="3"/>
  <c r="Y29" i="3"/>
  <c r="Y10" i="3"/>
  <c r="Y4" i="3"/>
  <c r="Y35" i="3"/>
  <c r="Y11" i="3"/>
  <c r="Y28" i="3"/>
  <c r="Y30" i="3"/>
  <c r="Y25" i="3"/>
  <c r="Y24" i="3"/>
  <c r="Y32" i="3"/>
  <c r="Y9" i="3"/>
  <c r="Y12" i="3"/>
  <c r="Y26" i="3"/>
  <c r="Y31" i="3"/>
  <c r="Y22" i="3"/>
  <c r="Y5" i="3"/>
  <c r="Y17" i="3"/>
  <c r="Y14" i="3"/>
  <c r="Y7" i="3"/>
  <c r="Y15" i="3"/>
  <c r="AD29" i="3"/>
  <c r="AD11" i="3"/>
  <c r="AD30" i="3"/>
  <c r="AD20" i="3"/>
  <c r="AD4" i="3"/>
  <c r="AD26" i="3"/>
  <c r="AD35" i="3"/>
  <c r="AD22" i="3"/>
  <c r="AD5" i="3"/>
  <c r="AD33" i="3"/>
  <c r="AD21" i="3"/>
  <c r="AD27" i="3"/>
  <c r="AD31" i="3"/>
  <c r="AD12" i="3"/>
  <c r="AD34" i="3"/>
  <c r="AD9" i="3"/>
  <c r="AD10" i="3"/>
  <c r="AD24" i="3"/>
  <c r="AD25" i="3"/>
  <c r="AD32" i="3"/>
  <c r="AD28" i="3"/>
  <c r="AD7" i="3"/>
  <c r="AD17" i="3"/>
  <c r="AD14" i="3"/>
  <c r="AD15" i="3"/>
  <c r="X21" i="3"/>
  <c r="X5" i="3"/>
  <c r="X10" i="3"/>
  <c r="X20" i="3"/>
  <c r="X24" i="3"/>
  <c r="X35" i="3"/>
  <c r="X25" i="3"/>
  <c r="X32" i="3"/>
  <c r="X27" i="3"/>
  <c r="X11" i="3"/>
  <c r="X9" i="3"/>
  <c r="X29" i="3"/>
  <c r="X26" i="3"/>
  <c r="X28" i="3"/>
  <c r="X34" i="3"/>
  <c r="X22" i="3"/>
  <c r="X33" i="3"/>
  <c r="X12" i="3"/>
  <c r="X30" i="3"/>
  <c r="X4" i="3"/>
  <c r="X31" i="3"/>
  <c r="X14" i="3"/>
  <c r="X15" i="3"/>
  <c r="X7" i="3"/>
  <c r="X17" i="3"/>
  <c r="BD24" i="3"/>
  <c r="BD22" i="3"/>
  <c r="BD31" i="3"/>
  <c r="BD9" i="3"/>
  <c r="BD27" i="3"/>
  <c r="BD10" i="3"/>
  <c r="BD32" i="3"/>
  <c r="BD5" i="3"/>
  <c r="BD26" i="3"/>
  <c r="BD33" i="3"/>
  <c r="BD4" i="3"/>
  <c r="BD34" i="3"/>
  <c r="BD12" i="3"/>
  <c r="BD35" i="3"/>
  <c r="BD21" i="3"/>
  <c r="BD29" i="3"/>
  <c r="BD25" i="3"/>
  <c r="BD30" i="3"/>
  <c r="BD28" i="3"/>
  <c r="BD11" i="3"/>
  <c r="BD20" i="3"/>
  <c r="BD14" i="3"/>
  <c r="BD15" i="3"/>
  <c r="BD7" i="3"/>
  <c r="BD17" i="3"/>
  <c r="CJ26" i="3"/>
  <c r="CJ33" i="3"/>
  <c r="CJ21" i="3"/>
  <c r="CJ5" i="3"/>
  <c r="CJ4" i="3"/>
  <c r="CJ22" i="3"/>
  <c r="CJ25" i="3"/>
  <c r="CJ12" i="3"/>
  <c r="CJ28" i="3"/>
  <c r="CJ30" i="3"/>
  <c r="CJ10" i="3"/>
  <c r="CJ11" i="3"/>
  <c r="CJ29" i="3"/>
  <c r="CJ9" i="3"/>
  <c r="CJ20" i="3"/>
  <c r="CJ34" i="3"/>
  <c r="CJ32" i="3"/>
  <c r="CJ27" i="3"/>
  <c r="CJ35" i="3"/>
  <c r="CJ31" i="3"/>
  <c r="CJ24" i="3"/>
  <c r="CJ14" i="3"/>
  <c r="CJ15" i="3"/>
  <c r="CJ7" i="3"/>
  <c r="CJ17" i="3"/>
  <c r="AW34" i="3"/>
  <c r="AW9" i="3"/>
  <c r="AW11" i="3"/>
  <c r="AW27" i="3"/>
  <c r="AW22" i="3"/>
  <c r="AW5" i="3"/>
  <c r="AW30" i="3"/>
  <c r="AW25" i="3"/>
  <c r="AW10" i="3"/>
  <c r="AW26" i="3"/>
  <c r="AW12" i="3"/>
  <c r="AW4" i="3"/>
  <c r="AW32" i="3"/>
  <c r="AW33" i="3"/>
  <c r="AW20" i="3"/>
  <c r="AW21" i="3"/>
  <c r="AW35" i="3"/>
  <c r="AW28" i="3"/>
  <c r="AW31" i="3"/>
  <c r="AW29" i="3"/>
  <c r="AW24" i="3"/>
  <c r="AW7" i="3"/>
  <c r="AW17" i="3"/>
  <c r="AW14" i="3"/>
  <c r="AW15" i="3"/>
  <c r="AO20" i="3"/>
  <c r="AO32" i="3"/>
  <c r="AO30" i="3"/>
  <c r="AO9" i="3"/>
  <c r="AO21" i="3"/>
  <c r="AO35" i="3"/>
  <c r="AO12" i="3"/>
  <c r="AO33" i="3"/>
  <c r="AO29" i="3"/>
  <c r="AO24" i="3"/>
  <c r="AO26" i="3"/>
  <c r="AO25" i="3"/>
  <c r="AO11" i="3"/>
  <c r="AO27" i="3"/>
  <c r="AO4" i="3"/>
  <c r="AO5" i="3"/>
  <c r="AO34" i="3"/>
  <c r="AO28" i="3"/>
  <c r="AO22" i="3"/>
  <c r="AO31" i="3"/>
  <c r="AO10" i="3"/>
  <c r="AO17" i="3"/>
  <c r="AO14" i="3"/>
  <c r="AO7" i="3"/>
  <c r="AO15" i="3"/>
  <c r="BI27" i="3"/>
  <c r="BI29" i="3"/>
  <c r="BI22" i="3"/>
  <c r="BI24" i="3"/>
  <c r="BI25" i="3"/>
  <c r="BI32" i="3"/>
  <c r="BI26" i="3"/>
  <c r="BI12" i="3"/>
  <c r="BI35" i="3"/>
  <c r="BI11" i="3"/>
  <c r="BI4" i="3"/>
  <c r="BI21" i="3"/>
  <c r="BI20" i="3"/>
  <c r="BI31" i="3"/>
  <c r="BI9" i="3"/>
  <c r="BI10" i="3"/>
  <c r="BI30" i="3"/>
  <c r="BI33" i="3"/>
  <c r="BI34" i="3"/>
  <c r="BI5" i="3"/>
  <c r="BI28" i="3"/>
  <c r="BI7" i="3"/>
  <c r="BI17" i="3"/>
  <c r="BI14" i="3"/>
  <c r="BI15" i="3"/>
  <c r="AL24" i="3"/>
  <c r="AL28" i="3"/>
  <c r="AL11" i="3"/>
  <c r="AL33" i="3"/>
  <c r="AL9" i="3"/>
  <c r="AL32" i="3"/>
  <c r="AL22" i="3"/>
  <c r="AL25" i="3"/>
  <c r="AL34" i="3"/>
  <c r="AL4" i="3"/>
  <c r="AL30" i="3"/>
  <c r="AL12" i="3"/>
  <c r="AL31" i="3"/>
  <c r="AL20" i="3"/>
  <c r="AL10" i="3"/>
  <c r="AL26" i="3"/>
  <c r="AL35" i="3"/>
  <c r="AL5" i="3"/>
  <c r="AL21" i="3"/>
  <c r="AL29" i="3"/>
  <c r="AL27" i="3"/>
  <c r="AL7" i="3"/>
  <c r="AL17" i="3"/>
  <c r="AL14" i="3"/>
  <c r="AL15" i="3"/>
  <c r="AB29" i="3"/>
  <c r="AB20" i="3"/>
  <c r="AB4" i="3"/>
  <c r="AB33" i="3"/>
  <c r="AB12" i="3"/>
  <c r="AB24" i="3"/>
  <c r="AB27" i="3"/>
  <c r="AB11" i="3"/>
  <c r="AB31" i="3"/>
  <c r="AB26" i="3"/>
  <c r="AB32" i="3"/>
  <c r="AB10" i="3"/>
  <c r="AB28" i="3"/>
  <c r="AB34" i="3"/>
  <c r="AB21" i="3"/>
  <c r="AB35" i="3"/>
  <c r="AB30" i="3"/>
  <c r="AB9" i="3"/>
  <c r="AB25" i="3"/>
  <c r="AB22" i="3"/>
  <c r="AB5" i="3"/>
  <c r="AB14" i="3"/>
  <c r="AB15" i="3"/>
  <c r="AB7" i="3"/>
  <c r="AB17" i="3"/>
  <c r="BH33" i="3"/>
  <c r="BH12" i="3"/>
  <c r="BH4" i="3"/>
  <c r="BH22" i="3"/>
  <c r="BH9" i="3"/>
  <c r="BH32" i="3"/>
  <c r="BH11" i="3"/>
  <c r="BH10" i="3"/>
  <c r="BH31" i="3"/>
  <c r="BH34" i="3"/>
  <c r="BH24" i="3"/>
  <c r="BH30" i="3"/>
  <c r="BH20" i="3"/>
  <c r="BH25" i="3"/>
  <c r="BH26" i="3"/>
  <c r="BH5" i="3"/>
  <c r="BH21" i="3"/>
  <c r="BH29" i="3"/>
  <c r="BH27" i="3"/>
  <c r="BH35" i="3"/>
  <c r="BH28" i="3"/>
  <c r="BH14" i="3"/>
  <c r="BH15" i="3"/>
  <c r="BH7" i="3"/>
  <c r="BH17" i="3"/>
  <c r="Z28" i="3"/>
  <c r="Z10" i="3"/>
  <c r="Z24" i="3"/>
  <c r="Z34" i="3"/>
  <c r="Z22" i="3"/>
  <c r="Z30" i="3"/>
  <c r="Z33" i="3"/>
  <c r="Z11" i="3"/>
  <c r="Z12" i="3"/>
  <c r="Z32" i="3"/>
  <c r="Z21" i="3"/>
  <c r="Z27" i="3"/>
  <c r="Z25" i="3"/>
  <c r="Z29" i="3"/>
  <c r="Z5" i="3"/>
  <c r="Z4" i="3"/>
  <c r="Z35" i="3"/>
  <c r="Z9" i="3"/>
  <c r="Z26" i="3"/>
  <c r="Z20" i="3"/>
  <c r="Z31" i="3"/>
  <c r="Z17" i="3"/>
  <c r="Z7" i="3"/>
  <c r="Z14" i="3"/>
  <c r="Z15" i="3"/>
  <c r="AK12" i="3"/>
  <c r="AK33" i="3"/>
  <c r="AK32" i="3"/>
  <c r="AK10" i="3"/>
  <c r="AK21" i="3"/>
  <c r="AK30" i="3"/>
  <c r="AK22" i="3"/>
  <c r="AK31" i="3"/>
  <c r="AK27" i="3"/>
  <c r="AK25" i="3"/>
  <c r="AK26" i="3"/>
  <c r="AK24" i="3"/>
  <c r="AK28" i="3"/>
  <c r="AK35" i="3"/>
  <c r="AK20" i="3"/>
  <c r="AK5" i="3"/>
  <c r="AK34" i="3"/>
  <c r="AK4" i="3"/>
  <c r="AK9" i="3"/>
  <c r="AK29" i="3"/>
  <c r="AK11" i="3"/>
  <c r="AK17" i="3"/>
  <c r="AK7" i="3"/>
  <c r="AK14" i="3"/>
  <c r="AK15" i="3"/>
  <c r="AI30" i="3"/>
  <c r="AI29" i="3"/>
  <c r="AI35" i="3"/>
  <c r="AI32" i="3"/>
  <c r="AI20" i="3"/>
  <c r="AI10" i="3"/>
  <c r="AI28" i="3"/>
  <c r="AI22" i="3"/>
  <c r="AI34" i="3"/>
  <c r="AI26" i="3"/>
  <c r="AI33" i="3"/>
  <c r="AI5" i="3"/>
  <c r="AI24" i="3"/>
  <c r="AI27" i="3"/>
  <c r="AI21" i="3"/>
  <c r="AI11" i="3"/>
  <c r="AI31" i="3"/>
  <c r="AI4" i="3"/>
  <c r="AI9" i="3"/>
  <c r="AI12" i="3"/>
  <c r="AI25" i="3"/>
  <c r="AI15" i="3"/>
  <c r="AI7" i="3"/>
  <c r="AI17" i="3"/>
  <c r="AI14" i="3"/>
  <c r="BO26" i="3"/>
  <c r="BO24" i="3"/>
  <c r="BO27" i="3"/>
  <c r="BO21" i="3"/>
  <c r="BO11" i="3"/>
  <c r="BO28" i="3"/>
  <c r="BO4" i="3"/>
  <c r="BO9" i="3"/>
  <c r="BO12" i="3"/>
  <c r="BO29" i="3"/>
  <c r="BO30" i="3"/>
  <c r="BO5" i="3"/>
  <c r="BO25" i="3"/>
  <c r="BO32" i="3"/>
  <c r="BO22" i="3"/>
  <c r="BO10" i="3"/>
  <c r="BO31" i="3"/>
  <c r="BO20" i="3"/>
  <c r="BO34" i="3"/>
  <c r="BO35" i="3"/>
  <c r="BO33" i="3"/>
  <c r="BO15" i="3"/>
  <c r="BO7" i="3"/>
  <c r="BO17" i="3"/>
  <c r="BO14" i="3"/>
  <c r="P29" i="3"/>
  <c r="P4" i="3"/>
  <c r="P12" i="3"/>
  <c r="P25" i="3"/>
  <c r="P24" i="3"/>
  <c r="P22" i="3"/>
  <c r="P31" i="3"/>
  <c r="P5" i="3"/>
  <c r="P9" i="3"/>
  <c r="P32" i="3"/>
  <c r="P11" i="3"/>
  <c r="P21" i="3"/>
  <c r="P27" i="3"/>
  <c r="P34" i="3"/>
  <c r="P10" i="3"/>
  <c r="P30" i="3"/>
  <c r="P35" i="3"/>
  <c r="P20" i="3"/>
  <c r="P28" i="3"/>
  <c r="P33" i="3"/>
  <c r="P26" i="3"/>
  <c r="P14" i="3"/>
  <c r="P15" i="3"/>
  <c r="P7" i="3"/>
  <c r="P17" i="3"/>
  <c r="AV31" i="3"/>
  <c r="AV4" i="3"/>
  <c r="AV28" i="3"/>
  <c r="AV26" i="3"/>
  <c r="AV24" i="3"/>
  <c r="AV33" i="3"/>
  <c r="AV12" i="3"/>
  <c r="AV25" i="3"/>
  <c r="AV35" i="3"/>
  <c r="AV9" i="3"/>
  <c r="AV34" i="3"/>
  <c r="AV32" i="3"/>
  <c r="AV10" i="3"/>
  <c r="AV20" i="3"/>
  <c r="AV27" i="3"/>
  <c r="AV5" i="3"/>
  <c r="AV21" i="3"/>
  <c r="AV30" i="3"/>
  <c r="AV29" i="3"/>
  <c r="AV11" i="3"/>
  <c r="AV22" i="3"/>
  <c r="AV14" i="3"/>
  <c r="AV15" i="3"/>
  <c r="AV7" i="3"/>
  <c r="AV17" i="3"/>
  <c r="CB22" i="3"/>
  <c r="CB34" i="3"/>
  <c r="CB5" i="3"/>
  <c r="CB24" i="3"/>
  <c r="CB29" i="3"/>
  <c r="CB20" i="3"/>
  <c r="CB12" i="3"/>
  <c r="CB33" i="3"/>
  <c r="CB32" i="3"/>
  <c r="CB4" i="3"/>
  <c r="CB26" i="3"/>
  <c r="CB31" i="3"/>
  <c r="CB10" i="3"/>
  <c r="CB25" i="3"/>
  <c r="CB30" i="3"/>
  <c r="CB21" i="3"/>
  <c r="CB27" i="3"/>
  <c r="CB9" i="3"/>
  <c r="CB28" i="3"/>
  <c r="CB35" i="3"/>
  <c r="CB11" i="3"/>
  <c r="CB14" i="3"/>
  <c r="CB15" i="3"/>
  <c r="CB7" i="3"/>
  <c r="CB17" i="3"/>
  <c r="W25" i="3"/>
  <c r="W31" i="3"/>
  <c r="W33" i="3"/>
  <c r="W20" i="3"/>
  <c r="W24" i="3"/>
  <c r="W32" i="3"/>
  <c r="W29" i="3"/>
  <c r="W11" i="3"/>
  <c r="W27" i="3"/>
  <c r="W9" i="3"/>
  <c r="W28" i="3"/>
  <c r="W22" i="3"/>
  <c r="W10" i="3"/>
  <c r="W34" i="3"/>
  <c r="W21" i="3"/>
  <c r="W12" i="3"/>
  <c r="W35" i="3"/>
  <c r="W26" i="3"/>
  <c r="W4" i="3"/>
  <c r="W30" i="3"/>
  <c r="W5" i="3"/>
  <c r="W7" i="3"/>
  <c r="W15" i="3"/>
  <c r="W17" i="3"/>
  <c r="W14" i="3"/>
  <c r="BC24" i="3"/>
  <c r="BC32" i="3"/>
  <c r="BC20" i="3"/>
  <c r="BC22" i="3"/>
  <c r="BC35" i="3"/>
  <c r="BC29" i="3"/>
  <c r="BC9" i="3"/>
  <c r="BC30" i="3"/>
  <c r="BC28" i="3"/>
  <c r="BC5" i="3"/>
  <c r="BC27" i="3"/>
  <c r="BC34" i="3"/>
  <c r="BC25" i="3"/>
  <c r="BC12" i="3"/>
  <c r="BC31" i="3"/>
  <c r="BC10" i="3"/>
  <c r="BC33" i="3"/>
  <c r="BC21" i="3"/>
  <c r="BC26" i="3"/>
  <c r="BC11" i="3"/>
  <c r="BC4" i="3"/>
  <c r="BC7" i="3"/>
  <c r="BC15" i="3"/>
  <c r="BC17" i="3"/>
  <c r="BC14" i="3"/>
  <c r="CI35" i="3"/>
  <c r="CI5" i="3"/>
  <c r="CI9" i="3"/>
  <c r="CI12" i="3"/>
  <c r="CI26" i="3"/>
  <c r="CI27" i="3"/>
  <c r="CI34" i="3"/>
  <c r="CI22" i="3"/>
  <c r="CI29" i="3"/>
  <c r="CI28" i="3"/>
  <c r="CI21" i="3"/>
  <c r="CI10" i="3"/>
  <c r="CI33" i="3"/>
  <c r="CI20" i="3"/>
  <c r="CI32" i="3"/>
  <c r="CI4" i="3"/>
  <c r="CI31" i="3"/>
  <c r="CI25" i="3"/>
  <c r="CI24" i="3"/>
  <c r="CI30" i="3"/>
  <c r="CI11" i="3"/>
  <c r="CI7" i="3"/>
  <c r="CI15" i="3"/>
  <c r="CI17" i="3"/>
  <c r="CI14" i="3"/>
  <c r="BF31" i="3"/>
  <c r="BF34" i="3"/>
  <c r="BF27" i="3"/>
  <c r="BF35" i="3"/>
  <c r="BF22" i="3"/>
  <c r="BF25" i="3"/>
  <c r="BF5" i="3"/>
  <c r="BF4" i="3"/>
  <c r="BF32" i="3"/>
  <c r="BF11" i="3"/>
  <c r="BF12" i="3"/>
  <c r="BF29" i="3"/>
  <c r="BF24" i="3"/>
  <c r="BF28" i="3"/>
  <c r="BF30" i="3"/>
  <c r="BF21" i="3"/>
  <c r="BF20" i="3"/>
  <c r="BF9" i="3"/>
  <c r="BF26" i="3"/>
  <c r="BF33" i="3"/>
  <c r="BF10" i="3"/>
  <c r="BF17" i="3"/>
  <c r="BF7" i="3"/>
  <c r="BF14" i="3"/>
  <c r="BF15" i="3"/>
  <c r="BA28" i="3"/>
  <c r="BA30" i="3"/>
  <c r="BA11" i="3"/>
  <c r="BA9" i="3"/>
  <c r="BA29" i="3"/>
  <c r="BA20" i="3"/>
  <c r="BA12" i="3"/>
  <c r="BA33" i="3"/>
  <c r="BA32" i="3"/>
  <c r="BA10" i="3"/>
  <c r="BA31" i="3"/>
  <c r="BA35" i="3"/>
  <c r="BA24" i="3"/>
  <c r="BA27" i="3"/>
  <c r="BA34" i="3"/>
  <c r="BA5" i="3"/>
  <c r="BA26" i="3"/>
  <c r="BA22" i="3"/>
  <c r="BA4" i="3"/>
  <c r="BA21" i="3"/>
  <c r="BA25" i="3"/>
  <c r="BA17" i="3"/>
  <c r="BA7" i="3"/>
  <c r="BA14" i="3"/>
  <c r="BA15" i="3"/>
  <c r="K33" i="3"/>
  <c r="K20" i="3"/>
  <c r="K21" i="3"/>
  <c r="K34" i="3"/>
  <c r="K27" i="3"/>
  <c r="K9" i="3"/>
  <c r="K31" i="3"/>
  <c r="K22" i="3"/>
  <c r="K29" i="3"/>
  <c r="K12" i="3"/>
  <c r="K28" i="3"/>
  <c r="K10" i="3"/>
  <c r="K32" i="3"/>
  <c r="K11" i="3"/>
  <c r="K25" i="3"/>
  <c r="K26" i="3"/>
  <c r="K4" i="3"/>
  <c r="K30" i="3"/>
  <c r="K24" i="3"/>
  <c r="K5" i="3"/>
  <c r="K35" i="3"/>
  <c r="K7" i="3"/>
  <c r="K15" i="3"/>
  <c r="K17" i="3"/>
  <c r="K14" i="3"/>
  <c r="AQ28" i="3"/>
  <c r="AQ27" i="3"/>
  <c r="AQ30" i="3"/>
  <c r="AQ5" i="3"/>
  <c r="AQ31" i="3"/>
  <c r="AQ12" i="3"/>
  <c r="AQ25" i="3"/>
  <c r="AQ29" i="3"/>
  <c r="AQ32" i="3"/>
  <c r="AQ10" i="3"/>
  <c r="AQ34" i="3"/>
  <c r="AQ33" i="3"/>
  <c r="AQ9" i="3"/>
  <c r="AQ22" i="3"/>
  <c r="AQ24" i="3"/>
  <c r="AQ26" i="3"/>
  <c r="AQ11" i="3"/>
  <c r="AQ21" i="3"/>
  <c r="AQ4" i="3"/>
  <c r="AQ35" i="3"/>
  <c r="AQ20" i="3"/>
  <c r="AQ7" i="3"/>
  <c r="AQ15" i="3"/>
  <c r="AQ17" i="3"/>
  <c r="AQ14" i="3"/>
  <c r="BW9" i="3"/>
  <c r="BW32" i="3"/>
  <c r="BW33" i="3"/>
  <c r="BW10" i="3"/>
  <c r="BW30" i="3"/>
  <c r="BW26" i="3"/>
  <c r="BW35" i="3"/>
  <c r="BW4" i="3"/>
  <c r="BW5" i="3"/>
  <c r="BW20" i="3"/>
  <c r="BW31" i="3"/>
  <c r="BW24" i="3"/>
  <c r="BW11" i="3"/>
  <c r="BW27" i="3"/>
  <c r="BW28" i="3"/>
  <c r="BW12" i="3"/>
  <c r="BW21" i="3"/>
  <c r="BW29" i="3"/>
  <c r="BW25" i="3"/>
  <c r="BW34" i="3"/>
  <c r="BW22" i="3"/>
  <c r="BW7" i="3"/>
  <c r="BW15" i="3"/>
  <c r="BW17" i="3"/>
  <c r="BW14" i="3"/>
  <c r="BV28" i="3"/>
  <c r="BV10" i="3"/>
  <c r="BV12" i="3"/>
  <c r="BV35" i="3"/>
  <c r="BV27" i="3"/>
  <c r="BV30" i="3"/>
  <c r="BV29" i="3"/>
  <c r="BV11" i="3"/>
  <c r="BV34" i="3"/>
  <c r="BV31" i="3"/>
  <c r="BV21" i="3"/>
  <c r="BV9" i="3"/>
  <c r="BV25" i="3"/>
  <c r="BV32" i="3"/>
  <c r="BV26" i="3"/>
  <c r="BV4" i="3"/>
  <c r="BV33" i="3"/>
  <c r="BV5" i="3"/>
  <c r="BV22" i="3"/>
  <c r="BV20" i="3"/>
  <c r="BV24" i="3"/>
  <c r="BV17" i="3"/>
  <c r="BV7" i="3"/>
  <c r="BV14" i="3"/>
  <c r="BV15" i="3"/>
  <c r="O28" i="3"/>
  <c r="O4" i="3"/>
  <c r="O35" i="3"/>
  <c r="O26" i="3"/>
  <c r="O10" i="3"/>
  <c r="O12" i="3"/>
  <c r="O25" i="3"/>
  <c r="O34" i="3"/>
  <c r="O21" i="3"/>
  <c r="O31" i="3"/>
  <c r="O33" i="3"/>
  <c r="O29" i="3"/>
  <c r="O22" i="3"/>
  <c r="O32" i="3"/>
  <c r="O5" i="3"/>
  <c r="O24" i="3"/>
  <c r="O30" i="3"/>
  <c r="O11" i="3"/>
  <c r="O9" i="3"/>
  <c r="O27" i="3"/>
  <c r="O20" i="3"/>
  <c r="O7" i="3"/>
  <c r="O15" i="3"/>
  <c r="O17" i="3"/>
  <c r="O14" i="3"/>
  <c r="AU4" i="3"/>
  <c r="AU12" i="3"/>
  <c r="AU29" i="3"/>
  <c r="AU21" i="3"/>
  <c r="AU10" i="3"/>
  <c r="AU33" i="3"/>
  <c r="AU35" i="3"/>
  <c r="AU31" i="3"/>
  <c r="AU20" i="3"/>
  <c r="AU11" i="3"/>
  <c r="AU24" i="3"/>
  <c r="AU27" i="3"/>
  <c r="AU5" i="3"/>
  <c r="AU30" i="3"/>
  <c r="AU9" i="3"/>
  <c r="AU22" i="3"/>
  <c r="AU28" i="3"/>
  <c r="AU25" i="3"/>
  <c r="AU34" i="3"/>
  <c r="AU26" i="3"/>
  <c r="AU32" i="3"/>
  <c r="AU7" i="3"/>
  <c r="AU15" i="3"/>
  <c r="AU17" i="3"/>
  <c r="AU14" i="3"/>
  <c r="CA10" i="3"/>
  <c r="CA11" i="3"/>
  <c r="CA28" i="3"/>
  <c r="CA4" i="3"/>
  <c r="CA29" i="3"/>
  <c r="CA20" i="3"/>
  <c r="CA30" i="3"/>
  <c r="CA24" i="3"/>
  <c r="CA25" i="3"/>
  <c r="CA35" i="3"/>
  <c r="CA33" i="3"/>
  <c r="CA34" i="3"/>
  <c r="CA22" i="3"/>
  <c r="CA32" i="3"/>
  <c r="CA5" i="3"/>
  <c r="CA9" i="3"/>
  <c r="CA12" i="3"/>
  <c r="CA21" i="3"/>
  <c r="CA27" i="3"/>
  <c r="CA26" i="3"/>
  <c r="CA31" i="3"/>
  <c r="CA7" i="3"/>
  <c r="CA15" i="3"/>
  <c r="CA17" i="3"/>
  <c r="CA14" i="3"/>
  <c r="AG34" i="3"/>
  <c r="AG33" i="3"/>
  <c r="AG9" i="3"/>
  <c r="AG11" i="3"/>
  <c r="AG21" i="3"/>
  <c r="AG27" i="3"/>
  <c r="AG20" i="3"/>
  <c r="AG32" i="3"/>
  <c r="AG26" i="3"/>
  <c r="AG31" i="3"/>
  <c r="AG24" i="3"/>
  <c r="AG30" i="3"/>
  <c r="AG12" i="3"/>
  <c r="AG28" i="3"/>
  <c r="AG29" i="3"/>
  <c r="AG22" i="3"/>
  <c r="AG5" i="3"/>
  <c r="AG10" i="3"/>
  <c r="AG4" i="3"/>
  <c r="AG35" i="3"/>
  <c r="AG25" i="3"/>
  <c r="AG7" i="3"/>
  <c r="AG17" i="3"/>
  <c r="AG14" i="3"/>
  <c r="AG15" i="3"/>
  <c r="BE29" i="3"/>
  <c r="BE35" i="3"/>
  <c r="BE22" i="3"/>
  <c r="BE11" i="3"/>
  <c r="BE30" i="3"/>
  <c r="BE9" i="3"/>
  <c r="BE25" i="3"/>
  <c r="BE28" i="3"/>
  <c r="BE27" i="3"/>
  <c r="BE34" i="3"/>
  <c r="BE4" i="3"/>
  <c r="BE32" i="3"/>
  <c r="BE12" i="3"/>
  <c r="BE21" i="3"/>
  <c r="BE26" i="3"/>
  <c r="BE33" i="3"/>
  <c r="BE31" i="3"/>
  <c r="BE10" i="3"/>
  <c r="BE20" i="3"/>
  <c r="BE5" i="3"/>
  <c r="BE24" i="3"/>
  <c r="BE17" i="3"/>
  <c r="BE14" i="3"/>
  <c r="BE7" i="3"/>
  <c r="BE15" i="3"/>
  <c r="F32" i="3"/>
  <c r="F10" i="3"/>
  <c r="F26" i="3"/>
  <c r="F35" i="3"/>
  <c r="F5" i="3"/>
  <c r="F31" i="3"/>
  <c r="F29" i="3"/>
  <c r="F22" i="3"/>
  <c r="F12" i="3"/>
  <c r="F28" i="3"/>
  <c r="F9" i="3"/>
  <c r="F21" i="3"/>
  <c r="F25" i="3"/>
  <c r="F30" i="3"/>
  <c r="F34" i="3"/>
  <c r="F4" i="3"/>
  <c r="F33" i="3"/>
  <c r="F11" i="3"/>
  <c r="F27" i="3"/>
  <c r="F20" i="3"/>
  <c r="F24" i="3"/>
  <c r="F15" i="3"/>
  <c r="F7" i="3"/>
  <c r="F17" i="3"/>
  <c r="F14" i="3"/>
  <c r="AT11" i="3"/>
  <c r="AT30" i="3"/>
  <c r="AT31" i="3"/>
  <c r="AT9" i="3"/>
  <c r="AT32" i="3"/>
  <c r="AT33" i="3"/>
  <c r="AT21" i="3"/>
  <c r="AT4" i="3"/>
  <c r="AT26" i="3"/>
  <c r="AT25" i="3"/>
  <c r="AT28" i="3"/>
  <c r="AT24" i="3"/>
  <c r="AT27" i="3"/>
  <c r="AT22" i="3"/>
  <c r="AT5" i="3"/>
  <c r="AT20" i="3"/>
  <c r="AT29" i="3"/>
  <c r="AT12" i="3"/>
  <c r="AT35" i="3"/>
  <c r="AT10" i="3"/>
  <c r="AT34" i="3"/>
  <c r="AT7" i="3"/>
  <c r="AT17" i="3"/>
  <c r="AT14" i="3"/>
  <c r="AT15" i="3"/>
  <c r="Q31" i="3"/>
  <c r="Q5" i="3"/>
  <c r="Q29" i="3"/>
  <c r="Q11" i="3"/>
  <c r="Q24" i="3"/>
  <c r="Q33" i="3"/>
  <c r="Q34" i="3"/>
  <c r="Q27" i="3"/>
  <c r="Q28" i="3"/>
  <c r="Q10" i="3"/>
  <c r="Q21" i="3"/>
  <c r="Q20" i="3"/>
  <c r="Q25" i="3"/>
  <c r="Q30" i="3"/>
  <c r="Q9" i="3"/>
  <c r="Q4" i="3"/>
  <c r="Q32" i="3"/>
  <c r="Q22" i="3"/>
  <c r="Q35" i="3"/>
  <c r="Q12" i="3"/>
  <c r="Q26" i="3"/>
  <c r="Q7" i="3"/>
  <c r="Q17" i="3"/>
  <c r="Q14" i="3"/>
  <c r="Q15" i="3"/>
  <c r="I26" i="3"/>
  <c r="I22" i="3"/>
  <c r="I20" i="3"/>
  <c r="I34" i="3"/>
  <c r="I10" i="3"/>
  <c r="I25" i="3"/>
  <c r="I31" i="3"/>
  <c r="I28" i="3"/>
  <c r="I35" i="3"/>
  <c r="I4" i="3"/>
  <c r="I29" i="3"/>
  <c r="I9" i="3"/>
  <c r="I21" i="3"/>
  <c r="I32" i="3"/>
  <c r="I11" i="3"/>
  <c r="I27" i="3"/>
  <c r="I30" i="3"/>
  <c r="I12" i="3"/>
  <c r="I33" i="3"/>
  <c r="I5" i="3"/>
  <c r="I24" i="3"/>
  <c r="I17" i="3"/>
  <c r="I14" i="3"/>
  <c r="I7" i="3"/>
  <c r="I15" i="3"/>
  <c r="AS28" i="3"/>
  <c r="AS12" i="3"/>
  <c r="AS31" i="3"/>
  <c r="AS24" i="3"/>
  <c r="AS27" i="3"/>
  <c r="AS35" i="3"/>
  <c r="AS29" i="3"/>
  <c r="AS30" i="3"/>
  <c r="AS9" i="3"/>
  <c r="AS5" i="3"/>
  <c r="AS33" i="3"/>
  <c r="AS11" i="3"/>
  <c r="AS4" i="3"/>
  <c r="AS26" i="3"/>
  <c r="AS34" i="3"/>
  <c r="AS22" i="3"/>
  <c r="AS32" i="3"/>
  <c r="AS25" i="3"/>
  <c r="AS21" i="3"/>
  <c r="AS10" i="3"/>
  <c r="AS20" i="3"/>
  <c r="AS7" i="3"/>
  <c r="AS17" i="3"/>
  <c r="AS14" i="3"/>
  <c r="AS15" i="3"/>
  <c r="V35" i="3"/>
  <c r="V32" i="3"/>
  <c r="V31" i="3"/>
  <c r="V25" i="3"/>
  <c r="V24" i="3"/>
  <c r="V30" i="3"/>
  <c r="V11" i="3"/>
  <c r="V5" i="3"/>
  <c r="V27" i="3"/>
  <c r="V10" i="3"/>
  <c r="V4" i="3"/>
  <c r="V33" i="3"/>
  <c r="V9" i="3"/>
  <c r="V12" i="3"/>
  <c r="V34" i="3"/>
  <c r="V22" i="3"/>
  <c r="V21" i="3"/>
  <c r="V28" i="3"/>
  <c r="V29" i="3"/>
  <c r="V26" i="3"/>
  <c r="V20" i="3"/>
  <c r="V7" i="3"/>
  <c r="V17" i="3"/>
  <c r="V14" i="3"/>
  <c r="V15" i="3"/>
  <c r="CH21" i="3"/>
  <c r="CH26" i="3"/>
  <c r="CH29" i="3"/>
  <c r="CH11" i="3"/>
  <c r="CH20" i="3"/>
  <c r="CH35" i="3"/>
  <c r="CH9" i="3"/>
  <c r="CH32" i="3"/>
  <c r="CH25" i="3"/>
  <c r="CH27" i="3"/>
  <c r="CH30" i="3"/>
  <c r="CH28" i="3"/>
  <c r="CH5" i="3"/>
  <c r="CH24" i="3"/>
  <c r="CH10" i="3"/>
  <c r="CH4" i="3"/>
  <c r="CH33" i="3"/>
  <c r="CH22" i="3"/>
  <c r="CH12" i="3"/>
  <c r="CH34" i="3"/>
  <c r="CH31" i="3"/>
  <c r="CH7" i="3"/>
  <c r="CH17" i="3"/>
  <c r="CH14" i="3"/>
  <c r="CH15" i="3"/>
  <c r="T33" i="3"/>
  <c r="T29" i="3"/>
  <c r="T27" i="3"/>
  <c r="T10" i="3"/>
  <c r="T22" i="3"/>
  <c r="T34" i="3"/>
  <c r="T4" i="3"/>
  <c r="T25" i="3"/>
  <c r="T28" i="3"/>
  <c r="T20" i="3"/>
  <c r="T32" i="3"/>
  <c r="T9" i="3"/>
  <c r="T30" i="3"/>
  <c r="T24" i="3"/>
  <c r="T21" i="3"/>
  <c r="T26" i="3"/>
  <c r="T31" i="3"/>
  <c r="T5" i="3"/>
  <c r="T11" i="3"/>
  <c r="T35" i="3"/>
  <c r="T12" i="3"/>
  <c r="T14" i="3"/>
  <c r="T15" i="3"/>
  <c r="T7" i="3"/>
  <c r="T17" i="3"/>
  <c r="AZ26" i="3"/>
  <c r="AZ34" i="3"/>
  <c r="AZ24" i="3"/>
  <c r="AZ11" i="3"/>
  <c r="AZ28" i="3"/>
  <c r="AZ10" i="3"/>
  <c r="AZ25" i="3"/>
  <c r="AZ35" i="3"/>
  <c r="AZ5" i="3"/>
  <c r="AZ31" i="3"/>
  <c r="AZ12" i="3"/>
  <c r="AZ29" i="3"/>
  <c r="AZ9" i="3"/>
  <c r="AZ22" i="3"/>
  <c r="AZ32" i="3"/>
  <c r="AZ33" i="3"/>
  <c r="AZ27" i="3"/>
  <c r="AZ4" i="3"/>
  <c r="AZ20" i="3"/>
  <c r="AZ30" i="3"/>
  <c r="AZ21" i="3"/>
  <c r="AZ14" i="3"/>
  <c r="AZ15" i="3"/>
  <c r="AZ7" i="3"/>
  <c r="AZ17" i="3"/>
  <c r="CF28" i="3"/>
  <c r="CF9" i="3"/>
  <c r="CF20" i="3"/>
  <c r="CF22" i="3"/>
  <c r="CF30" i="3"/>
  <c r="CF29" i="3"/>
  <c r="CF25" i="3"/>
  <c r="CF11" i="3"/>
  <c r="CF31" i="3"/>
  <c r="CF4" i="3"/>
  <c r="CF24" i="3"/>
  <c r="CF27" i="3"/>
  <c r="CF21" i="3"/>
  <c r="CF34" i="3"/>
  <c r="CF12" i="3"/>
  <c r="CF32" i="3"/>
  <c r="CF5" i="3"/>
  <c r="CF26" i="3"/>
  <c r="CF35" i="3"/>
  <c r="CF10" i="3"/>
  <c r="CF33" i="3"/>
  <c r="CF14" i="3"/>
  <c r="CF15" i="3"/>
  <c r="CF7" i="3"/>
  <c r="CF17" i="3"/>
  <c r="CC28" i="3"/>
  <c r="CC26" i="3"/>
  <c r="CC20" i="3"/>
  <c r="CC35" i="3"/>
  <c r="CC27" i="3"/>
  <c r="CC32" i="3"/>
  <c r="CC25" i="3"/>
  <c r="CC21" i="3"/>
  <c r="CC34" i="3"/>
  <c r="CC12" i="3"/>
  <c r="CC31" i="3"/>
  <c r="CC33" i="3"/>
  <c r="CC9" i="3"/>
  <c r="CC24" i="3"/>
  <c r="CC5" i="3"/>
  <c r="CC4" i="3"/>
  <c r="CC29" i="3"/>
  <c r="CC10" i="3"/>
  <c r="CC22" i="3"/>
  <c r="CC30" i="3"/>
  <c r="CC11" i="3"/>
  <c r="CC7" i="3"/>
  <c r="CC17" i="3"/>
  <c r="CC14" i="3"/>
  <c r="CC15" i="3"/>
  <c r="CK22" i="3"/>
  <c r="CK32" i="3"/>
  <c r="CK31" i="3"/>
  <c r="CK27" i="3"/>
  <c r="CK21" i="3"/>
  <c r="CK34" i="3"/>
  <c r="CK24" i="3"/>
  <c r="CK33" i="3"/>
  <c r="CK29" i="3"/>
  <c r="CK11" i="3"/>
  <c r="CK26" i="3"/>
  <c r="CK4" i="3"/>
  <c r="CK20" i="3"/>
  <c r="CK35" i="3"/>
  <c r="CK10" i="3"/>
  <c r="CK5" i="3"/>
  <c r="CK30" i="3"/>
  <c r="CK12" i="3"/>
  <c r="CK25" i="3"/>
  <c r="CK28" i="3"/>
  <c r="CK9" i="3"/>
  <c r="CK17" i="3"/>
  <c r="CK14" i="3"/>
  <c r="CK7" i="3"/>
  <c r="CK15" i="3"/>
  <c r="BJ20" i="3"/>
  <c r="BJ9" i="3"/>
  <c r="BJ33" i="3"/>
  <c r="BJ30" i="3"/>
  <c r="BJ22" i="3"/>
  <c r="BJ5" i="3"/>
  <c r="BJ32" i="3"/>
  <c r="BJ35" i="3"/>
  <c r="BJ29" i="3"/>
  <c r="BJ10" i="3"/>
  <c r="BJ34" i="3"/>
  <c r="BJ12" i="3"/>
  <c r="BJ4" i="3"/>
  <c r="BJ21" i="3"/>
  <c r="BJ26" i="3"/>
  <c r="BJ28" i="3"/>
  <c r="BJ31" i="3"/>
  <c r="BJ11" i="3"/>
  <c r="BJ27" i="3"/>
  <c r="BJ24" i="3"/>
  <c r="BJ25" i="3"/>
  <c r="BJ7" i="3"/>
  <c r="BJ17" i="3"/>
  <c r="BJ14" i="3"/>
  <c r="BJ15" i="3"/>
  <c r="H5" i="3"/>
  <c r="H21" i="3"/>
  <c r="H32" i="3"/>
  <c r="H22" i="3"/>
  <c r="H33" i="3"/>
  <c r="H20" i="3"/>
  <c r="H4" i="3"/>
  <c r="H27" i="3"/>
  <c r="H12" i="3"/>
  <c r="H11" i="3"/>
  <c r="H34" i="3"/>
  <c r="H25" i="3"/>
  <c r="H30" i="3"/>
  <c r="H24" i="3"/>
  <c r="H28" i="3"/>
  <c r="H26" i="3"/>
  <c r="H31" i="3"/>
  <c r="H9" i="3"/>
  <c r="H29" i="3"/>
  <c r="H10" i="3"/>
  <c r="H35" i="3"/>
  <c r="H14" i="3"/>
  <c r="H15" i="3"/>
  <c r="H7" i="3"/>
  <c r="H17" i="3"/>
  <c r="AN30" i="3"/>
  <c r="AN29" i="3"/>
  <c r="AN32" i="3"/>
  <c r="AN21" i="3"/>
  <c r="AN11" i="3"/>
  <c r="AN34" i="3"/>
  <c r="AN5" i="3"/>
  <c r="AN35" i="3"/>
  <c r="AN26" i="3"/>
  <c r="AN31" i="3"/>
  <c r="AN33" i="3"/>
  <c r="AN4" i="3"/>
  <c r="AN25" i="3"/>
  <c r="AN10" i="3"/>
  <c r="AN20" i="3"/>
  <c r="AN24" i="3"/>
  <c r="AN22" i="3"/>
  <c r="AN12" i="3"/>
  <c r="AN28" i="3"/>
  <c r="AN27" i="3"/>
  <c r="AN9" i="3"/>
  <c r="AN14" i="3"/>
  <c r="AN15" i="3"/>
  <c r="AN7" i="3"/>
  <c r="AN17" i="3"/>
  <c r="BT20" i="3"/>
  <c r="BT4" i="3"/>
  <c r="BT21" i="3"/>
  <c r="BT25" i="3"/>
  <c r="BT30" i="3"/>
  <c r="BT28" i="3"/>
  <c r="BT34" i="3"/>
  <c r="BT29" i="3"/>
  <c r="BT26" i="3"/>
  <c r="BT10" i="3"/>
  <c r="BT9" i="3"/>
  <c r="BT12" i="3"/>
  <c r="BT32" i="3"/>
  <c r="BT11" i="3"/>
  <c r="BT24" i="3"/>
  <c r="BT27" i="3"/>
  <c r="BT35" i="3"/>
  <c r="BT33" i="3"/>
  <c r="BT5" i="3"/>
  <c r="BT22" i="3"/>
  <c r="BT31" i="3"/>
  <c r="BT14" i="3"/>
  <c r="BT15" i="3"/>
  <c r="BT7" i="3"/>
  <c r="BT17" i="3"/>
  <c r="CD20" i="3"/>
  <c r="CD35" i="3"/>
  <c r="CD5" i="3"/>
  <c r="CD21" i="3"/>
  <c r="CD26" i="3"/>
  <c r="CD34" i="3"/>
  <c r="CD25" i="3"/>
  <c r="CD31" i="3"/>
  <c r="CD9" i="3"/>
  <c r="CD29" i="3"/>
  <c r="CD33" i="3"/>
  <c r="CD32" i="3"/>
  <c r="CD24" i="3"/>
  <c r="CD10" i="3"/>
  <c r="CD4" i="3"/>
  <c r="CD12" i="3"/>
  <c r="CD28" i="3"/>
  <c r="CD30" i="3"/>
  <c r="CD11" i="3"/>
  <c r="CD22" i="3"/>
  <c r="CD27" i="3"/>
  <c r="CD7" i="3"/>
  <c r="CD17" i="3"/>
  <c r="CD14" i="3"/>
  <c r="CD15" i="3"/>
  <c r="AH28" i="3"/>
  <c r="AH21" i="3"/>
  <c r="AH24" i="3"/>
  <c r="AH5" i="3"/>
  <c r="AH26" i="3"/>
  <c r="AH31" i="3"/>
  <c r="AH30" i="3"/>
  <c r="AH32" i="3"/>
  <c r="AH35" i="3"/>
  <c r="AH12" i="3"/>
  <c r="AH4" i="3"/>
  <c r="AH11" i="3"/>
  <c r="AH25" i="3"/>
  <c r="AH22" i="3"/>
  <c r="AH34" i="3"/>
  <c r="AH9" i="3"/>
  <c r="AH29" i="3"/>
  <c r="AH10" i="3"/>
  <c r="AH27" i="3"/>
  <c r="AH20" i="3"/>
  <c r="AH33" i="3"/>
  <c r="AH7" i="3"/>
  <c r="AH17" i="3"/>
  <c r="AH14" i="3"/>
  <c r="AH15" i="3"/>
  <c r="AC12" i="3"/>
  <c r="AC33" i="3"/>
  <c r="AC27" i="3"/>
  <c r="AC34" i="3"/>
  <c r="AC26" i="3"/>
  <c r="AC10" i="3"/>
  <c r="AC22" i="3"/>
  <c r="AC29" i="3"/>
  <c r="AC24" i="3"/>
  <c r="AC5" i="3"/>
  <c r="AC35" i="3"/>
  <c r="AC11" i="3"/>
  <c r="AC28" i="3"/>
  <c r="AC32" i="3"/>
  <c r="AC9" i="3"/>
  <c r="AC31" i="3"/>
  <c r="AC20" i="3"/>
  <c r="AC25" i="3"/>
  <c r="AC30" i="3"/>
  <c r="AC4" i="3"/>
  <c r="AC21" i="3"/>
  <c r="AC7" i="3"/>
  <c r="AC17" i="3"/>
  <c r="AC14" i="3"/>
  <c r="AC15" i="3"/>
  <c r="BR33" i="3"/>
  <c r="BR12" i="3"/>
  <c r="BR24" i="3"/>
  <c r="BR25" i="3"/>
  <c r="BR27" i="3"/>
  <c r="BR32" i="3"/>
  <c r="BR11" i="3"/>
  <c r="BR21" i="3"/>
  <c r="BR35" i="3"/>
  <c r="BR31" i="3"/>
  <c r="BR4" i="3"/>
  <c r="BR29" i="3"/>
  <c r="BR28" i="3"/>
  <c r="BR10" i="3"/>
  <c r="BR30" i="3"/>
  <c r="BR9" i="3"/>
  <c r="BR22" i="3"/>
  <c r="BR26" i="3"/>
  <c r="BR34" i="3"/>
  <c r="BR5" i="3"/>
  <c r="BR20" i="3"/>
  <c r="BR7" i="3"/>
  <c r="BR17" i="3"/>
  <c r="BR14" i="3"/>
  <c r="BR15" i="3"/>
  <c r="L30" i="3"/>
  <c r="L5" i="3"/>
  <c r="L29" i="3"/>
  <c r="L24" i="3"/>
  <c r="L32" i="3"/>
  <c r="L20" i="3"/>
  <c r="L22" i="3"/>
  <c r="L11" i="3"/>
  <c r="L4" i="3"/>
  <c r="L26" i="3"/>
  <c r="L27" i="3"/>
  <c r="L9" i="3"/>
  <c r="L28" i="3"/>
  <c r="L31" i="3"/>
  <c r="L21" i="3"/>
  <c r="L10" i="3"/>
  <c r="L34" i="3"/>
  <c r="L25" i="3"/>
  <c r="L35" i="3"/>
  <c r="L12" i="3"/>
  <c r="L33" i="3"/>
  <c r="L14" i="3"/>
  <c r="L15" i="3"/>
  <c r="L7" i="3"/>
  <c r="L17" i="3"/>
  <c r="AR21" i="3"/>
  <c r="AR35" i="3"/>
  <c r="AR4" i="3"/>
  <c r="AR30" i="3"/>
  <c r="AR9" i="3"/>
  <c r="AR32" i="3"/>
  <c r="AR34" i="3"/>
  <c r="AR20" i="3"/>
  <c r="AR27" i="3"/>
  <c r="AR25" i="3"/>
  <c r="AR28" i="3"/>
  <c r="AR22" i="3"/>
  <c r="AR26" i="3"/>
  <c r="AR11" i="3"/>
  <c r="AR12" i="3"/>
  <c r="AR24" i="3"/>
  <c r="AR29" i="3"/>
  <c r="AR33" i="3"/>
  <c r="AR5" i="3"/>
  <c r="AR10" i="3"/>
  <c r="AR31" i="3"/>
  <c r="AR14" i="3"/>
  <c r="AR15" i="3"/>
  <c r="AR7" i="3"/>
  <c r="AR17" i="3"/>
  <c r="BX28" i="3"/>
  <c r="BX33" i="3"/>
  <c r="BX9" i="3"/>
  <c r="BX20" i="3"/>
  <c r="BX4" i="3"/>
  <c r="BX35" i="3"/>
  <c r="BX32" i="3"/>
  <c r="BX30" i="3"/>
  <c r="BX21" i="3"/>
  <c r="BX10" i="3"/>
  <c r="BX31" i="3"/>
  <c r="BX5" i="3"/>
  <c r="BX34" i="3"/>
  <c r="BX12" i="3"/>
  <c r="BX22" i="3"/>
  <c r="BX27" i="3"/>
  <c r="BX26" i="3"/>
  <c r="BX11" i="3"/>
  <c r="BX25" i="3"/>
  <c r="BX29" i="3"/>
  <c r="BX24" i="3"/>
  <c r="BX14" i="3"/>
  <c r="BX15" i="3"/>
  <c r="BX7" i="3"/>
  <c r="BX17" i="3"/>
  <c r="BQ29" i="3"/>
  <c r="BQ11" i="3"/>
  <c r="BQ24" i="3"/>
  <c r="BQ34" i="3"/>
  <c r="BQ25" i="3"/>
  <c r="BQ21" i="3"/>
  <c r="BQ35" i="3"/>
  <c r="BQ9" i="3"/>
  <c r="BQ12" i="3"/>
  <c r="BQ32" i="3"/>
  <c r="BQ4" i="3"/>
  <c r="BQ31" i="3"/>
  <c r="BQ26" i="3"/>
  <c r="BQ10" i="3"/>
  <c r="BQ30" i="3"/>
  <c r="BQ28" i="3"/>
  <c r="BQ27" i="3"/>
  <c r="BQ20" i="3"/>
  <c r="BQ5" i="3"/>
  <c r="BQ33" i="3"/>
  <c r="BQ22" i="3"/>
  <c r="BQ17" i="3"/>
  <c r="BQ7" i="3"/>
  <c r="BQ14" i="3"/>
  <c r="BQ15" i="3"/>
  <c r="S34" i="3"/>
  <c r="S5" i="3"/>
  <c r="S9" i="3"/>
  <c r="S12" i="3"/>
  <c r="S33" i="3"/>
  <c r="S27" i="3"/>
  <c r="S21" i="3"/>
  <c r="S26" i="3"/>
  <c r="S25" i="3"/>
  <c r="S29" i="3"/>
  <c r="S10" i="3"/>
  <c r="S32" i="3"/>
  <c r="S22" i="3"/>
  <c r="S35" i="3"/>
  <c r="S28" i="3"/>
  <c r="S4" i="3"/>
  <c r="S30" i="3"/>
  <c r="S24" i="3"/>
  <c r="S31" i="3"/>
  <c r="S20" i="3"/>
  <c r="S11" i="3"/>
  <c r="S15" i="3"/>
  <c r="S7" i="3"/>
  <c r="S17" i="3"/>
  <c r="S14" i="3"/>
  <c r="AY26" i="3"/>
  <c r="AY24" i="3"/>
  <c r="AY33" i="3"/>
  <c r="AY28" i="3"/>
  <c r="AY35" i="3"/>
  <c r="AY11" i="3"/>
  <c r="AY34" i="3"/>
  <c r="AY21" i="3"/>
  <c r="AY31" i="3"/>
  <c r="AY9" i="3"/>
  <c r="AY12" i="3"/>
  <c r="AY29" i="3"/>
  <c r="AY27" i="3"/>
  <c r="AY20" i="3"/>
  <c r="AY22" i="3"/>
  <c r="AY30" i="3"/>
  <c r="AY25" i="3"/>
  <c r="AY10" i="3"/>
  <c r="AY32" i="3"/>
  <c r="AY4" i="3"/>
  <c r="AY5" i="3"/>
  <c r="AY15" i="3"/>
  <c r="AY7" i="3"/>
  <c r="AY17" i="3"/>
  <c r="AY14" i="3"/>
  <c r="CE24" i="3"/>
  <c r="CE33" i="3"/>
  <c r="CE30" i="3"/>
  <c r="CE34" i="3"/>
  <c r="CE20" i="3"/>
  <c r="CE9" i="3"/>
  <c r="CE28" i="3"/>
  <c r="CE21" i="3"/>
  <c r="CE26" i="3"/>
  <c r="CE27" i="3"/>
  <c r="CE29" i="3"/>
  <c r="CE5" i="3"/>
  <c r="CE12" i="3"/>
  <c r="CE31" i="3"/>
  <c r="CE22" i="3"/>
  <c r="CE10" i="3"/>
  <c r="CE32" i="3"/>
  <c r="CE4" i="3"/>
  <c r="CE35" i="3"/>
  <c r="CE11" i="3"/>
  <c r="CE25" i="3"/>
  <c r="CE15" i="3"/>
  <c r="CE7" i="3"/>
  <c r="CE17" i="3"/>
  <c r="CE14" i="3"/>
  <c r="AF21" i="3"/>
  <c r="AF27" i="3"/>
  <c r="AF5" i="3"/>
  <c r="AF31" i="3"/>
  <c r="AF11" i="3"/>
  <c r="AF30" i="3"/>
  <c r="AF9" i="3"/>
  <c r="AF22" i="3"/>
  <c r="AF33" i="3"/>
  <c r="AF28" i="3"/>
  <c r="AF29" i="3"/>
  <c r="AF20" i="3"/>
  <c r="AF12" i="3"/>
  <c r="AF34" i="3"/>
  <c r="AF4" i="3"/>
  <c r="AF26" i="3"/>
  <c r="AF35" i="3"/>
  <c r="AF10" i="3"/>
  <c r="AF25" i="3"/>
  <c r="AF32" i="3"/>
  <c r="AF24" i="3"/>
  <c r="AF14" i="3"/>
  <c r="AF15" i="3"/>
  <c r="AF7" i="3"/>
  <c r="AF17" i="3"/>
  <c r="BL30" i="3"/>
  <c r="BL35" i="3"/>
  <c r="BL25" i="3"/>
  <c r="BL5" i="3"/>
  <c r="BL21" i="3"/>
  <c r="BL27" i="3"/>
  <c r="BL10" i="3"/>
  <c r="BL22" i="3"/>
  <c r="BL31" i="3"/>
  <c r="BL24" i="3"/>
  <c r="BL32" i="3"/>
  <c r="BL9" i="3"/>
  <c r="BL26" i="3"/>
  <c r="BL34" i="3"/>
  <c r="BL33" i="3"/>
  <c r="BL20" i="3"/>
  <c r="BL29" i="3"/>
  <c r="BL4" i="3"/>
  <c r="BL11" i="3"/>
  <c r="BL12" i="3"/>
  <c r="BL28" i="3"/>
  <c r="BL14" i="3"/>
  <c r="BL15" i="3"/>
  <c r="BL7" i="3"/>
  <c r="BL17" i="3"/>
  <c r="AP24" i="3"/>
  <c r="AP20" i="3"/>
  <c r="AP28" i="3"/>
  <c r="AP26" i="3"/>
  <c r="AP32" i="3"/>
  <c r="AP22" i="3"/>
  <c r="AP27" i="3"/>
  <c r="AP4" i="3"/>
  <c r="AP9" i="3"/>
  <c r="AP25" i="3"/>
  <c r="AP35" i="3"/>
  <c r="AP21" i="3"/>
  <c r="AP11" i="3"/>
  <c r="AP29" i="3"/>
  <c r="AP10" i="3"/>
  <c r="AP12" i="3"/>
  <c r="AP34" i="3"/>
  <c r="AP5" i="3"/>
  <c r="AP33" i="3"/>
  <c r="AP30" i="3"/>
  <c r="AP31" i="3"/>
  <c r="AP17" i="3"/>
  <c r="AP7" i="3"/>
  <c r="AP14" i="3"/>
  <c r="AP15" i="3"/>
  <c r="AM34" i="3"/>
  <c r="AM22" i="3"/>
  <c r="AM24" i="3"/>
  <c r="AM31" i="3"/>
  <c r="AM11" i="3"/>
  <c r="AM30" i="3"/>
  <c r="AM21" i="3"/>
  <c r="AM9" i="3"/>
  <c r="AM12" i="3"/>
  <c r="AM25" i="3"/>
  <c r="AM29" i="3"/>
  <c r="AM32" i="3"/>
  <c r="AM4" i="3"/>
  <c r="AM26" i="3"/>
  <c r="AM33" i="3"/>
  <c r="AM5" i="3"/>
  <c r="AM10" i="3"/>
  <c r="AM28" i="3"/>
  <c r="AM35" i="3"/>
  <c r="AM20" i="3"/>
  <c r="AM27" i="3"/>
  <c r="AM7" i="3"/>
  <c r="AM15" i="3"/>
  <c r="AM17" i="3"/>
  <c r="AM14" i="3"/>
  <c r="BS11" i="3"/>
  <c r="BS33" i="3"/>
  <c r="BS20" i="3"/>
  <c r="BS32" i="3"/>
  <c r="BS25" i="3"/>
  <c r="BS31" i="3"/>
  <c r="BS5" i="3"/>
  <c r="BS29" i="3"/>
  <c r="BS30" i="3"/>
  <c r="BS12" i="3"/>
  <c r="BS35" i="3"/>
  <c r="BS22" i="3"/>
  <c r="BS10" i="3"/>
  <c r="BS24" i="3"/>
  <c r="BS4" i="3"/>
  <c r="BS27" i="3"/>
  <c r="BS34" i="3"/>
  <c r="BS26" i="3"/>
  <c r="BS9" i="3"/>
  <c r="BS28" i="3"/>
  <c r="BS21" i="3"/>
  <c r="BS7" i="3"/>
  <c r="BS15" i="3"/>
  <c r="BS17" i="3"/>
  <c r="BS14" i="3"/>
  <c r="U32" i="3"/>
  <c r="U11" i="3"/>
  <c r="U12" i="3"/>
  <c r="U26" i="3"/>
  <c r="U25" i="3"/>
  <c r="U31" i="3"/>
  <c r="U4" i="3"/>
  <c r="U9" i="3"/>
  <c r="U30" i="3"/>
  <c r="U20" i="3"/>
  <c r="U5" i="3"/>
  <c r="U29" i="3"/>
  <c r="U24" i="3"/>
  <c r="U35" i="3"/>
  <c r="U28" i="3"/>
  <c r="U33" i="3"/>
  <c r="U22" i="3"/>
  <c r="U27" i="3"/>
  <c r="U34" i="3"/>
  <c r="U10" i="3"/>
  <c r="U21" i="3"/>
  <c r="U17" i="3"/>
  <c r="U7" i="3"/>
  <c r="U14" i="3"/>
  <c r="U15" i="3"/>
  <c r="CG12" i="3"/>
  <c r="CG31" i="3"/>
  <c r="CG26" i="3"/>
  <c r="CG10" i="3"/>
  <c r="CG27" i="3"/>
  <c r="CG32" i="3"/>
  <c r="CG20" i="3"/>
  <c r="CG5" i="3"/>
  <c r="CG28" i="3"/>
  <c r="CG25" i="3"/>
  <c r="CG33" i="3"/>
  <c r="CG24" i="3"/>
  <c r="CG22" i="3"/>
  <c r="CG30" i="3"/>
  <c r="CG9" i="3"/>
  <c r="CG21" i="3"/>
  <c r="CG29" i="3"/>
  <c r="CG4" i="3"/>
  <c r="CG35" i="3"/>
  <c r="CG11" i="3"/>
  <c r="CG34" i="3"/>
  <c r="CG17" i="3"/>
  <c r="CG7" i="3"/>
  <c r="CG14" i="3"/>
  <c r="CG15" i="3"/>
  <c r="AA5" i="3"/>
  <c r="AA21" i="3"/>
  <c r="AA34" i="3"/>
  <c r="AA30" i="3"/>
  <c r="AA32" i="3"/>
  <c r="AA24" i="3"/>
  <c r="AA10" i="3"/>
  <c r="AA11" i="3"/>
  <c r="AA22" i="3"/>
  <c r="AA26" i="3"/>
  <c r="AA27" i="3"/>
  <c r="AA9" i="3"/>
  <c r="AA33" i="3"/>
  <c r="AA4" i="3"/>
  <c r="AA35" i="3"/>
  <c r="AA31" i="3"/>
  <c r="AA28" i="3"/>
  <c r="AA25" i="3"/>
  <c r="AA12" i="3"/>
  <c r="AA20" i="3"/>
  <c r="AA29" i="3"/>
  <c r="AA7" i="3"/>
  <c r="AA15" i="3"/>
  <c r="AA17" i="3"/>
  <c r="AA14" i="3"/>
  <c r="BG10" i="3"/>
  <c r="BG22" i="3"/>
  <c r="BG30" i="3"/>
  <c r="BG31" i="3"/>
  <c r="BG20" i="3"/>
  <c r="BG29" i="3"/>
  <c r="BG9" i="3"/>
  <c r="BG28" i="3"/>
  <c r="BG12" i="3"/>
  <c r="BG21" i="3"/>
  <c r="BG26" i="3"/>
  <c r="BG11" i="3"/>
  <c r="BG4" i="3"/>
  <c r="BG33" i="3"/>
  <c r="BG27" i="3"/>
  <c r="BG5" i="3"/>
  <c r="BG32" i="3"/>
  <c r="BG24" i="3"/>
  <c r="BG35" i="3"/>
  <c r="BG25" i="3"/>
  <c r="BG34" i="3"/>
  <c r="BG7" i="3"/>
  <c r="BG15" i="3"/>
  <c r="BG17" i="3"/>
  <c r="BG14" i="3"/>
  <c r="J4" i="3"/>
  <c r="J29" i="3"/>
  <c r="J11" i="3"/>
  <c r="J22" i="3"/>
  <c r="J28" i="3"/>
  <c r="J24" i="3"/>
  <c r="J12" i="3"/>
  <c r="J31" i="3"/>
  <c r="J32" i="3"/>
  <c r="J21" i="3"/>
  <c r="J20" i="3"/>
  <c r="J33" i="3"/>
  <c r="J10" i="3"/>
  <c r="J30" i="3"/>
  <c r="J25" i="3"/>
  <c r="J27" i="3"/>
  <c r="J34" i="3"/>
  <c r="J9" i="3"/>
  <c r="J26" i="3"/>
  <c r="J35" i="3"/>
  <c r="J5" i="3"/>
  <c r="J17" i="3"/>
  <c r="J7" i="3"/>
  <c r="J14" i="3"/>
  <c r="J15" i="3"/>
  <c r="G34" i="3"/>
  <c r="G26" i="3"/>
  <c r="G11" i="3"/>
  <c r="G32" i="3"/>
  <c r="G4" i="3"/>
  <c r="G24" i="3"/>
  <c r="G33" i="3"/>
  <c r="G20" i="3"/>
  <c r="G22" i="3"/>
  <c r="G28" i="3"/>
  <c r="G25" i="3"/>
  <c r="G9" i="3"/>
  <c r="G31" i="3"/>
  <c r="G30" i="3"/>
  <c r="G21" i="3"/>
  <c r="G29" i="3"/>
  <c r="G35" i="3"/>
  <c r="G5" i="3"/>
  <c r="G12" i="3"/>
  <c r="G27" i="3"/>
  <c r="G10" i="3"/>
  <c r="G7" i="3"/>
  <c r="G15" i="3"/>
  <c r="G17" i="3"/>
  <c r="G14" i="3"/>
  <c r="AE25" i="3"/>
  <c r="AE27" i="3"/>
  <c r="AE35" i="3"/>
  <c r="AE30" i="3"/>
  <c r="AE24" i="3"/>
  <c r="AE34" i="3"/>
  <c r="AE21" i="3"/>
  <c r="AE11" i="3"/>
  <c r="AE31" i="3"/>
  <c r="AE9" i="3"/>
  <c r="AE29" i="3"/>
  <c r="AE5" i="3"/>
  <c r="AE20" i="3"/>
  <c r="AE10" i="3"/>
  <c r="AE4" i="3"/>
  <c r="AE12" i="3"/>
  <c r="AE32" i="3"/>
  <c r="AE22" i="3"/>
  <c r="AE26" i="3"/>
  <c r="AE28" i="3"/>
  <c r="AE33" i="3"/>
  <c r="AE7" i="3"/>
  <c r="AE15" i="3"/>
  <c r="AE17" i="3"/>
  <c r="AE14" i="3"/>
  <c r="BK24" i="3"/>
  <c r="BK34" i="3"/>
  <c r="BK5" i="3"/>
  <c r="BK20" i="3"/>
  <c r="BK28" i="3"/>
  <c r="BK22" i="3"/>
  <c r="BK9" i="3"/>
  <c r="BK29" i="3"/>
  <c r="BK25" i="3"/>
  <c r="BK32" i="3"/>
  <c r="BK21" i="3"/>
  <c r="BK31" i="3"/>
  <c r="BK26" i="3"/>
  <c r="BK12" i="3"/>
  <c r="BK27" i="3"/>
  <c r="BK10" i="3"/>
  <c r="BK35" i="3"/>
  <c r="BK4" i="3"/>
  <c r="BK33" i="3"/>
  <c r="BK11" i="3"/>
  <c r="BK30" i="3"/>
  <c r="BK7" i="3"/>
  <c r="BK15" i="3"/>
  <c r="BK17" i="3"/>
  <c r="BK14" i="3"/>
  <c r="BK14" i="2" l="1"/>
  <c r="BK17" i="2"/>
  <c r="BK15" i="2"/>
  <c r="BK7" i="2"/>
  <c r="BK30" i="2"/>
  <c r="BK11" i="2"/>
  <c r="BK33" i="2"/>
  <c r="BK4" i="2"/>
  <c r="BK35" i="2"/>
  <c r="BK10" i="2"/>
  <c r="BK27" i="2"/>
  <c r="BK12" i="2"/>
  <c r="BK26" i="2"/>
  <c r="BK31" i="2"/>
  <c r="BK21" i="2"/>
  <c r="BK32" i="2"/>
  <c r="BK25" i="2"/>
  <c r="BK29" i="2"/>
  <c r="BK9" i="2"/>
  <c r="BK22" i="2"/>
  <c r="BK28" i="2"/>
  <c r="BK19" i="3"/>
  <c r="BK20" i="2"/>
  <c r="BK5" i="2"/>
  <c r="BK34" i="2"/>
  <c r="BK23" i="3"/>
  <c r="BK23" i="2" s="1"/>
  <c r="BK24" i="2"/>
  <c r="AE14" i="2"/>
  <c r="AE17" i="2"/>
  <c r="AE15" i="2"/>
  <c r="AE7" i="2"/>
  <c r="AE33" i="2"/>
  <c r="AE28" i="2"/>
  <c r="AE26" i="2"/>
  <c r="AE22" i="2"/>
  <c r="AE32" i="2"/>
  <c r="AE12" i="2"/>
  <c r="AE4" i="2"/>
  <c r="AE10" i="2"/>
  <c r="AE19" i="3"/>
  <c r="AE20" i="2"/>
  <c r="AE5" i="2"/>
  <c r="AE29" i="2"/>
  <c r="AE9" i="2"/>
  <c r="AE31" i="2"/>
  <c r="AE11" i="2"/>
  <c r="AE21" i="2"/>
  <c r="AE34" i="2"/>
  <c r="AE23" i="3"/>
  <c r="AE23" i="2" s="1"/>
  <c r="AE24" i="2"/>
  <c r="AE30" i="2"/>
  <c r="AE35" i="2"/>
  <c r="AE27" i="2"/>
  <c r="AE25" i="2"/>
  <c r="G14" i="2"/>
  <c r="G17" i="2"/>
  <c r="G15" i="2"/>
  <c r="G7" i="2"/>
  <c r="G10" i="2"/>
  <c r="G27" i="2"/>
  <c r="G12" i="2"/>
  <c r="G5" i="2"/>
  <c r="G35" i="2"/>
  <c r="G29" i="2"/>
  <c r="G21" i="2"/>
  <c r="G30" i="2"/>
  <c r="G31" i="2"/>
  <c r="G9" i="2"/>
  <c r="G25" i="2"/>
  <c r="G28" i="2"/>
  <c r="G22" i="2"/>
  <c r="G19" i="3"/>
  <c r="G20" i="2"/>
  <c r="G33" i="2"/>
  <c r="G23" i="3"/>
  <c r="G23" i="2" s="1"/>
  <c r="G24" i="2"/>
  <c r="G4" i="2"/>
  <c r="G32" i="2"/>
  <c r="G11" i="2"/>
  <c r="G26" i="2"/>
  <c r="G34" i="2"/>
  <c r="J15" i="2"/>
  <c r="J14" i="2"/>
  <c r="J7" i="2"/>
  <c r="J17" i="2"/>
  <c r="J5" i="2"/>
  <c r="J35" i="2"/>
  <c r="J26" i="2"/>
  <c r="J9" i="2"/>
  <c r="J34" i="2"/>
  <c r="J27" i="2"/>
  <c r="J25" i="2"/>
  <c r="J30" i="2"/>
  <c r="J10" i="2"/>
  <c r="J33" i="2"/>
  <c r="J19" i="3"/>
  <c r="J20" i="2"/>
  <c r="J21" i="2"/>
  <c r="J32" i="2"/>
  <c r="J31" i="2"/>
  <c r="J12" i="2"/>
  <c r="J23" i="3"/>
  <c r="J23" i="2" s="1"/>
  <c r="J24" i="2"/>
  <c r="J28" i="2"/>
  <c r="J22" i="2"/>
  <c r="J11" i="2"/>
  <c r="J29" i="2"/>
  <c r="J4" i="2"/>
  <c r="BG14" i="2"/>
  <c r="BG17" i="2"/>
  <c r="BG15" i="2"/>
  <c r="BG7" i="2"/>
  <c r="BG34" i="2"/>
  <c r="BG25" i="2"/>
  <c r="BG35" i="2"/>
  <c r="BG23" i="3"/>
  <c r="BG23" i="2" s="1"/>
  <c r="BG24" i="2"/>
  <c r="BG32" i="2"/>
  <c r="BG5" i="2"/>
  <c r="BG27" i="2"/>
  <c r="BG33" i="2"/>
  <c r="BG4" i="2"/>
  <c r="BG11" i="2"/>
  <c r="BG26" i="2"/>
  <c r="BG21" i="2"/>
  <c r="BG12" i="2"/>
  <c r="BG28" i="2"/>
  <c r="BG9" i="2"/>
  <c r="BG29" i="2"/>
  <c r="BG19" i="3"/>
  <c r="BG20" i="2"/>
  <c r="BG31" i="2"/>
  <c r="BG30" i="2"/>
  <c r="BG22" i="2"/>
  <c r="BG10" i="2"/>
  <c r="AA14" i="2"/>
  <c r="AA17" i="2"/>
  <c r="AA15" i="2"/>
  <c r="AA7" i="2"/>
  <c r="AA29" i="2"/>
  <c r="AA19" i="3"/>
  <c r="AA20" i="2"/>
  <c r="AA12" i="2"/>
  <c r="AA25" i="2"/>
  <c r="AA28" i="2"/>
  <c r="AA31" i="2"/>
  <c r="AA35" i="2"/>
  <c r="AA4" i="2"/>
  <c r="AA33" i="2"/>
  <c r="AA9" i="2"/>
  <c r="AA27" i="2"/>
  <c r="AA26" i="2"/>
  <c r="AA22" i="2"/>
  <c r="AA11" i="2"/>
  <c r="AA10" i="2"/>
  <c r="AA23" i="3"/>
  <c r="AA23" i="2" s="1"/>
  <c r="AA24" i="2"/>
  <c r="AA32" i="2"/>
  <c r="AA30" i="2"/>
  <c r="AA34" i="2"/>
  <c r="AA21" i="2"/>
  <c r="AA5" i="2"/>
  <c r="CG15" i="2"/>
  <c r="CG14" i="2"/>
  <c r="CG7" i="2"/>
  <c r="CG17" i="2"/>
  <c r="CG34" i="2"/>
  <c r="CG11" i="2"/>
  <c r="CG35" i="2"/>
  <c r="CG4" i="2"/>
  <c r="CG29" i="2"/>
  <c r="CG21" i="2"/>
  <c r="CG9" i="2"/>
  <c r="CG30" i="2"/>
  <c r="CG22" i="2"/>
  <c r="CG23" i="3"/>
  <c r="CG23" i="2" s="1"/>
  <c r="CG24" i="2"/>
  <c r="CG33" i="2"/>
  <c r="CG25" i="2"/>
  <c r="CG28" i="2"/>
  <c r="CG5" i="2"/>
  <c r="CG19" i="3"/>
  <c r="CG20" i="2"/>
  <c r="CG32" i="2"/>
  <c r="CG27" i="2"/>
  <c r="CG10" i="2"/>
  <c r="CG26" i="2"/>
  <c r="CG31" i="2"/>
  <c r="CG12" i="2"/>
  <c r="U15" i="2"/>
  <c r="U14" i="2"/>
  <c r="U7" i="2"/>
  <c r="U17" i="2"/>
  <c r="U21" i="2"/>
  <c r="U10" i="2"/>
  <c r="U34" i="2"/>
  <c r="U27" i="2"/>
  <c r="U22" i="2"/>
  <c r="U33" i="2"/>
  <c r="U28" i="2"/>
  <c r="U35" i="2"/>
  <c r="U23" i="3"/>
  <c r="U23" i="2" s="1"/>
  <c r="U24" i="2"/>
  <c r="U29" i="2"/>
  <c r="U5" i="2"/>
  <c r="U19" i="3"/>
  <c r="U20" i="2"/>
  <c r="U30" i="2"/>
  <c r="U9" i="2"/>
  <c r="U4" i="2"/>
  <c r="U31" i="2"/>
  <c r="U25" i="2"/>
  <c r="U26" i="2"/>
  <c r="U12" i="2"/>
  <c r="U11" i="2"/>
  <c r="U32" i="2"/>
  <c r="BS14" i="2"/>
  <c r="BS17" i="2"/>
  <c r="BS15" i="2"/>
  <c r="BS7" i="2"/>
  <c r="BS21" i="2"/>
  <c r="BS28" i="2"/>
  <c r="BS9" i="2"/>
  <c r="BS26" i="2"/>
  <c r="BS34" i="2"/>
  <c r="BS27" i="2"/>
  <c r="BS4" i="2"/>
  <c r="BS23" i="3"/>
  <c r="BS23" i="2" s="1"/>
  <c r="BS24" i="2"/>
  <c r="BS10" i="2"/>
  <c r="BS22" i="2"/>
  <c r="BS35" i="2"/>
  <c r="BS12" i="2"/>
  <c r="BS30" i="2"/>
  <c r="BS29" i="2"/>
  <c r="BS5" i="2"/>
  <c r="BS31" i="2"/>
  <c r="BS25" i="2"/>
  <c r="BS32" i="2"/>
  <c r="BS19" i="3"/>
  <c r="BS20" i="2"/>
  <c r="BS33" i="2"/>
  <c r="BS11" i="2"/>
  <c r="AM14" i="2"/>
  <c r="AM17" i="2"/>
  <c r="AM15" i="2"/>
  <c r="AM7" i="2"/>
  <c r="AM27" i="2"/>
  <c r="AM19" i="3"/>
  <c r="AM20" i="2"/>
  <c r="AM35" i="2"/>
  <c r="AM28" i="2"/>
  <c r="AM10" i="2"/>
  <c r="AM5" i="2"/>
  <c r="AM33" i="2"/>
  <c r="AM26" i="2"/>
  <c r="AM4" i="2"/>
  <c r="AM32" i="2"/>
  <c r="AM29" i="2"/>
  <c r="AM25" i="2"/>
  <c r="AM12" i="2"/>
  <c r="AM9" i="2"/>
  <c r="AM21" i="2"/>
  <c r="AM30" i="2"/>
  <c r="AM11" i="2"/>
  <c r="AM31" i="2"/>
  <c r="AM23" i="3"/>
  <c r="AM23" i="2" s="1"/>
  <c r="AM24" i="2"/>
  <c r="AM22" i="2"/>
  <c r="AM34" i="2"/>
  <c r="AP15" i="2"/>
  <c r="AP14" i="2"/>
  <c r="AP7" i="2"/>
  <c r="AP17" i="2"/>
  <c r="AP31" i="2"/>
  <c r="AP30" i="2"/>
  <c r="AP33" i="2"/>
  <c r="AP5" i="2"/>
  <c r="AP34" i="2"/>
  <c r="AP12" i="2"/>
  <c r="AP10" i="2"/>
  <c r="AP29" i="2"/>
  <c r="AP11" i="2"/>
  <c r="AP21" i="2"/>
  <c r="AP35" i="2"/>
  <c r="AP25" i="2"/>
  <c r="AP9" i="2"/>
  <c r="AP4" i="2"/>
  <c r="AP27" i="2"/>
  <c r="AP22" i="2"/>
  <c r="AP32" i="2"/>
  <c r="AP26" i="2"/>
  <c r="AP28" i="2"/>
  <c r="AP19" i="3"/>
  <c r="AP20" i="2"/>
  <c r="AP23" i="3"/>
  <c r="AP23" i="2" s="1"/>
  <c r="AP24" i="2"/>
  <c r="BL17" i="2"/>
  <c r="BL7" i="2"/>
  <c r="BL15" i="2"/>
  <c r="BL14" i="2"/>
  <c r="BL28" i="2"/>
  <c r="BL12" i="2"/>
  <c r="BL11" i="2"/>
  <c r="BL4" i="2"/>
  <c r="BL29" i="2"/>
  <c r="BL19" i="3"/>
  <c r="BL20" i="2"/>
  <c r="BL33" i="2"/>
  <c r="BL34" i="2"/>
  <c r="BL26" i="2"/>
  <c r="BL9" i="2"/>
  <c r="BL32" i="2"/>
  <c r="BL23" i="3"/>
  <c r="BL23" i="2" s="1"/>
  <c r="BL24" i="2"/>
  <c r="BL31" i="2"/>
  <c r="BL22" i="2"/>
  <c r="BL10" i="2"/>
  <c r="BL27" i="2"/>
  <c r="BL21" i="2"/>
  <c r="BL5" i="2"/>
  <c r="BL25" i="2"/>
  <c r="BL35" i="2"/>
  <c r="BL30" i="2"/>
  <c r="AF17" i="2"/>
  <c r="AF7" i="2"/>
  <c r="AF15" i="2"/>
  <c r="AF14" i="2"/>
  <c r="AF23" i="3"/>
  <c r="AF23" i="2" s="1"/>
  <c r="AF24" i="2"/>
  <c r="AF32" i="2"/>
  <c r="AF25" i="2"/>
  <c r="AF10" i="2"/>
  <c r="AF35" i="2"/>
  <c r="AF26" i="2"/>
  <c r="AF4" i="2"/>
  <c r="AF34" i="2"/>
  <c r="AF12" i="2"/>
  <c r="AF19" i="3"/>
  <c r="AF20" i="2"/>
  <c r="AF29" i="2"/>
  <c r="AF28" i="2"/>
  <c r="AF33" i="2"/>
  <c r="AF22" i="2"/>
  <c r="AF9" i="2"/>
  <c r="AF30" i="2"/>
  <c r="AF11" i="2"/>
  <c r="AF31" i="2"/>
  <c r="AF5" i="2"/>
  <c r="AF27" i="2"/>
  <c r="AF21" i="2"/>
  <c r="CE14" i="2"/>
  <c r="CE17" i="2"/>
  <c r="CE7" i="2"/>
  <c r="CE15" i="2"/>
  <c r="CE25" i="2"/>
  <c r="CE11" i="2"/>
  <c r="CE35" i="2"/>
  <c r="CE4" i="2"/>
  <c r="CE32" i="2"/>
  <c r="CE10" i="2"/>
  <c r="CE22" i="2"/>
  <c r="CE31" i="2"/>
  <c r="CE12" i="2"/>
  <c r="CE5" i="2"/>
  <c r="CE29" i="2"/>
  <c r="CE27" i="2"/>
  <c r="CE26" i="2"/>
  <c r="CE21" i="2"/>
  <c r="CE28" i="2"/>
  <c r="CE9" i="2"/>
  <c r="CE19" i="3"/>
  <c r="CE20" i="2"/>
  <c r="CE34" i="2"/>
  <c r="CE30" i="2"/>
  <c r="CE33" i="2"/>
  <c r="CE23" i="3"/>
  <c r="CE23" i="2" s="1"/>
  <c r="CE24" i="2"/>
  <c r="AY14" i="2"/>
  <c r="AY17" i="2"/>
  <c r="AY7" i="2"/>
  <c r="AY15" i="2"/>
  <c r="AY5" i="2"/>
  <c r="AY4" i="2"/>
  <c r="AY32" i="2"/>
  <c r="AY10" i="2"/>
  <c r="AY25" i="2"/>
  <c r="AY30" i="2"/>
  <c r="AY22" i="2"/>
  <c r="AY19" i="3"/>
  <c r="AY20" i="2"/>
  <c r="AY27" i="2"/>
  <c r="AY29" i="2"/>
  <c r="AY12" i="2"/>
  <c r="AY9" i="2"/>
  <c r="AY31" i="2"/>
  <c r="AY21" i="2"/>
  <c r="AY34" i="2"/>
  <c r="AY11" i="2"/>
  <c r="AY35" i="2"/>
  <c r="AY28" i="2"/>
  <c r="AY33" i="2"/>
  <c r="AY23" i="3"/>
  <c r="AY23" i="2" s="1"/>
  <c r="AY24" i="2"/>
  <c r="AY26" i="2"/>
  <c r="S14" i="2"/>
  <c r="S17" i="2"/>
  <c r="S7" i="2"/>
  <c r="S15" i="2"/>
  <c r="S11" i="2"/>
  <c r="S19" i="3"/>
  <c r="S20" i="2"/>
  <c r="S31" i="2"/>
  <c r="S23" i="3"/>
  <c r="S23" i="2" s="1"/>
  <c r="S24" i="2"/>
  <c r="S30" i="2"/>
  <c r="S4" i="2"/>
  <c r="S28" i="2"/>
  <c r="S35" i="2"/>
  <c r="S22" i="2"/>
  <c r="S32" i="2"/>
  <c r="S10" i="2"/>
  <c r="S29" i="2"/>
  <c r="S25" i="2"/>
  <c r="S26" i="2"/>
  <c r="S21" i="2"/>
  <c r="S27" i="2"/>
  <c r="S33" i="2"/>
  <c r="S12" i="2"/>
  <c r="S9" i="2"/>
  <c r="S5" i="2"/>
  <c r="S34" i="2"/>
  <c r="BQ15" i="2"/>
  <c r="BQ14" i="2"/>
  <c r="BQ7" i="2"/>
  <c r="BQ17" i="2"/>
  <c r="BQ22" i="2"/>
  <c r="BQ33" i="2"/>
  <c r="BQ5" i="2"/>
  <c r="BQ19" i="3"/>
  <c r="BQ20" i="2"/>
  <c r="BQ27" i="2"/>
  <c r="BQ28" i="2"/>
  <c r="BQ30" i="2"/>
  <c r="BQ10" i="2"/>
  <c r="BQ26" i="2"/>
  <c r="BQ31" i="2"/>
  <c r="BQ4" i="2"/>
  <c r="BQ32" i="2"/>
  <c r="BQ12" i="2"/>
  <c r="BQ9" i="2"/>
  <c r="BQ35" i="2"/>
  <c r="BQ21" i="2"/>
  <c r="BQ25" i="2"/>
  <c r="BQ34" i="2"/>
  <c r="BQ23" i="3"/>
  <c r="BQ23" i="2" s="1"/>
  <c r="BQ24" i="2"/>
  <c r="BQ11" i="2"/>
  <c r="BQ29" i="2"/>
  <c r="BX17" i="2"/>
  <c r="BX7" i="2"/>
  <c r="BX15" i="2"/>
  <c r="BX14" i="2"/>
  <c r="BX23" i="3"/>
  <c r="BX23" i="2" s="1"/>
  <c r="BX24" i="2"/>
  <c r="BX29" i="2"/>
  <c r="BX25" i="2"/>
  <c r="BX11" i="2"/>
  <c r="BX26" i="2"/>
  <c r="BX27" i="2"/>
  <c r="BX22" i="2"/>
  <c r="BX12" i="2"/>
  <c r="BX34" i="2"/>
  <c r="BX5" i="2"/>
  <c r="BX31" i="2"/>
  <c r="BX10" i="2"/>
  <c r="BX21" i="2"/>
  <c r="BX30" i="2"/>
  <c r="BX32" i="2"/>
  <c r="BX35" i="2"/>
  <c r="BX4" i="2"/>
  <c r="BX19" i="3"/>
  <c r="BX20" i="2"/>
  <c r="BX9" i="2"/>
  <c r="BX33" i="2"/>
  <c r="BX28" i="2"/>
  <c r="AR17" i="2"/>
  <c r="AR7" i="2"/>
  <c r="AR15" i="2"/>
  <c r="AR14" i="2"/>
  <c r="AR31" i="2"/>
  <c r="AR10" i="2"/>
  <c r="AR5" i="2"/>
  <c r="AR33" i="2"/>
  <c r="AR29" i="2"/>
  <c r="AR23" i="3"/>
  <c r="AR23" i="2" s="1"/>
  <c r="AR24" i="2"/>
  <c r="AR12" i="2"/>
  <c r="AR11" i="2"/>
  <c r="AR26" i="2"/>
  <c r="AR22" i="2"/>
  <c r="AR28" i="2"/>
  <c r="AR25" i="2"/>
  <c r="AR27" i="2"/>
  <c r="AR19" i="3"/>
  <c r="AR20" i="2"/>
  <c r="AR34" i="2"/>
  <c r="AR32" i="2"/>
  <c r="AR9" i="2"/>
  <c r="AR30" i="2"/>
  <c r="AR4" i="2"/>
  <c r="AR35" i="2"/>
  <c r="AR21" i="2"/>
  <c r="L17" i="2"/>
  <c r="L7" i="2"/>
  <c r="L15" i="2"/>
  <c r="L14" i="2"/>
  <c r="L33" i="2"/>
  <c r="L12" i="2"/>
  <c r="L35" i="2"/>
  <c r="L25" i="2"/>
  <c r="L34" i="2"/>
  <c r="L10" i="2"/>
  <c r="L21" i="2"/>
  <c r="L31" i="2"/>
  <c r="L28" i="2"/>
  <c r="L9" i="2"/>
  <c r="L27" i="2"/>
  <c r="L26" i="2"/>
  <c r="L4" i="2"/>
  <c r="L11" i="2"/>
  <c r="L22" i="2"/>
  <c r="L19" i="3"/>
  <c r="L20" i="2"/>
  <c r="L32" i="2"/>
  <c r="L23" i="3"/>
  <c r="L23" i="2" s="1"/>
  <c r="L24" i="2"/>
  <c r="L29" i="2"/>
  <c r="L5" i="2"/>
  <c r="L30" i="2"/>
  <c r="BR15" i="2"/>
  <c r="BR14" i="2"/>
  <c r="BR17" i="2"/>
  <c r="BR7" i="2"/>
  <c r="BR19" i="3"/>
  <c r="BR20" i="2"/>
  <c r="BR5" i="2"/>
  <c r="BR34" i="2"/>
  <c r="BR26" i="2"/>
  <c r="BR22" i="2"/>
  <c r="BR9" i="2"/>
  <c r="BR30" i="2"/>
  <c r="BR10" i="2"/>
  <c r="BR28" i="2"/>
  <c r="BR29" i="2"/>
  <c r="BR4" i="2"/>
  <c r="BR31" i="2"/>
  <c r="BR35" i="2"/>
  <c r="BR21" i="2"/>
  <c r="BR11" i="2"/>
  <c r="BR32" i="2"/>
  <c r="BR27" i="2"/>
  <c r="BR25" i="2"/>
  <c r="BR23" i="3"/>
  <c r="BR23" i="2" s="1"/>
  <c r="BR24" i="2"/>
  <c r="BR12" i="2"/>
  <c r="BR33" i="2"/>
  <c r="AC15" i="2"/>
  <c r="AC14" i="2"/>
  <c r="AC17" i="2"/>
  <c r="AC7" i="2"/>
  <c r="AC21" i="2"/>
  <c r="AC4" i="2"/>
  <c r="AC30" i="2"/>
  <c r="AC25" i="2"/>
  <c r="AC19" i="3"/>
  <c r="AC20" i="2"/>
  <c r="AC31" i="2"/>
  <c r="AC9" i="2"/>
  <c r="AC32" i="2"/>
  <c r="AC28" i="2"/>
  <c r="AC11" i="2"/>
  <c r="AC35" i="2"/>
  <c r="AC5" i="2"/>
  <c r="AC23" i="3"/>
  <c r="AC23" i="2" s="1"/>
  <c r="AC24" i="2"/>
  <c r="AC29" i="2"/>
  <c r="AC22" i="2"/>
  <c r="AC10" i="2"/>
  <c r="AC26" i="2"/>
  <c r="AC34" i="2"/>
  <c r="AC27" i="2"/>
  <c r="AC33" i="2"/>
  <c r="AC12" i="2"/>
  <c r="AH15" i="2"/>
  <c r="AH14" i="2"/>
  <c r="AH17" i="2"/>
  <c r="AH7" i="2"/>
  <c r="AH33" i="2"/>
  <c r="AH19" i="3"/>
  <c r="AH20" i="2"/>
  <c r="AH27" i="2"/>
  <c r="AH10" i="2"/>
  <c r="AH29" i="2"/>
  <c r="AH9" i="2"/>
  <c r="AH34" i="2"/>
  <c r="AH22" i="2"/>
  <c r="AH25" i="2"/>
  <c r="AH11" i="2"/>
  <c r="AH4" i="2"/>
  <c r="AH12" i="2"/>
  <c r="AH35" i="2"/>
  <c r="AH32" i="2"/>
  <c r="AH30" i="2"/>
  <c r="AH31" i="2"/>
  <c r="AH26" i="2"/>
  <c r="AH5" i="2"/>
  <c r="AH23" i="3"/>
  <c r="AH23" i="2" s="1"/>
  <c r="AH24" i="2"/>
  <c r="AH21" i="2"/>
  <c r="AH28" i="2"/>
  <c r="CD15" i="2"/>
  <c r="CD14" i="2"/>
  <c r="CD17" i="2"/>
  <c r="CD7" i="2"/>
  <c r="CD27" i="2"/>
  <c r="CD22" i="2"/>
  <c r="CD11" i="2"/>
  <c r="CD30" i="2"/>
  <c r="CD28" i="2"/>
  <c r="CD12" i="2"/>
  <c r="CD4" i="2"/>
  <c r="CD10" i="2"/>
  <c r="CD23" i="3"/>
  <c r="CD23" i="2" s="1"/>
  <c r="CD24" i="2"/>
  <c r="CD32" i="2"/>
  <c r="CD33" i="2"/>
  <c r="CD29" i="2"/>
  <c r="CD9" i="2"/>
  <c r="CD31" i="2"/>
  <c r="CD25" i="2"/>
  <c r="CD34" i="2"/>
  <c r="CD26" i="2"/>
  <c r="CD21" i="2"/>
  <c r="CD5" i="2"/>
  <c r="CD35" i="2"/>
  <c r="CD19" i="3"/>
  <c r="CD20" i="2"/>
  <c r="BT17" i="2"/>
  <c r="BT7" i="2"/>
  <c r="BT15" i="2"/>
  <c r="BT14" i="2"/>
  <c r="BT31" i="2"/>
  <c r="BT22" i="2"/>
  <c r="BT5" i="2"/>
  <c r="BT33" i="2"/>
  <c r="BT35" i="2"/>
  <c r="BT27" i="2"/>
  <c r="BT23" i="3"/>
  <c r="BT23" i="2" s="1"/>
  <c r="BT24" i="2"/>
  <c r="BT11" i="2"/>
  <c r="BT32" i="2"/>
  <c r="BT12" i="2"/>
  <c r="BT9" i="2"/>
  <c r="BT10" i="2"/>
  <c r="BT26" i="2"/>
  <c r="BT29" i="2"/>
  <c r="BT34" i="2"/>
  <c r="BT28" i="2"/>
  <c r="BT30" i="2"/>
  <c r="BT25" i="2"/>
  <c r="BT21" i="2"/>
  <c r="BT4" i="2"/>
  <c r="BT19" i="3"/>
  <c r="BT20" i="2"/>
  <c r="AN17" i="2"/>
  <c r="AN7" i="2"/>
  <c r="AN15" i="2"/>
  <c r="AN14" i="2"/>
  <c r="AN9" i="2"/>
  <c r="AN27" i="2"/>
  <c r="AN28" i="2"/>
  <c r="AN12" i="2"/>
  <c r="AN22" i="2"/>
  <c r="AN23" i="3"/>
  <c r="AN23" i="2" s="1"/>
  <c r="AN24" i="2"/>
  <c r="AN19" i="3"/>
  <c r="AN20" i="2"/>
  <c r="AN10" i="2"/>
  <c r="AN25" i="2"/>
  <c r="AN4" i="2"/>
  <c r="AN33" i="2"/>
  <c r="AN31" i="2"/>
  <c r="AN26" i="2"/>
  <c r="AN35" i="2"/>
  <c r="AN5" i="2"/>
  <c r="AN34" i="2"/>
  <c r="AN11" i="2"/>
  <c r="AN21" i="2"/>
  <c r="AN32" i="2"/>
  <c r="AN29" i="2"/>
  <c r="AN30" i="2"/>
  <c r="H17" i="2"/>
  <c r="H7" i="2"/>
  <c r="H15" i="2"/>
  <c r="H14" i="2"/>
  <c r="H35" i="2"/>
  <c r="H10" i="2"/>
  <c r="H29" i="2"/>
  <c r="H9" i="2"/>
  <c r="H31" i="2"/>
  <c r="H26" i="2"/>
  <c r="H28" i="2"/>
  <c r="H23" i="3"/>
  <c r="H23" i="2" s="1"/>
  <c r="H24" i="2"/>
  <c r="H30" i="2"/>
  <c r="H25" i="2"/>
  <c r="H34" i="2"/>
  <c r="H11" i="2"/>
  <c r="H12" i="2"/>
  <c r="H27" i="2"/>
  <c r="H4" i="2"/>
  <c r="H19" i="3"/>
  <c r="H20" i="2"/>
  <c r="H33" i="2"/>
  <c r="H22" i="2"/>
  <c r="H32" i="2"/>
  <c r="H21" i="2"/>
  <c r="H5" i="2"/>
  <c r="BJ15" i="2"/>
  <c r="BJ14" i="2"/>
  <c r="BJ17" i="2"/>
  <c r="BJ7" i="2"/>
  <c r="BJ25" i="2"/>
  <c r="BJ23" i="3"/>
  <c r="BJ23" i="2" s="1"/>
  <c r="BJ24" i="2"/>
  <c r="BJ27" i="2"/>
  <c r="BJ11" i="2"/>
  <c r="BJ31" i="2"/>
  <c r="BJ28" i="2"/>
  <c r="BJ26" i="2"/>
  <c r="BJ21" i="2"/>
  <c r="BJ4" i="2"/>
  <c r="BJ12" i="2"/>
  <c r="BJ34" i="2"/>
  <c r="BJ10" i="2"/>
  <c r="BJ29" i="2"/>
  <c r="BJ35" i="2"/>
  <c r="BJ32" i="2"/>
  <c r="BJ5" i="2"/>
  <c r="BJ22" i="2"/>
  <c r="BJ30" i="2"/>
  <c r="BJ33" i="2"/>
  <c r="BJ9" i="2"/>
  <c r="BJ19" i="3"/>
  <c r="BJ20" i="2"/>
  <c r="CK15" i="2"/>
  <c r="CK7" i="2"/>
  <c r="CK14" i="2"/>
  <c r="CK17" i="2"/>
  <c r="CK9" i="2"/>
  <c r="CK28" i="2"/>
  <c r="CK25" i="2"/>
  <c r="CK12" i="2"/>
  <c r="CK30" i="2"/>
  <c r="CK5" i="2"/>
  <c r="CK10" i="2"/>
  <c r="CK35" i="2"/>
  <c r="CK19" i="3"/>
  <c r="CK20" i="2"/>
  <c r="CK4" i="2"/>
  <c r="CK26" i="2"/>
  <c r="CK11" i="2"/>
  <c r="CK29" i="2"/>
  <c r="CK33" i="2"/>
  <c r="CK23" i="3"/>
  <c r="CK23" i="2" s="1"/>
  <c r="CK24" i="2"/>
  <c r="CK34" i="2"/>
  <c r="CK21" i="2"/>
  <c r="CK27" i="2"/>
  <c r="CK31" i="2"/>
  <c r="CK32" i="2"/>
  <c r="CK22" i="2"/>
  <c r="CC15" i="2"/>
  <c r="CC14" i="2"/>
  <c r="CC17" i="2"/>
  <c r="CC7" i="2"/>
  <c r="CC11" i="2"/>
  <c r="CC30" i="2"/>
  <c r="CC22" i="2"/>
  <c r="CC10" i="2"/>
  <c r="CC29" i="2"/>
  <c r="CC4" i="2"/>
  <c r="CC5" i="2"/>
  <c r="CC23" i="3"/>
  <c r="CC23" i="2" s="1"/>
  <c r="CC24" i="2"/>
  <c r="CC9" i="2"/>
  <c r="CC33" i="2"/>
  <c r="CC31" i="2"/>
  <c r="CC12" i="2"/>
  <c r="CC34" i="2"/>
  <c r="CC21" i="2"/>
  <c r="CC25" i="2"/>
  <c r="CC32" i="2"/>
  <c r="CC27" i="2"/>
  <c r="CC35" i="2"/>
  <c r="CC19" i="3"/>
  <c r="CC20" i="2"/>
  <c r="CC26" i="2"/>
  <c r="CC28" i="2"/>
  <c r="CF17" i="2"/>
  <c r="CF7" i="2"/>
  <c r="CF15" i="2"/>
  <c r="CF14" i="2"/>
  <c r="CF33" i="2"/>
  <c r="CF10" i="2"/>
  <c r="CF35" i="2"/>
  <c r="CF26" i="2"/>
  <c r="CF5" i="2"/>
  <c r="CF32" i="2"/>
  <c r="CF12" i="2"/>
  <c r="CF34" i="2"/>
  <c r="CF21" i="2"/>
  <c r="CF27" i="2"/>
  <c r="CF23" i="3"/>
  <c r="CF23" i="2" s="1"/>
  <c r="CF24" i="2"/>
  <c r="CF4" i="2"/>
  <c r="CF31" i="2"/>
  <c r="CF11" i="2"/>
  <c r="CF25" i="2"/>
  <c r="CF29" i="2"/>
  <c r="CF30" i="2"/>
  <c r="CF22" i="2"/>
  <c r="CF19" i="3"/>
  <c r="CF20" i="2"/>
  <c r="CF9" i="2"/>
  <c r="CF28" i="2"/>
  <c r="AZ17" i="2"/>
  <c r="AZ7" i="2"/>
  <c r="AZ15" i="2"/>
  <c r="AZ14" i="2"/>
  <c r="AZ21" i="2"/>
  <c r="AZ30" i="2"/>
  <c r="AZ19" i="3"/>
  <c r="AZ20" i="2"/>
  <c r="AZ4" i="2"/>
  <c r="AZ27" i="2"/>
  <c r="AZ33" i="2"/>
  <c r="AZ32" i="2"/>
  <c r="AZ22" i="2"/>
  <c r="AZ9" i="2"/>
  <c r="AZ29" i="2"/>
  <c r="AZ12" i="2"/>
  <c r="AZ31" i="2"/>
  <c r="AZ5" i="2"/>
  <c r="AZ35" i="2"/>
  <c r="AZ25" i="2"/>
  <c r="AZ10" i="2"/>
  <c r="AZ28" i="2"/>
  <c r="AZ11" i="2"/>
  <c r="AZ23" i="3"/>
  <c r="AZ23" i="2" s="1"/>
  <c r="AZ24" i="2"/>
  <c r="AZ34" i="2"/>
  <c r="AZ26" i="2"/>
  <c r="T17" i="2"/>
  <c r="T7" i="2"/>
  <c r="T15" i="2"/>
  <c r="T14" i="2"/>
  <c r="T12" i="2"/>
  <c r="T35" i="2"/>
  <c r="T11" i="2"/>
  <c r="T5" i="2"/>
  <c r="T31" i="2"/>
  <c r="T26" i="2"/>
  <c r="T21" i="2"/>
  <c r="T23" i="3"/>
  <c r="T23" i="2" s="1"/>
  <c r="T24" i="2"/>
  <c r="T30" i="2"/>
  <c r="T9" i="2"/>
  <c r="T32" i="2"/>
  <c r="T19" i="3"/>
  <c r="T20" i="2"/>
  <c r="T28" i="2"/>
  <c r="T25" i="2"/>
  <c r="T4" i="2"/>
  <c r="T34" i="2"/>
  <c r="T22" i="2"/>
  <c r="T10" i="2"/>
  <c r="T27" i="2"/>
  <c r="T29" i="2"/>
  <c r="T33" i="2"/>
  <c r="CH15" i="2"/>
  <c r="CH14" i="2"/>
  <c r="CH17" i="2"/>
  <c r="CH7" i="2"/>
  <c r="CH31" i="2"/>
  <c r="CH34" i="2"/>
  <c r="CH12" i="2"/>
  <c r="CH22" i="2"/>
  <c r="CH33" i="2"/>
  <c r="CH4" i="2"/>
  <c r="CH10" i="2"/>
  <c r="CH23" i="3"/>
  <c r="CH23" i="2" s="1"/>
  <c r="CH24" i="2"/>
  <c r="CH5" i="2"/>
  <c r="CH28" i="2"/>
  <c r="CH30" i="2"/>
  <c r="CH27" i="2"/>
  <c r="CH25" i="2"/>
  <c r="CH32" i="2"/>
  <c r="CH9" i="2"/>
  <c r="CH35" i="2"/>
  <c r="CH19" i="3"/>
  <c r="CH20" i="2"/>
  <c r="CH11" i="2"/>
  <c r="CH29" i="2"/>
  <c r="CH26" i="2"/>
  <c r="CH21" i="2"/>
  <c r="V15" i="2"/>
  <c r="V14" i="2"/>
  <c r="V17" i="2"/>
  <c r="V7" i="2"/>
  <c r="V19" i="3"/>
  <c r="V20" i="2"/>
  <c r="V26" i="2"/>
  <c r="V29" i="2"/>
  <c r="V28" i="2"/>
  <c r="V21" i="2"/>
  <c r="V22" i="2"/>
  <c r="V34" i="2"/>
  <c r="V12" i="2"/>
  <c r="V9" i="2"/>
  <c r="V33" i="2"/>
  <c r="V4" i="2"/>
  <c r="V10" i="2"/>
  <c r="V27" i="2"/>
  <c r="V5" i="2"/>
  <c r="V11" i="2"/>
  <c r="V30" i="2"/>
  <c r="V23" i="3"/>
  <c r="V23" i="2" s="1"/>
  <c r="V24" i="2"/>
  <c r="V25" i="2"/>
  <c r="V31" i="2"/>
  <c r="V32" i="2"/>
  <c r="V35" i="2"/>
  <c r="AS15" i="2"/>
  <c r="AS14" i="2"/>
  <c r="AS17" i="2"/>
  <c r="AS7" i="2"/>
  <c r="AS19" i="3"/>
  <c r="AS20" i="2"/>
  <c r="AS10" i="2"/>
  <c r="AS21" i="2"/>
  <c r="AS25" i="2"/>
  <c r="AS32" i="2"/>
  <c r="AS22" i="2"/>
  <c r="AS34" i="2"/>
  <c r="AS26" i="2"/>
  <c r="AS4" i="2"/>
  <c r="AS11" i="2"/>
  <c r="AS33" i="2"/>
  <c r="AS5" i="2"/>
  <c r="AS9" i="2"/>
  <c r="AS30" i="2"/>
  <c r="AS29" i="2"/>
  <c r="AS35" i="2"/>
  <c r="AS27" i="2"/>
  <c r="AS23" i="3"/>
  <c r="AS23" i="2" s="1"/>
  <c r="AS24" i="2"/>
  <c r="AS31" i="2"/>
  <c r="AS12" i="2"/>
  <c r="AS28" i="2"/>
  <c r="I15" i="2"/>
  <c r="I7" i="2"/>
  <c r="I14" i="2"/>
  <c r="I17" i="2"/>
  <c r="I23" i="3"/>
  <c r="I23" i="2" s="1"/>
  <c r="I24" i="2"/>
  <c r="I5" i="2"/>
  <c r="I33" i="2"/>
  <c r="I12" i="2"/>
  <c r="I30" i="2"/>
  <c r="I27" i="2"/>
  <c r="I11" i="2"/>
  <c r="I32" i="2"/>
  <c r="I21" i="2"/>
  <c r="I9" i="2"/>
  <c r="I29" i="2"/>
  <c r="I4" i="2"/>
  <c r="I35" i="2"/>
  <c r="I28" i="2"/>
  <c r="I31" i="2"/>
  <c r="I25" i="2"/>
  <c r="I10" i="2"/>
  <c r="I34" i="2"/>
  <c r="I19" i="3"/>
  <c r="I20" i="2"/>
  <c r="I22" i="2"/>
  <c r="I26" i="2"/>
  <c r="Q15" i="2"/>
  <c r="Q14" i="2"/>
  <c r="Q17" i="2"/>
  <c r="Q7" i="2"/>
  <c r="Q26" i="2"/>
  <c r="Q12" i="2"/>
  <c r="Q35" i="2"/>
  <c r="Q22" i="2"/>
  <c r="Q32" i="2"/>
  <c r="Q4" i="2"/>
  <c r="Q9" i="2"/>
  <c r="Q30" i="2"/>
  <c r="Q25" i="2"/>
  <c r="Q19" i="3"/>
  <c r="Q20" i="2"/>
  <c r="Q21" i="2"/>
  <c r="Q10" i="2"/>
  <c r="Q28" i="2"/>
  <c r="Q27" i="2"/>
  <c r="Q34" i="2"/>
  <c r="Q33" i="2"/>
  <c r="Q23" i="3"/>
  <c r="Q23" i="2" s="1"/>
  <c r="Q24" i="2"/>
  <c r="Q11" i="2"/>
  <c r="Q29" i="2"/>
  <c r="Q5" i="2"/>
  <c r="Q31" i="2"/>
  <c r="AT15" i="2"/>
  <c r="AT14" i="2"/>
  <c r="AT17" i="2"/>
  <c r="AT7" i="2"/>
  <c r="AT34" i="2"/>
  <c r="AT10" i="2"/>
  <c r="AT35" i="2"/>
  <c r="AT12" i="2"/>
  <c r="AT29" i="2"/>
  <c r="AT19" i="3"/>
  <c r="AT20" i="2"/>
  <c r="AT5" i="2"/>
  <c r="AT22" i="2"/>
  <c r="AT27" i="2"/>
  <c r="AT23" i="3"/>
  <c r="AT23" i="2" s="1"/>
  <c r="AT24" i="2"/>
  <c r="AT28" i="2"/>
  <c r="AT25" i="2"/>
  <c r="AT26" i="2"/>
  <c r="AT4" i="2"/>
  <c r="AT21" i="2"/>
  <c r="AT33" i="2"/>
  <c r="AT32" i="2"/>
  <c r="AT9" i="2"/>
  <c r="AT31" i="2"/>
  <c r="AT30" i="2"/>
  <c r="AT11" i="2"/>
  <c r="F14" i="2"/>
  <c r="F17" i="2"/>
  <c r="F7" i="2"/>
  <c r="F15" i="2"/>
  <c r="F23" i="3"/>
  <c r="F23" i="2" s="1"/>
  <c r="F24" i="2"/>
  <c r="F19" i="3"/>
  <c r="F20" i="2"/>
  <c r="F27" i="2"/>
  <c r="F11" i="2"/>
  <c r="F33" i="2"/>
  <c r="F4" i="2"/>
  <c r="F34" i="2"/>
  <c r="F30" i="2"/>
  <c r="F25" i="2"/>
  <c r="F21" i="2"/>
  <c r="F9" i="2"/>
  <c r="F28" i="2"/>
  <c r="F12" i="2"/>
  <c r="F22" i="2"/>
  <c r="F29" i="2"/>
  <c r="F31" i="2"/>
  <c r="F5" i="2"/>
  <c r="F35" i="2"/>
  <c r="F26" i="2"/>
  <c r="F10" i="2"/>
  <c r="F32" i="2"/>
  <c r="BE15" i="2"/>
  <c r="BE7" i="2"/>
  <c r="BE14" i="2"/>
  <c r="BE17" i="2"/>
  <c r="BE23" i="3"/>
  <c r="BE23" i="2" s="1"/>
  <c r="BE24" i="2"/>
  <c r="BE5" i="2"/>
  <c r="BE19" i="3"/>
  <c r="BE20" i="2"/>
  <c r="BE10" i="2"/>
  <c r="BE31" i="2"/>
  <c r="BE33" i="2"/>
  <c r="BE26" i="2"/>
  <c r="BE21" i="2"/>
  <c r="BE12" i="2"/>
  <c r="BE32" i="2"/>
  <c r="BE4" i="2"/>
  <c r="BE34" i="2"/>
  <c r="BE27" i="2"/>
  <c r="BE28" i="2"/>
  <c r="BE25" i="2"/>
  <c r="BE9" i="2"/>
  <c r="BE30" i="2"/>
  <c r="BE11" i="2"/>
  <c r="BE22" i="2"/>
  <c r="BE35" i="2"/>
  <c r="BE29" i="2"/>
  <c r="AG15" i="2"/>
  <c r="AG14" i="2"/>
  <c r="AG17" i="2"/>
  <c r="AG7" i="2"/>
  <c r="AG25" i="2"/>
  <c r="AG35" i="2"/>
  <c r="AG4" i="2"/>
  <c r="AG10" i="2"/>
  <c r="AG5" i="2"/>
  <c r="AG22" i="2"/>
  <c r="AG29" i="2"/>
  <c r="AG28" i="2"/>
  <c r="AG12" i="2"/>
  <c r="AG30" i="2"/>
  <c r="AG23" i="3"/>
  <c r="AG23" i="2" s="1"/>
  <c r="AG24" i="2"/>
  <c r="AG31" i="2"/>
  <c r="AG26" i="2"/>
  <c r="AG32" i="2"/>
  <c r="AG19" i="3"/>
  <c r="AG20" i="2"/>
  <c r="AG27" i="2"/>
  <c r="AG21" i="2"/>
  <c r="AG11" i="2"/>
  <c r="AG9" i="2"/>
  <c r="AG33" i="2"/>
  <c r="AG34" i="2"/>
  <c r="CA14" i="2"/>
  <c r="CA17" i="2"/>
  <c r="CA15" i="2"/>
  <c r="CA7" i="2"/>
  <c r="CA31" i="2"/>
  <c r="CA26" i="2"/>
  <c r="CA27" i="2"/>
  <c r="CA21" i="2"/>
  <c r="CA12" i="2"/>
  <c r="CA9" i="2"/>
  <c r="CA5" i="2"/>
  <c r="CA32" i="2"/>
  <c r="CA22" i="2"/>
  <c r="CA34" i="2"/>
  <c r="CA33" i="2"/>
  <c r="CA35" i="2"/>
  <c r="CA25" i="2"/>
  <c r="CA23" i="3"/>
  <c r="CA23" i="2" s="1"/>
  <c r="CA24" i="2"/>
  <c r="CA30" i="2"/>
  <c r="CA19" i="3"/>
  <c r="CA20" i="2"/>
  <c r="CA29" i="2"/>
  <c r="CA4" i="2"/>
  <c r="CA28" i="2"/>
  <c r="CA11" i="2"/>
  <c r="CA10" i="2"/>
  <c r="AU14" i="2"/>
  <c r="AU17" i="2"/>
  <c r="AU15" i="2"/>
  <c r="AU7" i="2"/>
  <c r="AU32" i="2"/>
  <c r="AU26" i="2"/>
  <c r="AU34" i="2"/>
  <c r="AU25" i="2"/>
  <c r="AU28" i="2"/>
  <c r="AU22" i="2"/>
  <c r="AU9" i="2"/>
  <c r="AU30" i="2"/>
  <c r="AU5" i="2"/>
  <c r="AU27" i="2"/>
  <c r="AU23" i="3"/>
  <c r="AU23" i="2" s="1"/>
  <c r="AU24" i="2"/>
  <c r="AU11" i="2"/>
  <c r="AU19" i="3"/>
  <c r="AU20" i="2"/>
  <c r="AU31" i="2"/>
  <c r="AU35" i="2"/>
  <c r="AU33" i="2"/>
  <c r="AU10" i="2"/>
  <c r="AU21" i="2"/>
  <c r="AU29" i="2"/>
  <c r="AU12" i="2"/>
  <c r="AU4" i="2"/>
  <c r="O14" i="2"/>
  <c r="O17" i="2"/>
  <c r="O15" i="2"/>
  <c r="O7" i="2"/>
  <c r="O19" i="3"/>
  <c r="O20" i="2"/>
  <c r="O27" i="2"/>
  <c r="O9" i="2"/>
  <c r="O11" i="2"/>
  <c r="O30" i="2"/>
  <c r="O23" i="3"/>
  <c r="O23" i="2" s="1"/>
  <c r="O24" i="2"/>
  <c r="O5" i="2"/>
  <c r="O32" i="2"/>
  <c r="O22" i="2"/>
  <c r="O29" i="2"/>
  <c r="O33" i="2"/>
  <c r="O31" i="2"/>
  <c r="O21" i="2"/>
  <c r="O34" i="2"/>
  <c r="O25" i="2"/>
  <c r="O12" i="2"/>
  <c r="O10" i="2"/>
  <c r="O26" i="2"/>
  <c r="O35" i="2"/>
  <c r="O4" i="2"/>
  <c r="O28" i="2"/>
  <c r="BV15" i="2"/>
  <c r="BV14" i="2"/>
  <c r="BV7" i="2"/>
  <c r="BV17" i="2"/>
  <c r="BV23" i="3"/>
  <c r="BV23" i="2" s="1"/>
  <c r="BV24" i="2"/>
  <c r="BV19" i="3"/>
  <c r="BV20" i="2"/>
  <c r="BV22" i="2"/>
  <c r="BV5" i="2"/>
  <c r="BV33" i="2"/>
  <c r="BV4" i="2"/>
  <c r="BV26" i="2"/>
  <c r="BV32" i="2"/>
  <c r="BV25" i="2"/>
  <c r="BV9" i="2"/>
  <c r="BV21" i="2"/>
  <c r="BV31" i="2"/>
  <c r="BV34" i="2"/>
  <c r="BV11" i="2"/>
  <c r="BV29" i="2"/>
  <c r="BV30" i="2"/>
  <c r="BV27" i="2"/>
  <c r="BV35" i="2"/>
  <c r="BV12" i="2"/>
  <c r="BV10" i="2"/>
  <c r="BV28" i="2"/>
  <c r="BW14" i="2"/>
  <c r="BW17" i="2"/>
  <c r="BW15" i="2"/>
  <c r="BW7" i="2"/>
  <c r="BW22" i="2"/>
  <c r="BW34" i="2"/>
  <c r="BW25" i="2"/>
  <c r="BW29" i="2"/>
  <c r="BW21" i="2"/>
  <c r="BW12" i="2"/>
  <c r="BW28" i="2"/>
  <c r="BW27" i="2"/>
  <c r="BW11" i="2"/>
  <c r="BW23" i="3"/>
  <c r="BW23" i="2" s="1"/>
  <c r="BW24" i="2"/>
  <c r="BW31" i="2"/>
  <c r="BW19" i="3"/>
  <c r="BW20" i="2"/>
  <c r="BW5" i="2"/>
  <c r="BW4" i="2"/>
  <c r="BW35" i="2"/>
  <c r="BW26" i="2"/>
  <c r="BW30" i="2"/>
  <c r="BW10" i="2"/>
  <c r="BW33" i="2"/>
  <c r="BW32" i="2"/>
  <c r="BW9" i="2"/>
  <c r="AQ14" i="2"/>
  <c r="AQ17" i="2"/>
  <c r="AQ15" i="2"/>
  <c r="AQ7" i="2"/>
  <c r="AQ19" i="3"/>
  <c r="AQ20" i="2"/>
  <c r="AQ35" i="2"/>
  <c r="AQ4" i="2"/>
  <c r="AQ21" i="2"/>
  <c r="AQ11" i="2"/>
  <c r="AQ26" i="2"/>
  <c r="AQ23" i="3"/>
  <c r="AQ23" i="2" s="1"/>
  <c r="AQ24" i="2"/>
  <c r="AQ22" i="2"/>
  <c r="AQ9" i="2"/>
  <c r="AQ33" i="2"/>
  <c r="AQ34" i="2"/>
  <c r="AQ10" i="2"/>
  <c r="AQ32" i="2"/>
  <c r="AQ29" i="2"/>
  <c r="AQ25" i="2"/>
  <c r="AQ12" i="2"/>
  <c r="AQ31" i="2"/>
  <c r="AQ5" i="2"/>
  <c r="AQ30" i="2"/>
  <c r="AQ27" i="2"/>
  <c r="AQ28" i="2"/>
  <c r="K14" i="2"/>
  <c r="K17" i="2"/>
  <c r="K15" i="2"/>
  <c r="K7" i="2"/>
  <c r="K35" i="2"/>
  <c r="K5" i="2"/>
  <c r="K23" i="3"/>
  <c r="K23" i="2" s="1"/>
  <c r="K24" i="2"/>
  <c r="K30" i="2"/>
  <c r="K4" i="2"/>
  <c r="K26" i="2"/>
  <c r="K25" i="2"/>
  <c r="K11" i="2"/>
  <c r="K32" i="2"/>
  <c r="K10" i="2"/>
  <c r="K28" i="2"/>
  <c r="K12" i="2"/>
  <c r="K29" i="2"/>
  <c r="K22" i="2"/>
  <c r="K31" i="2"/>
  <c r="K9" i="2"/>
  <c r="K27" i="2"/>
  <c r="K34" i="2"/>
  <c r="K21" i="2"/>
  <c r="K19" i="3"/>
  <c r="K20" i="2"/>
  <c r="K33" i="2"/>
  <c r="BA15" i="2"/>
  <c r="BA14" i="2"/>
  <c r="BA7" i="2"/>
  <c r="BA17" i="2"/>
  <c r="BA25" i="2"/>
  <c r="BA21" i="2"/>
  <c r="BA4" i="2"/>
  <c r="BA22" i="2"/>
  <c r="BA26" i="2"/>
  <c r="BA5" i="2"/>
  <c r="BA34" i="2"/>
  <c r="BA27" i="2"/>
  <c r="BA23" i="3"/>
  <c r="BA23" i="2" s="1"/>
  <c r="BA24" i="2"/>
  <c r="BA35" i="2"/>
  <c r="BA31" i="2"/>
  <c r="BA10" i="2"/>
  <c r="BA32" i="2"/>
  <c r="BA33" i="2"/>
  <c r="BA12" i="2"/>
  <c r="BA19" i="3"/>
  <c r="BA20" i="2"/>
  <c r="BA29" i="2"/>
  <c r="BA9" i="2"/>
  <c r="BA11" i="2"/>
  <c r="BA30" i="2"/>
  <c r="BA28" i="2"/>
  <c r="BF15" i="2"/>
  <c r="BF14" i="2"/>
  <c r="BF7" i="2"/>
  <c r="BF17" i="2"/>
  <c r="BF10" i="2"/>
  <c r="BF33" i="2"/>
  <c r="BF26" i="2"/>
  <c r="BF9" i="2"/>
  <c r="BF19" i="3"/>
  <c r="BF20" i="2"/>
  <c r="BF21" i="2"/>
  <c r="BF30" i="2"/>
  <c r="BF28" i="2"/>
  <c r="BF23" i="3"/>
  <c r="BF23" i="2" s="1"/>
  <c r="BF24" i="2"/>
  <c r="BF29" i="2"/>
  <c r="BF12" i="2"/>
  <c r="BF11" i="2"/>
  <c r="BF32" i="2"/>
  <c r="BF4" i="2"/>
  <c r="BF5" i="2"/>
  <c r="BF25" i="2"/>
  <c r="BF22" i="2"/>
  <c r="BF35" i="2"/>
  <c r="BF27" i="2"/>
  <c r="BF34" i="2"/>
  <c r="BF31" i="2"/>
  <c r="CI14" i="2"/>
  <c r="CI17" i="2"/>
  <c r="CI15" i="2"/>
  <c r="CI7" i="2"/>
  <c r="CI11" i="2"/>
  <c r="CI30" i="2"/>
  <c r="CI23" i="3"/>
  <c r="CI23" i="2" s="1"/>
  <c r="CI24" i="2"/>
  <c r="CI25" i="2"/>
  <c r="CI31" i="2"/>
  <c r="CI4" i="2"/>
  <c r="CI32" i="2"/>
  <c r="CI19" i="3"/>
  <c r="CI20" i="2"/>
  <c r="CI33" i="2"/>
  <c r="CI10" i="2"/>
  <c r="CI21" i="2"/>
  <c r="CI28" i="2"/>
  <c r="CI29" i="2"/>
  <c r="CI22" i="2"/>
  <c r="CI34" i="2"/>
  <c r="CI27" i="2"/>
  <c r="CI26" i="2"/>
  <c r="CI12" i="2"/>
  <c r="CI9" i="2"/>
  <c r="CI5" i="2"/>
  <c r="CI35" i="2"/>
  <c r="BC14" i="2"/>
  <c r="BC17" i="2"/>
  <c r="BC15" i="2"/>
  <c r="BC7" i="2"/>
  <c r="BC4" i="2"/>
  <c r="BC11" i="2"/>
  <c r="BC26" i="2"/>
  <c r="BC21" i="2"/>
  <c r="BC33" i="2"/>
  <c r="BC10" i="2"/>
  <c r="BC31" i="2"/>
  <c r="BC12" i="2"/>
  <c r="BC25" i="2"/>
  <c r="BC34" i="2"/>
  <c r="BC27" i="2"/>
  <c r="BC5" i="2"/>
  <c r="BC28" i="2"/>
  <c r="BC30" i="2"/>
  <c r="BC9" i="2"/>
  <c r="BC29" i="2"/>
  <c r="BC35" i="2"/>
  <c r="BC22" i="2"/>
  <c r="BC19" i="3"/>
  <c r="BC20" i="2"/>
  <c r="BC32" i="2"/>
  <c r="BC23" i="3"/>
  <c r="BC23" i="2" s="1"/>
  <c r="BC24" i="2"/>
  <c r="W14" i="2"/>
  <c r="W17" i="2"/>
  <c r="W15" i="2"/>
  <c r="W7" i="2"/>
  <c r="W5" i="2"/>
  <c r="W30" i="2"/>
  <c r="W4" i="2"/>
  <c r="W26" i="2"/>
  <c r="W35" i="2"/>
  <c r="W12" i="2"/>
  <c r="W21" i="2"/>
  <c r="W34" i="2"/>
  <c r="W10" i="2"/>
  <c r="W22" i="2"/>
  <c r="W28" i="2"/>
  <c r="W9" i="2"/>
  <c r="W27" i="2"/>
  <c r="W11" i="2"/>
  <c r="W29" i="2"/>
  <c r="W32" i="2"/>
  <c r="W23" i="3"/>
  <c r="W23" i="2" s="1"/>
  <c r="W24" i="2"/>
  <c r="W19" i="3"/>
  <c r="W20" i="2"/>
  <c r="W33" i="2"/>
  <c r="W31" i="2"/>
  <c r="W25" i="2"/>
  <c r="CB17" i="2"/>
  <c r="CB7" i="2"/>
  <c r="CB15" i="2"/>
  <c r="CB14" i="2"/>
  <c r="CB11" i="2"/>
  <c r="CB35" i="2"/>
  <c r="CB28" i="2"/>
  <c r="CB9" i="2"/>
  <c r="CB27" i="2"/>
  <c r="CB21" i="2"/>
  <c r="CB30" i="2"/>
  <c r="CB25" i="2"/>
  <c r="CB10" i="2"/>
  <c r="CB31" i="2"/>
  <c r="CB26" i="2"/>
  <c r="CB4" i="2"/>
  <c r="CB32" i="2"/>
  <c r="CB33" i="2"/>
  <c r="CB12" i="2"/>
  <c r="CB19" i="3"/>
  <c r="CB20" i="2"/>
  <c r="CB29" i="2"/>
  <c r="CB23" i="3"/>
  <c r="CB23" i="2" s="1"/>
  <c r="CB24" i="2"/>
  <c r="CB5" i="2"/>
  <c r="CB34" i="2"/>
  <c r="CB22" i="2"/>
  <c r="AV17" i="2"/>
  <c r="AV7" i="2"/>
  <c r="AV15" i="2"/>
  <c r="AV14" i="2"/>
  <c r="AV22" i="2"/>
  <c r="AV11" i="2"/>
  <c r="AV29" i="2"/>
  <c r="AV30" i="2"/>
  <c r="AV21" i="2"/>
  <c r="AV5" i="2"/>
  <c r="AV27" i="2"/>
  <c r="AV19" i="3"/>
  <c r="AV20" i="2"/>
  <c r="AV10" i="2"/>
  <c r="AV32" i="2"/>
  <c r="AV34" i="2"/>
  <c r="AV9" i="2"/>
  <c r="AV35" i="2"/>
  <c r="AV25" i="2"/>
  <c r="AV12" i="2"/>
  <c r="AV33" i="2"/>
  <c r="AV23" i="3"/>
  <c r="AV23" i="2" s="1"/>
  <c r="AV24" i="2"/>
  <c r="AV26" i="2"/>
  <c r="AV28" i="2"/>
  <c r="AV4" i="2"/>
  <c r="AV31" i="2"/>
  <c r="P17" i="2"/>
  <c r="P7" i="2"/>
  <c r="P15" i="2"/>
  <c r="P14" i="2"/>
  <c r="P26" i="2"/>
  <c r="P33" i="2"/>
  <c r="P28" i="2"/>
  <c r="P19" i="3"/>
  <c r="P20" i="2"/>
  <c r="P35" i="2"/>
  <c r="P30" i="2"/>
  <c r="P10" i="2"/>
  <c r="P34" i="2"/>
  <c r="P27" i="2"/>
  <c r="P21" i="2"/>
  <c r="P11" i="2"/>
  <c r="P32" i="2"/>
  <c r="P9" i="2"/>
  <c r="P5" i="2"/>
  <c r="P31" i="2"/>
  <c r="P22" i="2"/>
  <c r="P23" i="3"/>
  <c r="P23" i="2" s="1"/>
  <c r="P24" i="2"/>
  <c r="P25" i="2"/>
  <c r="P12" i="2"/>
  <c r="P4" i="2"/>
  <c r="P29" i="2"/>
  <c r="BO14" i="2"/>
  <c r="BO17" i="2"/>
  <c r="BO7" i="2"/>
  <c r="BO15" i="2"/>
  <c r="BO33" i="2"/>
  <c r="BO35" i="2"/>
  <c r="BO34" i="2"/>
  <c r="BO19" i="3"/>
  <c r="BO20" i="2"/>
  <c r="BO31" i="2"/>
  <c r="BO10" i="2"/>
  <c r="BO22" i="2"/>
  <c r="BO32" i="2"/>
  <c r="BO25" i="2"/>
  <c r="BO5" i="2"/>
  <c r="BO30" i="2"/>
  <c r="BO29" i="2"/>
  <c r="BO12" i="2"/>
  <c r="BO9" i="2"/>
  <c r="BO4" i="2"/>
  <c r="BO28" i="2"/>
  <c r="BO11" i="2"/>
  <c r="BO21" i="2"/>
  <c r="BO27" i="2"/>
  <c r="BO23" i="3"/>
  <c r="BO23" i="2" s="1"/>
  <c r="BO24" i="2"/>
  <c r="BO26" i="2"/>
  <c r="AI14" i="2"/>
  <c r="AI17" i="2"/>
  <c r="AI7" i="2"/>
  <c r="AI15" i="2"/>
  <c r="AI25" i="2"/>
  <c r="AI12" i="2"/>
  <c r="AI9" i="2"/>
  <c r="AI4" i="2"/>
  <c r="AI31" i="2"/>
  <c r="AI11" i="2"/>
  <c r="AI21" i="2"/>
  <c r="AI27" i="2"/>
  <c r="AI23" i="3"/>
  <c r="AI23" i="2" s="1"/>
  <c r="AI24" i="2"/>
  <c r="AI5" i="2"/>
  <c r="AI33" i="2"/>
  <c r="AI26" i="2"/>
  <c r="AI34" i="2"/>
  <c r="AI22" i="2"/>
  <c r="AI28" i="2"/>
  <c r="AI10" i="2"/>
  <c r="AI19" i="3"/>
  <c r="AI20" i="2"/>
  <c r="AI32" i="2"/>
  <c r="AI35" i="2"/>
  <c r="AI29" i="2"/>
  <c r="AI30" i="2"/>
  <c r="AK15" i="2"/>
  <c r="AK14" i="2"/>
  <c r="AK7" i="2"/>
  <c r="AK17" i="2"/>
  <c r="AK11" i="2"/>
  <c r="AK29" i="2"/>
  <c r="AK9" i="2"/>
  <c r="AK4" i="2"/>
  <c r="AK34" i="2"/>
  <c r="AK5" i="2"/>
  <c r="AK19" i="3"/>
  <c r="AK20" i="2"/>
  <c r="AK35" i="2"/>
  <c r="AK28" i="2"/>
  <c r="AK23" i="3"/>
  <c r="AK23" i="2" s="1"/>
  <c r="AK24" i="2"/>
  <c r="AK26" i="2"/>
  <c r="AK25" i="2"/>
  <c r="AK27" i="2"/>
  <c r="AK31" i="2"/>
  <c r="AK22" i="2"/>
  <c r="AK30" i="2"/>
  <c r="AK21" i="2"/>
  <c r="AK10" i="2"/>
  <c r="AK32" i="2"/>
  <c r="AK33" i="2"/>
  <c r="AK12" i="2"/>
  <c r="Z15" i="2"/>
  <c r="Z14" i="2"/>
  <c r="Z7" i="2"/>
  <c r="Z17" i="2"/>
  <c r="Z31" i="2"/>
  <c r="Z19" i="3"/>
  <c r="Z20" i="2"/>
  <c r="Z26" i="2"/>
  <c r="Z9" i="2"/>
  <c r="Z35" i="2"/>
  <c r="Z4" i="2"/>
  <c r="Z5" i="2"/>
  <c r="Z29" i="2"/>
  <c r="Z25" i="2"/>
  <c r="Z27" i="2"/>
  <c r="Z21" i="2"/>
  <c r="Z32" i="2"/>
  <c r="Z12" i="2"/>
  <c r="Z11" i="2"/>
  <c r="Z33" i="2"/>
  <c r="Z30" i="2"/>
  <c r="Z22" i="2"/>
  <c r="Z34" i="2"/>
  <c r="Z23" i="3"/>
  <c r="Z23" i="2" s="1"/>
  <c r="Z24" i="2"/>
  <c r="Z10" i="2"/>
  <c r="Z28" i="2"/>
  <c r="BH17" i="2"/>
  <c r="BH7" i="2"/>
  <c r="BH15" i="2"/>
  <c r="BH14" i="2"/>
  <c r="BH28" i="2"/>
  <c r="BH35" i="2"/>
  <c r="BH27" i="2"/>
  <c r="BH29" i="2"/>
  <c r="BH21" i="2"/>
  <c r="BH5" i="2"/>
  <c r="BH26" i="2"/>
  <c r="BH25" i="2"/>
  <c r="BH19" i="3"/>
  <c r="BH20" i="2"/>
  <c r="BH30" i="2"/>
  <c r="BH23" i="3"/>
  <c r="BH23" i="2" s="1"/>
  <c r="BH24" i="2"/>
  <c r="BH34" i="2"/>
  <c r="BH31" i="2"/>
  <c r="BH10" i="2"/>
  <c r="BH11" i="2"/>
  <c r="BH32" i="2"/>
  <c r="BH9" i="2"/>
  <c r="BH22" i="2"/>
  <c r="BH4" i="2"/>
  <c r="BH12" i="2"/>
  <c r="BH33" i="2"/>
  <c r="AB17" i="2"/>
  <c r="AB7" i="2"/>
  <c r="AB15" i="2"/>
  <c r="AB14" i="2"/>
  <c r="AB5" i="2"/>
  <c r="AB22" i="2"/>
  <c r="AB25" i="2"/>
  <c r="AB9" i="2"/>
  <c r="AB30" i="2"/>
  <c r="AB35" i="2"/>
  <c r="AB21" i="2"/>
  <c r="AB34" i="2"/>
  <c r="AB28" i="2"/>
  <c r="AB10" i="2"/>
  <c r="AB32" i="2"/>
  <c r="AB26" i="2"/>
  <c r="AB31" i="2"/>
  <c r="AB11" i="2"/>
  <c r="AB27" i="2"/>
  <c r="AB23" i="3"/>
  <c r="AB23" i="2" s="1"/>
  <c r="AB24" i="2"/>
  <c r="AB12" i="2"/>
  <c r="AB33" i="2"/>
  <c r="AB4" i="2"/>
  <c r="AB19" i="3"/>
  <c r="AB20" i="2"/>
  <c r="AB29" i="2"/>
  <c r="AL15" i="2"/>
  <c r="AL14" i="2"/>
  <c r="AL17" i="2"/>
  <c r="AL7" i="2"/>
  <c r="AL27" i="2"/>
  <c r="AL29" i="2"/>
  <c r="AL21" i="2"/>
  <c r="AL5" i="2"/>
  <c r="AL35" i="2"/>
  <c r="AL26" i="2"/>
  <c r="AL10" i="2"/>
  <c r="AL19" i="3"/>
  <c r="AL20" i="2"/>
  <c r="AL31" i="2"/>
  <c r="AL12" i="2"/>
  <c r="AL30" i="2"/>
  <c r="AL4" i="2"/>
  <c r="AL34" i="2"/>
  <c r="AL25" i="2"/>
  <c r="AL22" i="2"/>
  <c r="AL32" i="2"/>
  <c r="AL9" i="2"/>
  <c r="AL33" i="2"/>
  <c r="AL11" i="2"/>
  <c r="AL28" i="2"/>
  <c r="AL23" i="3"/>
  <c r="AL23" i="2" s="1"/>
  <c r="AL24" i="2"/>
  <c r="BI15" i="2"/>
  <c r="BI14" i="2"/>
  <c r="BI17" i="2"/>
  <c r="BI7" i="2"/>
  <c r="BI28" i="2"/>
  <c r="BI5" i="2"/>
  <c r="BI34" i="2"/>
  <c r="BI33" i="2"/>
  <c r="BI30" i="2"/>
  <c r="BI10" i="2"/>
  <c r="BI9" i="2"/>
  <c r="BI31" i="2"/>
  <c r="BI19" i="3"/>
  <c r="BI20" i="2"/>
  <c r="BI21" i="2"/>
  <c r="BI4" i="2"/>
  <c r="BI11" i="2"/>
  <c r="BI35" i="2"/>
  <c r="BI12" i="2"/>
  <c r="BI26" i="2"/>
  <c r="BI32" i="2"/>
  <c r="BI25" i="2"/>
  <c r="BI23" i="3"/>
  <c r="BI23" i="2" s="1"/>
  <c r="BI24" i="2"/>
  <c r="BI22" i="2"/>
  <c r="BI29" i="2"/>
  <c r="BI27" i="2"/>
  <c r="AO15" i="2"/>
  <c r="AO7" i="2"/>
  <c r="AO14" i="2"/>
  <c r="AO17" i="2"/>
  <c r="AO10" i="2"/>
  <c r="AO31" i="2"/>
  <c r="AO22" i="2"/>
  <c r="AO28" i="2"/>
  <c r="AO34" i="2"/>
  <c r="AO5" i="2"/>
  <c r="AO4" i="2"/>
  <c r="AO27" i="2"/>
  <c r="AO11" i="2"/>
  <c r="AO25" i="2"/>
  <c r="AO26" i="2"/>
  <c r="AO23" i="3"/>
  <c r="AO23" i="2" s="1"/>
  <c r="AO24" i="2"/>
  <c r="AO29" i="2"/>
  <c r="AO33" i="2"/>
  <c r="AO12" i="2"/>
  <c r="AO35" i="2"/>
  <c r="AO21" i="2"/>
  <c r="AO9" i="2"/>
  <c r="AO30" i="2"/>
  <c r="AO32" i="2"/>
  <c r="AO19" i="3"/>
  <c r="AO20" i="2"/>
  <c r="AW15" i="2"/>
  <c r="AW14" i="2"/>
  <c r="AW17" i="2"/>
  <c r="AW7" i="2"/>
  <c r="AW23" i="3"/>
  <c r="AW23" i="2" s="1"/>
  <c r="AW24" i="2"/>
  <c r="AW29" i="2"/>
  <c r="AW31" i="2"/>
  <c r="AW28" i="2"/>
  <c r="AW35" i="2"/>
  <c r="AW21" i="2"/>
  <c r="AW19" i="3"/>
  <c r="AW20" i="2"/>
  <c r="AW33" i="2"/>
  <c r="AW32" i="2"/>
  <c r="AW4" i="2"/>
  <c r="AW12" i="2"/>
  <c r="AW26" i="2"/>
  <c r="AW10" i="2"/>
  <c r="AW25" i="2"/>
  <c r="AW30" i="2"/>
  <c r="AW5" i="2"/>
  <c r="AW22" i="2"/>
  <c r="AW27" i="2"/>
  <c r="AW11" i="2"/>
  <c r="AW9" i="2"/>
  <c r="AW34" i="2"/>
  <c r="CJ17" i="2"/>
  <c r="CJ7" i="2"/>
  <c r="CJ15" i="2"/>
  <c r="CJ14" i="2"/>
  <c r="CJ23" i="3"/>
  <c r="CJ23" i="2" s="1"/>
  <c r="CJ24" i="2"/>
  <c r="CJ31" i="2"/>
  <c r="CJ35" i="2"/>
  <c r="CJ27" i="2"/>
  <c r="CJ32" i="2"/>
  <c r="CJ34" i="2"/>
  <c r="CJ19" i="3"/>
  <c r="CJ20" i="2"/>
  <c r="CJ9" i="2"/>
  <c r="CJ29" i="2"/>
  <c r="CJ11" i="2"/>
  <c r="CJ10" i="2"/>
  <c r="CJ30" i="2"/>
  <c r="CJ28" i="2"/>
  <c r="CJ12" i="2"/>
  <c r="CJ25" i="2"/>
  <c r="CJ22" i="2"/>
  <c r="CJ4" i="2"/>
  <c r="CJ5" i="2"/>
  <c r="CJ21" i="2"/>
  <c r="CJ33" i="2"/>
  <c r="CJ26" i="2"/>
  <c r="BD17" i="2"/>
  <c r="BD7" i="2"/>
  <c r="BD15" i="2"/>
  <c r="BD14" i="2"/>
  <c r="BD19" i="3"/>
  <c r="BD20" i="2"/>
  <c r="BD11" i="2"/>
  <c r="BD28" i="2"/>
  <c r="BD30" i="2"/>
  <c r="BD25" i="2"/>
  <c r="BD29" i="2"/>
  <c r="BD21" i="2"/>
  <c r="BD35" i="2"/>
  <c r="BD12" i="2"/>
  <c r="BD34" i="2"/>
  <c r="BD4" i="2"/>
  <c r="BD33" i="2"/>
  <c r="BD26" i="2"/>
  <c r="BD5" i="2"/>
  <c r="BD32" i="2"/>
  <c r="BD10" i="2"/>
  <c r="BD27" i="2"/>
  <c r="BD9" i="2"/>
  <c r="BD31" i="2"/>
  <c r="BD22" i="2"/>
  <c r="BD23" i="3"/>
  <c r="BD23" i="2" s="1"/>
  <c r="BD24" i="2"/>
  <c r="X17" i="2"/>
  <c r="X7" i="2"/>
  <c r="X15" i="2"/>
  <c r="X14" i="2"/>
  <c r="X31" i="2"/>
  <c r="X4" i="2"/>
  <c r="X30" i="2"/>
  <c r="X12" i="2"/>
  <c r="X33" i="2"/>
  <c r="X22" i="2"/>
  <c r="X34" i="2"/>
  <c r="X28" i="2"/>
  <c r="X26" i="2"/>
  <c r="X29" i="2"/>
  <c r="X9" i="2"/>
  <c r="X11" i="2"/>
  <c r="X27" i="2"/>
  <c r="X32" i="2"/>
  <c r="X25" i="2"/>
  <c r="X35" i="2"/>
  <c r="X23" i="3"/>
  <c r="X23" i="2" s="1"/>
  <c r="X24" i="2"/>
  <c r="X19" i="3"/>
  <c r="X20" i="2"/>
  <c r="X10" i="2"/>
  <c r="X5" i="2"/>
  <c r="X21" i="2"/>
  <c r="AD15" i="2"/>
  <c r="AD14" i="2"/>
  <c r="AD17" i="2"/>
  <c r="AD7" i="2"/>
  <c r="AD28" i="2"/>
  <c r="AD32" i="2"/>
  <c r="AD25" i="2"/>
  <c r="AD23" i="3"/>
  <c r="AD23" i="2" s="1"/>
  <c r="AD24" i="2"/>
  <c r="AD10" i="2"/>
  <c r="AD9" i="2"/>
  <c r="AD34" i="2"/>
  <c r="AD12" i="2"/>
  <c r="AD31" i="2"/>
  <c r="AD27" i="2"/>
  <c r="AD21" i="2"/>
  <c r="AD33" i="2"/>
  <c r="AD5" i="2"/>
  <c r="AD22" i="2"/>
  <c r="AD35" i="2"/>
  <c r="AD26" i="2"/>
  <c r="AD4" i="2"/>
  <c r="AD19" i="3"/>
  <c r="AD20" i="2"/>
  <c r="AD30" i="2"/>
  <c r="AD11" i="2"/>
  <c r="AD29" i="2"/>
  <c r="Y15" i="2"/>
  <c r="Y7" i="2"/>
  <c r="Y14" i="2"/>
  <c r="Y17" i="2"/>
  <c r="Y5" i="2"/>
  <c r="Y22" i="2"/>
  <c r="Y31" i="2"/>
  <c r="Y26" i="2"/>
  <c r="Y12" i="2"/>
  <c r="Y9" i="2"/>
  <c r="Y32" i="2"/>
  <c r="Y23" i="3"/>
  <c r="Y23" i="2" s="1"/>
  <c r="Y24" i="2"/>
  <c r="Y25" i="2"/>
  <c r="Y30" i="2"/>
  <c r="Y28" i="2"/>
  <c r="Y11" i="2"/>
  <c r="Y35" i="2"/>
  <c r="Y4" i="2"/>
  <c r="Y10" i="2"/>
  <c r="Y29" i="2"/>
  <c r="Y33" i="2"/>
  <c r="Y21" i="2"/>
  <c r="Y19" i="3"/>
  <c r="Y20" i="2"/>
  <c r="Y27" i="2"/>
  <c r="Y34" i="2"/>
  <c r="AX15" i="2"/>
  <c r="AX14" i="2"/>
  <c r="AX17" i="2"/>
  <c r="AX7" i="2"/>
  <c r="AX10" i="2"/>
  <c r="AX26" i="2"/>
  <c r="AX34" i="2"/>
  <c r="AX22" i="2"/>
  <c r="AX28" i="2"/>
  <c r="AX11" i="2"/>
  <c r="AX5" i="2"/>
  <c r="AX30" i="2"/>
  <c r="AX21" i="2"/>
  <c r="AX23" i="3"/>
  <c r="AX23" i="2" s="1"/>
  <c r="AX24" i="2"/>
  <c r="AX29" i="2"/>
  <c r="AX35" i="2"/>
  <c r="AX4" i="2"/>
  <c r="AX19" i="3"/>
  <c r="AX20" i="2"/>
  <c r="AX32" i="2"/>
  <c r="AX12" i="2"/>
  <c r="AX31" i="2"/>
  <c r="AX25" i="2"/>
  <c r="AX27" i="2"/>
  <c r="AX9" i="2"/>
  <c r="AX33" i="2"/>
  <c r="BP17" i="2"/>
  <c r="BP7" i="2"/>
  <c r="BP15" i="2"/>
  <c r="BP14" i="2"/>
  <c r="BP21" i="2"/>
  <c r="BP31" i="2"/>
  <c r="BP11" i="2"/>
  <c r="BP23" i="3"/>
  <c r="BP23" i="2" s="1"/>
  <c r="BP24" i="2"/>
  <c r="BP29" i="2"/>
  <c r="BP4" i="2"/>
  <c r="BP22" i="2"/>
  <c r="BP19" i="3"/>
  <c r="BP20" i="2"/>
  <c r="BP9" i="2"/>
  <c r="BP28" i="2"/>
  <c r="BP30" i="2"/>
  <c r="BP5" i="2"/>
  <c r="BP35" i="2"/>
  <c r="BP26" i="2"/>
  <c r="BP33" i="2"/>
  <c r="BP32" i="2"/>
  <c r="BP10" i="2"/>
  <c r="BP34" i="2"/>
  <c r="BP12" i="2"/>
  <c r="BP27" i="2"/>
  <c r="BP25" i="2"/>
  <c r="AJ17" i="2"/>
  <c r="AJ7" i="2"/>
  <c r="AJ15" i="2"/>
  <c r="AJ14" i="2"/>
  <c r="AJ26" i="2"/>
  <c r="AJ9" i="2"/>
  <c r="AJ31" i="2"/>
  <c r="AJ4" i="2"/>
  <c r="AJ32" i="2"/>
  <c r="AJ19" i="3"/>
  <c r="AJ20" i="2"/>
  <c r="AJ23" i="3"/>
  <c r="AJ23" i="2" s="1"/>
  <c r="AJ24" i="2"/>
  <c r="AJ27" i="2"/>
  <c r="AJ21" i="2"/>
  <c r="AJ25" i="2"/>
  <c r="AJ34" i="2"/>
  <c r="AJ28" i="2"/>
  <c r="AJ5" i="2"/>
  <c r="AJ33" i="2"/>
  <c r="AJ11" i="2"/>
  <c r="AJ10" i="2"/>
  <c r="AJ35" i="2"/>
  <c r="AJ30" i="2"/>
  <c r="AJ29" i="2"/>
  <c r="AJ22" i="2"/>
  <c r="AJ12" i="2"/>
  <c r="BB15" i="2"/>
  <c r="BB14" i="2"/>
  <c r="BB17" i="2"/>
  <c r="BB7" i="2"/>
  <c r="BB22" i="2"/>
  <c r="BB34" i="2"/>
  <c r="BB28" i="2"/>
  <c r="BB5" i="2"/>
  <c r="BB29" i="2"/>
  <c r="BB23" i="3"/>
  <c r="BB23" i="2" s="1"/>
  <c r="BB24" i="2"/>
  <c r="BB9" i="2"/>
  <c r="BB26" i="2"/>
  <c r="BB4" i="2"/>
  <c r="BB10" i="2"/>
  <c r="BB25" i="2"/>
  <c r="BB12" i="2"/>
  <c r="BB35" i="2"/>
  <c r="BB11" i="2"/>
  <c r="BB30" i="2"/>
  <c r="BB32" i="2"/>
  <c r="BB31" i="2"/>
  <c r="BB33" i="2"/>
  <c r="BB21" i="2"/>
  <c r="BB27" i="2"/>
  <c r="BB19" i="3"/>
  <c r="BB20" i="2"/>
  <c r="BY15" i="2"/>
  <c r="BY14" i="2"/>
  <c r="BY17" i="2"/>
  <c r="BY7" i="2"/>
  <c r="BY4" i="2"/>
  <c r="BY10" i="2"/>
  <c r="BY26" i="2"/>
  <c r="BY27" i="2"/>
  <c r="BY28" i="2"/>
  <c r="BY12" i="2"/>
  <c r="BY23" i="3"/>
  <c r="BY23" i="2" s="1"/>
  <c r="BY24" i="2"/>
  <c r="BY22" i="2"/>
  <c r="BY19" i="3"/>
  <c r="BY20" i="2"/>
  <c r="BY30" i="2"/>
  <c r="BY34" i="2"/>
  <c r="BY21" i="2"/>
  <c r="BY32" i="2"/>
  <c r="BY25" i="2"/>
  <c r="BY11" i="2"/>
  <c r="BY9" i="2"/>
  <c r="BY31" i="2"/>
  <c r="BY33" i="2"/>
  <c r="BY5" i="2"/>
  <c r="BY29" i="2"/>
  <c r="BY35" i="2"/>
  <c r="M15" i="2"/>
  <c r="M14" i="2"/>
  <c r="M17" i="2"/>
  <c r="M7" i="2"/>
  <c r="M28" i="2"/>
  <c r="M26" i="2"/>
  <c r="M29" i="2"/>
  <c r="M32" i="2"/>
  <c r="M35" i="2"/>
  <c r="M21" i="2"/>
  <c r="M19" i="3"/>
  <c r="M20" i="2"/>
  <c r="M34" i="2"/>
  <c r="M4" i="2"/>
  <c r="M27" i="2"/>
  <c r="M9" i="2"/>
  <c r="M23" i="3"/>
  <c r="M23" i="2" s="1"/>
  <c r="M24" i="2"/>
  <c r="M11" i="2"/>
  <c r="M12" i="2"/>
  <c r="M30" i="2"/>
  <c r="M31" i="2"/>
  <c r="M5" i="2"/>
  <c r="M25" i="2"/>
  <c r="M22" i="2"/>
  <c r="M10" i="2"/>
  <c r="M33" i="2"/>
  <c r="BU15" i="2"/>
  <c r="BU7" i="2"/>
  <c r="BU14" i="2"/>
  <c r="BU17" i="2"/>
  <c r="BU5" i="2"/>
  <c r="BU4" i="2"/>
  <c r="BU28" i="2"/>
  <c r="BU29" i="2"/>
  <c r="BU19" i="3"/>
  <c r="BU20" i="2"/>
  <c r="BU26" i="2"/>
  <c r="BU12" i="2"/>
  <c r="BU35" i="2"/>
  <c r="BU23" i="3"/>
  <c r="BU23" i="2" s="1"/>
  <c r="BU24" i="2"/>
  <c r="BU31" i="2"/>
  <c r="BU27" i="2"/>
  <c r="BU9" i="2"/>
  <c r="BU34" i="2"/>
  <c r="BU25" i="2"/>
  <c r="BU11" i="2"/>
  <c r="BU32" i="2"/>
  <c r="BU22" i="2"/>
  <c r="BU21" i="2"/>
  <c r="BU33" i="2"/>
  <c r="BU10" i="2"/>
  <c r="BU30" i="2"/>
  <c r="BM15" i="2"/>
  <c r="BM14" i="2"/>
  <c r="BM17" i="2"/>
  <c r="BM7" i="2"/>
  <c r="BM5" i="2"/>
  <c r="BM19" i="3"/>
  <c r="BM20" i="2"/>
  <c r="BM30" i="2"/>
  <c r="BM11" i="2"/>
  <c r="BM26" i="2"/>
  <c r="BM23" i="3"/>
  <c r="BM23" i="2" s="1"/>
  <c r="BM24" i="2"/>
  <c r="BM22" i="2"/>
  <c r="BM34" i="2"/>
  <c r="BM4" i="2"/>
  <c r="BM32" i="2"/>
  <c r="BM35" i="2"/>
  <c r="BM31" i="2"/>
  <c r="BM12" i="2"/>
  <c r="BM27" i="2"/>
  <c r="BM29" i="2"/>
  <c r="BM9" i="2"/>
  <c r="BM33" i="2"/>
  <c r="BM25" i="2"/>
  <c r="BM21" i="2"/>
  <c r="BM28" i="2"/>
  <c r="BM10" i="2"/>
  <c r="BZ15" i="2"/>
  <c r="BZ14" i="2"/>
  <c r="BZ17" i="2"/>
  <c r="BZ7" i="2"/>
  <c r="BZ32" i="2"/>
  <c r="BZ4" i="2"/>
  <c r="BZ25" i="2"/>
  <c r="BZ12" i="2"/>
  <c r="BZ35" i="2"/>
  <c r="BZ21" i="2"/>
  <c r="BZ33" i="2"/>
  <c r="BZ28" i="2"/>
  <c r="BZ27" i="2"/>
  <c r="BZ9" i="2"/>
  <c r="BZ11" i="2"/>
  <c r="BZ23" i="3"/>
  <c r="BZ23" i="2" s="1"/>
  <c r="BZ24" i="2"/>
  <c r="BZ34" i="2"/>
  <c r="BZ22" i="2"/>
  <c r="BZ26" i="2"/>
  <c r="BZ29" i="2"/>
  <c r="BZ30" i="2"/>
  <c r="BZ19" i="3"/>
  <c r="BZ20" i="2"/>
  <c r="BZ5" i="2"/>
  <c r="BZ10" i="2"/>
  <c r="BZ31" i="2"/>
  <c r="N15" i="2"/>
  <c r="N14" i="2"/>
  <c r="N17" i="2"/>
  <c r="N7" i="2"/>
  <c r="N4" i="2"/>
  <c r="N27" i="2"/>
  <c r="N11" i="2"/>
  <c r="N31" i="2"/>
  <c r="N10" i="2"/>
  <c r="N28" i="2"/>
  <c r="N19" i="3"/>
  <c r="N20" i="2"/>
  <c r="N30" i="2"/>
  <c r="N23" i="3"/>
  <c r="N23" i="2" s="1"/>
  <c r="N24" i="2"/>
  <c r="N35" i="2"/>
  <c r="N21" i="2"/>
  <c r="N22" i="2"/>
  <c r="N33" i="2"/>
  <c r="N32" i="2"/>
  <c r="N12" i="2"/>
  <c r="N5" i="2"/>
  <c r="N26" i="2"/>
  <c r="N29" i="2"/>
  <c r="N9" i="2"/>
  <c r="N34" i="2"/>
  <c r="N25" i="2"/>
  <c r="BN15" i="2"/>
  <c r="BN14" i="2"/>
  <c r="BN17" i="2"/>
  <c r="BN7" i="2"/>
  <c r="BN21" i="2"/>
  <c r="BN23" i="3"/>
  <c r="BN23" i="2" s="1"/>
  <c r="BN24" i="2"/>
  <c r="BN9" i="2"/>
  <c r="BN33" i="2"/>
  <c r="BN19" i="3"/>
  <c r="BN20" i="2"/>
  <c r="BN30" i="2"/>
  <c r="BN26" i="2"/>
  <c r="BN22" i="2"/>
  <c r="BN11" i="2"/>
  <c r="BN31" i="2"/>
  <c r="BN34" i="2"/>
  <c r="BN4" i="2"/>
  <c r="BN5" i="2"/>
  <c r="BN35" i="2"/>
  <c r="BN12" i="2"/>
  <c r="BN10" i="2"/>
  <c r="BN29" i="2"/>
  <c r="BN25" i="2"/>
  <c r="BN28" i="2"/>
  <c r="BN32" i="2"/>
  <c r="BN27" i="2"/>
  <c r="R15" i="2"/>
  <c r="R14" i="2"/>
  <c r="R17" i="2"/>
  <c r="R7" i="2"/>
  <c r="R23" i="3"/>
  <c r="R23" i="2" s="1"/>
  <c r="R24" i="2"/>
  <c r="R5" i="2"/>
  <c r="R35" i="2"/>
  <c r="R19" i="3"/>
  <c r="R20" i="2"/>
  <c r="R25" i="2"/>
  <c r="R32" i="2"/>
  <c r="R26" i="2"/>
  <c r="R21" i="2"/>
  <c r="R30" i="2"/>
  <c r="R28" i="2"/>
  <c r="R9" i="2"/>
  <c r="R4" i="2"/>
  <c r="R34" i="2"/>
  <c r="R11" i="2"/>
  <c r="R10" i="2"/>
  <c r="R33" i="2"/>
  <c r="R29" i="2"/>
  <c r="R12" i="2"/>
  <c r="R31" i="2"/>
  <c r="R27" i="2"/>
  <c r="R22" i="2"/>
  <c r="BK2" i="2"/>
  <c r="AE2" i="2"/>
  <c r="G2" i="2"/>
  <c r="J2" i="2"/>
  <c r="BG2" i="2"/>
  <c r="AA2" i="2"/>
  <c r="CG2" i="2"/>
  <c r="U2" i="2"/>
  <c r="BS2" i="2"/>
  <c r="AM2" i="2"/>
  <c r="AP2" i="2"/>
  <c r="BL2" i="2"/>
  <c r="AF2" i="2"/>
  <c r="CE2" i="2"/>
  <c r="AY2" i="2"/>
  <c r="S2" i="2"/>
  <c r="BQ2" i="2"/>
  <c r="BX2" i="2"/>
  <c r="AR2" i="2"/>
  <c r="L2" i="2"/>
  <c r="BR2" i="2"/>
  <c r="AC2" i="2"/>
  <c r="AH2" i="2"/>
  <c r="CD2" i="2"/>
  <c r="BT2" i="2"/>
  <c r="AN2" i="2"/>
  <c r="H2" i="2"/>
  <c r="BJ2" i="2"/>
  <c r="CK2" i="2"/>
  <c r="CC2" i="2"/>
  <c r="CF2" i="2"/>
  <c r="AZ2" i="2"/>
  <c r="T2" i="2"/>
  <c r="CH2" i="2"/>
  <c r="V2" i="2"/>
  <c r="AS2" i="2"/>
  <c r="I2" i="2"/>
  <c r="Q2" i="2"/>
  <c r="AT2" i="2"/>
  <c r="F2" i="2"/>
  <c r="BE2" i="2"/>
  <c r="AG2" i="2"/>
  <c r="CA2" i="2"/>
  <c r="AU2" i="2"/>
  <c r="O2" i="2"/>
  <c r="BV2" i="2"/>
  <c r="BW2" i="2"/>
  <c r="AQ2" i="2"/>
  <c r="K2" i="2"/>
  <c r="BA2" i="2"/>
  <c r="BF2" i="2"/>
  <c r="CI2" i="2"/>
  <c r="BC2" i="2"/>
  <c r="W2" i="2"/>
  <c r="CB2" i="2"/>
  <c r="AV2" i="2"/>
  <c r="P2" i="2"/>
  <c r="BO2" i="2"/>
  <c r="AI2" i="2"/>
  <c r="AK2" i="2"/>
  <c r="Z2" i="2"/>
  <c r="BH2" i="2"/>
  <c r="AB2" i="2"/>
  <c r="AL2" i="2"/>
  <c r="BI2" i="2"/>
  <c r="AO2" i="2"/>
  <c r="AW2" i="2"/>
  <c r="CJ2" i="2"/>
  <c r="BD2" i="2"/>
  <c r="X2" i="2"/>
  <c r="AD2" i="2"/>
  <c r="Y2" i="2"/>
  <c r="AX2" i="2"/>
  <c r="BP2" i="2"/>
  <c r="AJ2" i="2"/>
  <c r="BB2" i="2"/>
  <c r="BY2" i="2"/>
  <c r="M2" i="2"/>
  <c r="BU2" i="2"/>
  <c r="BM2" i="2"/>
  <c r="BZ2" i="2"/>
  <c r="N2" i="2"/>
  <c r="BN2" i="2"/>
  <c r="R2" i="2"/>
  <c r="BN18" i="3" l="1"/>
  <c r="BN18" i="2" s="1"/>
  <c r="BN19" i="2"/>
  <c r="AJ18" i="3"/>
  <c r="AJ18" i="2" s="1"/>
  <c r="AJ19" i="2"/>
  <c r="BP18" i="3"/>
  <c r="BP18" i="2" s="1"/>
  <c r="BP19" i="2"/>
  <c r="BH18" i="3"/>
  <c r="BH18" i="2" s="1"/>
  <c r="BH19" i="2"/>
  <c r="AK18" i="3"/>
  <c r="AK18" i="2" s="1"/>
  <c r="AK19" i="2"/>
  <c r="AI18" i="3"/>
  <c r="AI18" i="2" s="1"/>
  <c r="AI19" i="2"/>
  <c r="P18" i="3"/>
  <c r="P18" i="2" s="1"/>
  <c r="P19" i="2"/>
  <c r="BA18" i="3"/>
  <c r="BA18" i="2" s="1"/>
  <c r="BA19" i="2"/>
  <c r="BE18" i="3"/>
  <c r="BE18" i="2" s="1"/>
  <c r="BE19" i="2"/>
  <c r="F18" i="3"/>
  <c r="F18" i="2" s="1"/>
  <c r="F19" i="2"/>
  <c r="AT18" i="3"/>
  <c r="AT18" i="2" s="1"/>
  <c r="AT19" i="2"/>
  <c r="I18" i="3"/>
  <c r="I18" i="2" s="1"/>
  <c r="I19" i="2"/>
  <c r="AZ18" i="3"/>
  <c r="AZ18" i="2" s="1"/>
  <c r="AZ19" i="2"/>
  <c r="AH18" i="3"/>
  <c r="AH18" i="2" s="1"/>
  <c r="AH19" i="2"/>
  <c r="AC18" i="3"/>
  <c r="AC18" i="2" s="1"/>
  <c r="AC19" i="2"/>
  <c r="BQ18" i="3"/>
  <c r="BQ18" i="2" s="1"/>
  <c r="BQ19" i="2"/>
  <c r="CE18" i="3"/>
  <c r="CE18" i="2" s="1"/>
  <c r="CE19" i="2"/>
  <c r="BS18" i="3"/>
  <c r="BS18" i="2" s="1"/>
  <c r="BS19" i="2"/>
  <c r="J18" i="3"/>
  <c r="J18" i="2" s="1"/>
  <c r="J19" i="2"/>
  <c r="G18" i="3"/>
  <c r="G18" i="2" s="1"/>
  <c r="G19" i="2"/>
  <c r="AE18" i="3"/>
  <c r="AE18" i="2" s="1"/>
  <c r="AE19" i="2"/>
  <c r="BZ18" i="3"/>
  <c r="BZ18" i="2" s="1"/>
  <c r="BZ19" i="2"/>
  <c r="BM18" i="3"/>
  <c r="BM18" i="2" s="1"/>
  <c r="BM19" i="2"/>
  <c r="BU18" i="3"/>
  <c r="BU18" i="2" s="1"/>
  <c r="BU19" i="2"/>
  <c r="BB18" i="3"/>
  <c r="BB18" i="2" s="1"/>
  <c r="BB19" i="2"/>
  <c r="AX18" i="3"/>
  <c r="AX18" i="2" s="1"/>
  <c r="AX19" i="2"/>
  <c r="AB18" i="3"/>
  <c r="AB18" i="2" s="1"/>
  <c r="AB19" i="2"/>
  <c r="BO18" i="3"/>
  <c r="BO18" i="2" s="1"/>
  <c r="BO19" i="2"/>
  <c r="BC18" i="3"/>
  <c r="BC18" i="2" s="1"/>
  <c r="BC19" i="2"/>
  <c r="BF18" i="3"/>
  <c r="BF18" i="2" s="1"/>
  <c r="BF19" i="2"/>
  <c r="BW18" i="3"/>
  <c r="BW18" i="2" s="1"/>
  <c r="BW19" i="2"/>
  <c r="AU18" i="3"/>
  <c r="AU18" i="2" s="1"/>
  <c r="AU19" i="2"/>
  <c r="CA18" i="3"/>
  <c r="CA18" i="2" s="1"/>
  <c r="CA19" i="2"/>
  <c r="AG18" i="3"/>
  <c r="AG18" i="2" s="1"/>
  <c r="AG19" i="2"/>
  <c r="V18" i="3"/>
  <c r="V18" i="2" s="1"/>
  <c r="V19" i="2"/>
  <c r="CC18" i="3"/>
  <c r="CC18" i="2" s="1"/>
  <c r="CC19" i="2"/>
  <c r="BJ18" i="3"/>
  <c r="BJ18" i="2" s="1"/>
  <c r="BJ19" i="2"/>
  <c r="H18" i="3"/>
  <c r="H18" i="2" s="1"/>
  <c r="H19" i="2"/>
  <c r="AN18" i="3"/>
  <c r="AN18" i="2" s="1"/>
  <c r="AN19" i="2"/>
  <c r="CD18" i="3"/>
  <c r="CD18" i="2" s="1"/>
  <c r="CD19" i="2"/>
  <c r="S18" i="3"/>
  <c r="S18" i="2" s="1"/>
  <c r="S19" i="2"/>
  <c r="AF18" i="3"/>
  <c r="AF18" i="2" s="1"/>
  <c r="AF19" i="2"/>
  <c r="BL18" i="3"/>
  <c r="BL18" i="2" s="1"/>
  <c r="BL19" i="2"/>
  <c r="R18" i="3"/>
  <c r="R18" i="2" s="1"/>
  <c r="R19" i="2"/>
  <c r="N18" i="3"/>
  <c r="N18" i="2" s="1"/>
  <c r="N19" i="2"/>
  <c r="M18" i="3"/>
  <c r="M18" i="2" s="1"/>
  <c r="M19" i="2"/>
  <c r="BY18" i="3"/>
  <c r="BY18" i="2" s="1"/>
  <c r="BY19" i="2"/>
  <c r="X18" i="3"/>
  <c r="X18" i="2" s="1"/>
  <c r="X19" i="2"/>
  <c r="AW18" i="3"/>
  <c r="AW18" i="2" s="1"/>
  <c r="AW19" i="2"/>
  <c r="Z18" i="3"/>
  <c r="Z18" i="2" s="1"/>
  <c r="Z19" i="2"/>
  <c r="CB18" i="3"/>
  <c r="CB18" i="2" s="1"/>
  <c r="CB19" i="2"/>
  <c r="W18" i="3"/>
  <c r="W18" i="2" s="1"/>
  <c r="W19" i="2"/>
  <c r="CI18" i="3"/>
  <c r="CI18" i="2" s="1"/>
  <c r="CI19" i="2"/>
  <c r="AQ18" i="3"/>
  <c r="AQ18" i="2" s="1"/>
  <c r="AQ19" i="2"/>
  <c r="BV18" i="3"/>
  <c r="BV18" i="2" s="1"/>
  <c r="BV19" i="2"/>
  <c r="AS18" i="3"/>
  <c r="AS18" i="2" s="1"/>
  <c r="AS19" i="2"/>
  <c r="CF18" i="3"/>
  <c r="CF18" i="2" s="1"/>
  <c r="CF19" i="2"/>
  <c r="BT18" i="3"/>
  <c r="BT18" i="2" s="1"/>
  <c r="BT19" i="2"/>
  <c r="BX18" i="3"/>
  <c r="BX18" i="2" s="1"/>
  <c r="BX19" i="2"/>
  <c r="AY18" i="3"/>
  <c r="AY18" i="2" s="1"/>
  <c r="AY19" i="2"/>
  <c r="AP18" i="3"/>
  <c r="AP18" i="2" s="1"/>
  <c r="AP19" i="2"/>
  <c r="U18" i="3"/>
  <c r="U18" i="2" s="1"/>
  <c r="U19" i="2"/>
  <c r="CG18" i="3"/>
  <c r="CG18" i="2" s="1"/>
  <c r="CG19" i="2"/>
  <c r="BG18" i="3"/>
  <c r="BG18" i="2" s="1"/>
  <c r="BG19" i="2"/>
  <c r="BK18" i="3"/>
  <c r="BK18" i="2" s="1"/>
  <c r="BK19" i="2"/>
  <c r="Y18" i="3"/>
  <c r="Y18" i="2" s="1"/>
  <c r="Y19" i="2"/>
  <c r="AD18" i="3"/>
  <c r="AD18" i="2" s="1"/>
  <c r="AD19" i="2"/>
  <c r="BD18" i="3"/>
  <c r="BD18" i="2" s="1"/>
  <c r="BD19" i="2"/>
  <c r="CJ18" i="3"/>
  <c r="CJ18" i="2" s="1"/>
  <c r="CJ19" i="2"/>
  <c r="AO18" i="3"/>
  <c r="AO18" i="2" s="1"/>
  <c r="AO19" i="2"/>
  <c r="BI18" i="3"/>
  <c r="BI18" i="2" s="1"/>
  <c r="BI19" i="2"/>
  <c r="AL18" i="3"/>
  <c r="AL18" i="2" s="1"/>
  <c r="AL19" i="2"/>
  <c r="AV18" i="3"/>
  <c r="AV18" i="2" s="1"/>
  <c r="AV19" i="2"/>
  <c r="K18" i="3"/>
  <c r="K18" i="2" s="1"/>
  <c r="K19" i="2"/>
  <c r="O18" i="3"/>
  <c r="O18" i="2" s="1"/>
  <c r="O19" i="2"/>
  <c r="Q18" i="3"/>
  <c r="Q18" i="2" s="1"/>
  <c r="Q19" i="2"/>
  <c r="CH18" i="3"/>
  <c r="CH18" i="2" s="1"/>
  <c r="CH19" i="2"/>
  <c r="T18" i="3"/>
  <c r="T18" i="2" s="1"/>
  <c r="T19" i="2"/>
  <c r="CK18" i="3"/>
  <c r="CK18" i="2" s="1"/>
  <c r="CK19" i="2"/>
  <c r="BR18" i="3"/>
  <c r="BR18" i="2" s="1"/>
  <c r="BR19" i="2"/>
  <c r="L18" i="3"/>
  <c r="L18" i="2" s="1"/>
  <c r="L19" i="2"/>
  <c r="AR18" i="3"/>
  <c r="AR18" i="2" s="1"/>
  <c r="AR19" i="2"/>
  <c r="AM18" i="3"/>
  <c r="AM18" i="2" s="1"/>
  <c r="AM19" i="2"/>
  <c r="AA18" i="3"/>
  <c r="AA18" i="2" s="1"/>
  <c r="AA19" i="2"/>
</calcChain>
</file>

<file path=xl/sharedStrings.xml><?xml version="1.0" encoding="utf-8"?>
<sst xmlns="http://schemas.openxmlformats.org/spreadsheetml/2006/main" count="29" uniqueCount="28">
  <si>
    <t>**IMPORTANT NOTE**</t>
  </si>
  <si>
    <t>This document, the information contained herein and any derived information created therefrom are for the exclusive use of FREDRIK LINDAU at LONDON BUSINESS SCHO.</t>
  </si>
  <si>
    <t>~~~~~~~~~~~~~~~~~~~~~~~~~~~~~~~~~~~~~~~~~~~~~~~~~~~~~~~~~~~~~~~~~~~~~~~~~~~~~~~~~~~~~~~~~~~~~~~~~~~~~~~~~~~~~~~~~~~~~~~~~~~~~~~~~~~~~~~~~~~~~~~~~~~~~~~~~~~~~~~~</t>
  </si>
  <si>
    <t>**REFERENCE**</t>
  </si>
  <si>
    <t xml:space="preserve">     Spreadsheets generated from the BI Excel export can be used as reference tables to fuel various models and other sheets on your desktop.</t>
  </si>
  <si>
    <t xml:space="preserve">     Automated model building or 'drag and drop' from the BI export sheet are not supported at this time, but using the BI export</t>
  </si>
  <si>
    <t xml:space="preserve">     as a reference table for use in other spreadsheets is a powerful and convenient tool to help achieve your goals.</t>
  </si>
  <si>
    <t xml:space="preserve">   --The BI Excel export sheet typically contains two data tabs (certain BI modules like those in the 'Monitor' section on BI will only result in a single 'Sheet 1' data tab):</t>
  </si>
  <si>
    <t xml:space="preserve">     1) 'BIData':  This is the fully curated grid that is meant to be a clean, simple, synchronized match to what is seen on the BI dashboard. </t>
  </si>
  <si>
    <t xml:space="preserve">          The grid on the 'BIData' tab can be used as a reference table for use in your models and other downstream spreadsheets.</t>
  </si>
  <si>
    <t xml:space="preserve">     2) 'ReferenceData':  This is the tab where all the raw data is housed and data preparation is done.  There are typically 2 separate grids here:</t>
  </si>
  <si>
    <t xml:space="preserve">          a top curated grid that includes error handling, expressions, etc., and a bottom raw grid that includes any/all live API information for this export. </t>
  </si>
  <si>
    <t xml:space="preserve">          The bottom grid on the ReferenceData tab is where actual API (BDP/BDH) expressions are constructed, so refer to this section if you</t>
  </si>
  <si>
    <t xml:space="preserve">          are interested in seeing/using the underlying API details.</t>
  </si>
  <si>
    <t xml:space="preserve">          Note: In some cases the bottom grid will not exist (in the event that none of the data selected is coming from live API links).</t>
  </si>
  <si>
    <t xml:space="preserve">   --In any grid on either tab, there are common columns:</t>
  </si>
  <si>
    <t xml:space="preserve">     1) Description:  The row label that matches the row label you'd find on BI</t>
  </si>
  <si>
    <t xml:space="preserve">     2) Ticker:  The company/index ticker corresponding to that row (this is the ticker used in the </t>
  </si>
  <si>
    <t xml:space="preserve">          BDP/BDH formula for that row, if applicable)</t>
  </si>
  <si>
    <t xml:space="preserve">     3) Field ID:  The calcrout ID used to structure the BDP/BDH formula for that row (where applicable).</t>
  </si>
  <si>
    <t xml:space="preserve">     4) Field Mnemonic:  The calcrout mnemonic corresponding to the field ID used to structure the BDP/BDH formula for that row (where applicable).</t>
  </si>
  <si>
    <t xml:space="preserve">     5) Data State:  The state of the data within that particular row, including 'Dynamic', 'Static', 'Sum', 'Average', 'Median' or 'Heading'.  If 'Dynamic'</t>
  </si>
  <si>
    <t xml:space="preserve">          then new data will be expected to come to the sheet when it becomes available in the database with no need for another export.</t>
  </si>
  <si>
    <t xml:space="preserve">          If 'Static' then there are no live links in this row and new data will only be procured by running and exporting from BI again.</t>
  </si>
  <si>
    <t xml:space="preserve">          If it's 'Sum', 'Average', 'Median' or 'Expression', then new data may come to the sheet for some expression components, but</t>
  </si>
  <si>
    <t xml:space="preserve">          to ensure the latest data is present in the sheet, BI should be run and exported again.</t>
  </si>
  <si>
    <t>**HELP**</t>
  </si>
  <si>
    <t xml:space="preserve">     If you experience any issues with the BI Excel export process or results, run the BI&lt;GO&gt; function on your Bloomberg terminal, and then hit the &lt;HELP&gt; key twice.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</si>
</sst>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BDP|12702663692225230283</stp>
        <tr r="AP76" s="3"/>
      </tp>
      <tp t="s">
        <v>#N/A N/A</v>
        <stp/>
        <stp>BDP|18274426004183426596</stp>
        <tr r="CK62" s="3"/>
      </tp>
      <tp t="s">
        <v>#N/A N/A</v>
        <stp/>
        <stp>BDP|13083496820859448659</stp>
        <tr r="P66" s="3"/>
      </tp>
      <tp t="s">
        <v>#N/A N/A</v>
        <stp/>
        <stp>BDP|18218830491550100399</stp>
        <tr r="BC63" s="3"/>
      </tp>
      <tp t="s">
        <v>#N/A N/A</v>
        <stp/>
        <stp>BDP|11477998941890467637</stp>
        <tr r="BJ74" s="3"/>
      </tp>
      <tp t="s">
        <v>#N/A N/A</v>
        <stp/>
        <stp>BDP|15292266758139675109</stp>
        <tr r="AC67" s="3"/>
      </tp>
      <tp t="s">
        <v>#N/A N/A</v>
        <stp/>
        <stp>BDP|13647235546546054996</stp>
        <tr r="AI64" s="3"/>
      </tp>
      <tp t="s">
        <v>#N/A N/A</v>
        <stp/>
        <stp>BDP|17729459689384295537</stp>
        <tr r="V68" s="3"/>
      </tp>
      <tp t="s">
        <v>#N/A N/A</v>
        <stp/>
        <stp>BDP|14006345295887511394</stp>
        <tr r="CD59" s="3"/>
      </tp>
      <tp t="s">
        <v>#N/A N/A</v>
        <stp/>
        <stp>BDP|14103181103658359740</stp>
        <tr r="CJ63" s="3"/>
      </tp>
      <tp t="s">
        <v>#N/A N/A</v>
        <stp/>
        <stp>BDP|16399552352449050581</stp>
        <tr r="BP75" s="3"/>
      </tp>
      <tp t="s">
        <v>#N/A N/A</v>
        <stp/>
        <stp>BDP|14863286348951247962</stp>
        <tr r="V72" s="3"/>
      </tp>
      <tp t="s">
        <v>#N/A N/A</v>
        <stp/>
        <stp>BDP|18073290059657770289</stp>
        <tr r="CJ66" s="3"/>
      </tp>
      <tp t="s">
        <v>#N/A N/A</v>
        <stp/>
        <stp>BDP|15025966847894951675</stp>
        <tr r="BP70" s="3"/>
      </tp>
      <tp t="s">
        <v>#N/A N/A</v>
        <stp/>
        <stp>BDP|10010762397577757392</stp>
        <tr r="F57" s="3"/>
      </tp>
      <tp t="s">
        <v>#N/A N/A</v>
        <stp/>
        <stp>BDP|14507603693717004691</stp>
        <tr r="CD56" s="3"/>
      </tp>
      <tp t="s">
        <v>#N/A N/A</v>
        <stp/>
        <stp>BDP|17640342008088177656</stp>
        <tr r="AG58" s="3"/>
      </tp>
      <tp t="s">
        <v>#N/A N/A</v>
        <stp/>
        <stp>BDP|18091051354376919192</stp>
        <tr r="G67" s="3"/>
      </tp>
      <tp t="s">
        <v>#N/A N/A</v>
        <stp/>
        <stp>BDP|10637362240498800599</stp>
        <tr r="CF65" s="3"/>
      </tp>
      <tp t="s">
        <v>#N/A N/A</v>
        <stp/>
        <stp>BDP|11304720388270189496</stp>
        <tr r="AX66" s="3"/>
      </tp>
      <tp t="s">
        <v>#N/A N/A</v>
        <stp/>
        <stp>BDP|11910225289812301300</stp>
        <tr r="CA72" s="3"/>
      </tp>
      <tp t="s">
        <v>#N/A N/A</v>
        <stp/>
        <stp>BDP|11987293492406137636</stp>
        <tr r="S75" s="3"/>
      </tp>
      <tp t="s">
        <v>#N/A N/A</v>
        <stp/>
        <stp>BDP|18017217132201190225</stp>
        <tr r="T75" s="3"/>
      </tp>
      <tp t="s">
        <v>#N/A N/A</v>
        <stp/>
        <stp>BDP|12513043640325493957</stp>
        <tr r="P75" s="3"/>
      </tp>
      <tp t="s">
        <v>#N/A N/A</v>
        <stp/>
        <stp>BDP|11035571482364544205</stp>
        <tr r="BP60" s="3"/>
      </tp>
      <tp t="s">
        <v>#N/A N/A</v>
        <stp/>
        <stp>BDP|11334883668045929099</stp>
        <tr r="BN59" s="3"/>
      </tp>
      <tp t="s">
        <v>#N/A N/A</v>
        <stp/>
        <stp>BDP|12816906223691024289</stp>
        <tr r="BY76" s="3"/>
      </tp>
      <tp t="s">
        <v>#N/A N/A</v>
        <stp/>
        <stp>BDP|11773926192623382873</stp>
        <tr r="BG58" s="3"/>
      </tp>
      <tp t="s">
        <v>#N/A N/A</v>
        <stp/>
        <stp>BDP|15014159681993223555</stp>
        <tr r="S68" s="3"/>
      </tp>
      <tp t="s">
        <v>#N/A N/A</v>
        <stp/>
        <stp>BDP|13227850919231435188</stp>
        <tr r="R56" s="3"/>
      </tp>
      <tp t="s">
        <v>#N/A N/A</v>
        <stp/>
        <stp>BDP|15404929179726478797</stp>
        <tr r="BC72" s="3"/>
      </tp>
      <tp t="s">
        <v>#N/A N/A</v>
        <stp/>
        <stp>BDP|17568354202278280625</stp>
        <tr r="Q59" s="3"/>
      </tp>
      <tp t="s">
        <v>#N/A N/A</v>
        <stp/>
        <stp>BDP|14485446037601435816</stp>
        <tr r="BY69" s="3"/>
      </tp>
      <tp t="s">
        <v>#N/A N/A</v>
        <stp/>
        <stp>BDP|10875035479438428545</stp>
        <tr r="F60" s="3"/>
      </tp>
      <tp t="s">
        <v>#N/A N/A</v>
        <stp/>
        <stp>BDP|14398900792456553815</stp>
        <tr r="AN70" s="3"/>
      </tp>
      <tp t="s">
        <v>#N/A N/A</v>
        <stp/>
        <stp>BDP|14724591698074514662</stp>
        <tr r="S60" s="3"/>
      </tp>
      <tp t="s">
        <v>#N/A N/A</v>
        <stp/>
        <stp>BDP|18303297575031273686</stp>
        <tr r="V76" s="3"/>
      </tp>
      <tp t="s">
        <v>#N/A N/A</v>
        <stp/>
        <stp>BDP|15407948732952297742</stp>
        <tr r="BW75" s="3"/>
      </tp>
      <tp t="s">
        <v>#N/A N/A</v>
        <stp/>
        <stp>BDP|15297847661744614551</stp>
        <tr r="CK71" s="3"/>
      </tp>
      <tp t="s">
        <v>#N/A N/A</v>
        <stp/>
        <stp>BDP|13308429413004584839</stp>
        <tr r="AF71" s="3"/>
      </tp>
      <tp t="s">
        <v>#N/A N/A</v>
        <stp/>
        <stp>BDP|15030906572141641004</stp>
        <tr r="AU57" s="3"/>
      </tp>
      <tp t="s">
        <v>#N/A N/A</v>
        <stp/>
        <stp>BDP|15618305120208246639</stp>
        <tr r="BB72" s="3"/>
      </tp>
      <tp t="s">
        <v>#N/A N/A</v>
        <stp/>
        <stp>BDP|14709292119484493945</stp>
        <tr r="K56" s="3"/>
      </tp>
      <tp t="s">
        <v>#N/A N/A</v>
        <stp/>
        <stp>BDP|18186060817035319641</stp>
        <tr r="CI59" s="3"/>
      </tp>
      <tp t="s">
        <v>#N/A N/A</v>
        <stp/>
        <stp>BDP|10465994811415369787</stp>
        <tr r="BB63" s="3"/>
      </tp>
      <tp t="s">
        <v>#N/A N/A</v>
        <stp/>
        <stp>BDP|11814382136162281923</stp>
        <tr r="BJ59" s="3"/>
      </tp>
      <tp t="s">
        <v>#N/A N/A</v>
        <stp/>
        <stp>BDP|18303265116171320062</stp>
        <tr r="AA68" s="3"/>
      </tp>
      <tp t="s">
        <v>#N/A N/A</v>
        <stp/>
        <stp>BDP|13794106097214971404</stp>
        <tr r="BF67" s="3"/>
      </tp>
      <tp t="s">
        <v>#N/A N/A</v>
        <stp/>
        <stp>BDP|10420249298081755162</stp>
        <tr r="Q58" s="3"/>
      </tp>
      <tp t="s">
        <v>#N/A N/A</v>
        <stp/>
        <stp>BDP|17806039622179955791</stp>
        <tr r="K74" s="3"/>
      </tp>
      <tp t="s">
        <v>#N/A N/A</v>
        <stp/>
        <stp>BDP|10098062340269925678</stp>
        <tr r="AG76" s="3"/>
      </tp>
      <tp t="s">
        <v>#N/A N/A</v>
        <stp/>
        <stp>BDP|16371097104789048459</stp>
        <tr r="AI58" s="3"/>
      </tp>
      <tp t="s">
        <v>#N/A N/A</v>
        <stp/>
        <stp>BDP|18080958799347145465</stp>
        <tr r="I72" s="3"/>
      </tp>
      <tp t="s">
        <v>#N/A N/A</v>
        <stp/>
        <stp>BDP|10627881636198051824</stp>
        <tr r="N64" s="3"/>
      </tp>
      <tp t="s">
        <v>#N/A N/A</v>
        <stp/>
        <stp>BDP|15541406772354472995</stp>
        <tr r="L71" s="3"/>
      </tp>
      <tp t="s">
        <v>#N/A N/A</v>
        <stp/>
        <stp>BDP|12288995864576117048</stp>
        <tr r="M57" s="3"/>
      </tp>
      <tp t="s">
        <v>#N/A N/A</v>
        <stp/>
        <stp>BDP|13336859043753939716</stp>
        <tr r="S66" s="3"/>
      </tp>
      <tp t="s">
        <v>#N/A N/A</v>
        <stp/>
        <stp>BDP|11545366655235317983</stp>
        <tr r="BS76" s="3"/>
      </tp>
      <tp t="s">
        <v>#N/A N/A</v>
        <stp/>
        <stp>BDP|16525208989737842098</stp>
        <tr r="H71" s="3"/>
      </tp>
      <tp t="s">
        <v>#N/A N/A</v>
        <stp/>
        <stp>BDP|12847403107848236508</stp>
        <tr r="BT70" s="3"/>
      </tp>
      <tp t="s">
        <v>#N/A N/A</v>
        <stp/>
        <stp>BDP|12576400683251953439</stp>
        <tr r="AU69" s="3"/>
      </tp>
      <tp t="s">
        <v>#N/A N/A</v>
        <stp/>
        <stp>BDP|17752832364090494281</stp>
        <tr r="BS70" s="3"/>
      </tp>
      <tp t="s">
        <v>#N/A N/A</v>
        <stp/>
        <stp>BDP|18289288550454754022</stp>
        <tr r="AW58" s="3"/>
      </tp>
      <tp t="s">
        <v>#N/A N/A</v>
        <stp/>
        <stp>BDP|13844246707063706932</stp>
        <tr r="BD63" s="3"/>
      </tp>
      <tp t="s">
        <v>#N/A N/A</v>
        <stp/>
        <stp>BDP|15809123666691720843</stp>
        <tr r="BC58" s="3"/>
      </tp>
      <tp t="s">
        <v>#N/A N/A</v>
        <stp/>
        <stp>BDP|18419588741166054437</stp>
        <tr r="BX62" s="3"/>
      </tp>
      <tp t="s">
        <v>#N/A N/A</v>
        <stp/>
        <stp>BDP|15170429636871877838</stp>
        <tr r="G55" s="3"/>
      </tp>
      <tp t="s">
        <v>#N/A N/A</v>
        <stp/>
        <stp>BDP|18376628473985492781</stp>
        <tr r="BX69" s="3"/>
      </tp>
      <tp t="s">
        <v>#N/A N/A</v>
        <stp/>
        <stp>BDP|15164597987346606571</stp>
        <tr r="CH68" s="3"/>
      </tp>
      <tp t="s">
        <v>#N/A N/A</v>
        <stp/>
        <stp>BDP|12264175886238758847</stp>
        <tr r="AH60" s="3"/>
      </tp>
      <tp t="s">
        <v>#N/A N/A</v>
        <stp/>
        <stp>BDP|13482072130689227228</stp>
        <tr r="AC73" s="3"/>
      </tp>
      <tp t="s">
        <v>#N/A N/A</v>
        <stp/>
        <stp>BDP|15983219322417055996</stp>
        <tr r="P70" s="3"/>
      </tp>
      <tp t="s">
        <v>#N/A N/A</v>
        <stp/>
        <stp>BDP|16208088738809941781</stp>
        <tr r="AH72" s="3"/>
      </tp>
      <tp t="s">
        <v>#N/A N/A</v>
        <stp/>
        <stp>BDP|18406030382223663817</stp>
        <tr r="BF68" s="3"/>
      </tp>
      <tp t="s">
        <v>#N/A N/A</v>
        <stp/>
        <stp>BDP|13279900037990341248</stp>
        <tr r="CK63" s="3"/>
      </tp>
      <tp t="s">
        <v>#N/A N/A</v>
        <stp/>
        <stp>BDP|14222443940508124750</stp>
        <tr r="BQ67" s="3"/>
      </tp>
      <tp t="s">
        <v>#N/A N/A</v>
        <stp/>
        <stp>BDP|15113853882329511715</stp>
        <tr r="AF64" s="3"/>
      </tp>
      <tp t="s">
        <v>#N/A N/A</v>
        <stp/>
        <stp>BDP|10400133595810621310</stp>
        <tr r="AG75" s="3"/>
      </tp>
      <tp t="s">
        <v>#N/A N/A</v>
        <stp/>
        <stp>BDP|14330822711950630633</stp>
        <tr r="AQ64" s="3"/>
      </tp>
      <tp t="s">
        <v>#N/A N/A</v>
        <stp/>
        <stp>BDP|13794823379556004190</stp>
        <tr r="BL63" s="3"/>
      </tp>
      <tp t="s">
        <v>#N/A N/A</v>
        <stp/>
        <stp>BDP|15620909828314867130</stp>
        <tr r="AD65" s="3"/>
      </tp>
      <tp t="s">
        <v>#N/A N/A</v>
        <stp/>
        <stp>BDP|15504839375799055869</stp>
        <tr r="AY65" s="3"/>
      </tp>
      <tp t="s">
        <v>#N/A N/A</v>
        <stp/>
        <stp>BDP|16393519710891390841</stp>
        <tr r="BI60" s="3"/>
      </tp>
      <tp t="s">
        <v>#N/A N/A</v>
        <stp/>
        <stp>BDP|15404387598453586756</stp>
        <tr r="AG56" s="3"/>
      </tp>
      <tp t="s">
        <v>#N/A N/A</v>
        <stp/>
        <stp>BDP|12239169882616048624</stp>
        <tr r="T58" s="3"/>
      </tp>
      <tp t="s">
        <v>#N/A N/A</v>
        <stp/>
        <stp>BDP|16933897834517026100</stp>
        <tr r="Q66" s="3"/>
      </tp>
      <tp t="s">
        <v>#N/A N/A</v>
        <stp/>
        <stp>BDP|15412517592241150322</stp>
        <tr r="I70" s="3"/>
      </tp>
      <tp t="s">
        <v>#N/A N/A</v>
        <stp/>
        <stp>BDP|16675844174055113737</stp>
        <tr r="F73" s="3"/>
      </tp>
      <tp t="s">
        <v>#N/A N/A</v>
        <stp/>
        <stp>BDP|13600328193146047402</stp>
        <tr r="BP55" s="3"/>
      </tp>
      <tp t="s">
        <v>#N/A N/A</v>
        <stp/>
        <stp>BDP|11400406825694277845</stp>
        <tr r="AF58" s="3"/>
      </tp>
      <tp t="s">
        <v>#N/A N/A</v>
        <stp/>
        <stp>BDP|18236703624302820493</stp>
        <tr r="BX57" s="3"/>
      </tp>
      <tp t="s">
        <v>#N/A N/A</v>
        <stp/>
        <stp>BDP|14335933934211029431</stp>
        <tr r="AI56" s="3"/>
      </tp>
      <tp t="s">
        <v>#N/A N/A</v>
        <stp/>
        <stp>BDP|15003027465758206025</stp>
        <tr r="AA76" s="3"/>
      </tp>
      <tp t="s">
        <v>#N/A N/A</v>
        <stp/>
        <stp>BDP|15994457494082932169</stp>
        <tr r="AR63" s="3"/>
      </tp>
      <tp t="s">
        <v>#N/A N/A</v>
        <stp/>
        <stp>BDP|12980882913002330274</stp>
        <tr r="BZ67" s="3"/>
      </tp>
      <tp t="s">
        <v>#N/A N/A</v>
        <stp/>
        <stp>BDP|12262189188586419608</stp>
        <tr r="AT64" s="3"/>
      </tp>
      <tp t="s">
        <v>#N/A N/A</v>
        <stp/>
        <stp>BDP|15753195674790871840</stp>
        <tr r="J68" s="3"/>
      </tp>
      <tp t="s">
        <v>#N/A N/A</v>
        <stp/>
        <stp>BDP|11076172772094510863</stp>
        <tr r="AV58" s="3"/>
      </tp>
      <tp t="s">
        <v>#N/A N/A</v>
        <stp/>
        <stp>BDP|15366865839492259786</stp>
        <tr r="AY59" s="3"/>
      </tp>
      <tp t="s">
        <v>#N/A N/A</v>
        <stp/>
        <stp>BDP|12235403417378808741</stp>
        <tr r="AX74" s="3"/>
      </tp>
      <tp t="s">
        <v>#N/A N/A</v>
        <stp/>
        <stp>BDP|13387949666995982111</stp>
        <tr r="H70" s="3"/>
      </tp>
      <tp t="s">
        <v>#N/A N/A</v>
        <stp/>
        <stp>BDP|15889413085328065944</stp>
        <tr r="AV66" s="3"/>
      </tp>
      <tp t="s">
        <v>#N/A N/A</v>
        <stp/>
        <stp>BDP|16044980173705064532</stp>
        <tr r="Y68" s="3"/>
      </tp>
      <tp t="s">
        <v>#N/A N/A</v>
        <stp/>
        <stp>BDP|10764421519029567414</stp>
        <tr r="CC76" s="3"/>
      </tp>
      <tp t="s">
        <v>#N/A N/A</v>
        <stp/>
        <stp>BDP|14402182119755467997</stp>
        <tr r="CC74" s="3"/>
      </tp>
      <tp t="s">
        <v>#N/A N/A</v>
        <stp/>
        <stp>BDP|15155579205471815900</stp>
        <tr r="AR59" s="3"/>
      </tp>
      <tp t="s">
        <v>#N/A N/A</v>
        <stp/>
        <stp>BDP|15514691996135637773</stp>
        <tr r="W73" s="3"/>
      </tp>
      <tp t="s">
        <v>#N/A N/A</v>
        <stp/>
        <stp>BDP|13376935984348864270</stp>
        <tr r="AT73" s="3"/>
      </tp>
      <tp t="s">
        <v>#N/A N/A</v>
        <stp/>
        <stp>BDP|10038140798441532121</stp>
        <tr r="K71" s="3"/>
      </tp>
      <tp t="s">
        <v>#N/A N/A</v>
        <stp/>
        <stp>BDP|15461684440756246955</stp>
        <tr r="S72" s="3"/>
      </tp>
      <tp t="s">
        <v>#N/A N/A</v>
        <stp/>
        <stp>BDP|15059232045532511990</stp>
        <tr r="AG66" s="3"/>
      </tp>
      <tp t="s">
        <v>#N/A N/A</v>
        <stp/>
        <stp>BDP|13735978980838277283</stp>
        <tr r="AA67" s="3"/>
      </tp>
      <tp t="s">
        <v>#N/A N/A</v>
        <stp/>
        <stp>BDP|13012339188807317759</stp>
        <tr r="AL60" s="3"/>
      </tp>
      <tp t="s">
        <v>#N/A N/A</v>
        <stp/>
        <stp>BDP|17793753280951955169</stp>
        <tr r="AW66" s="3"/>
      </tp>
      <tp t="s">
        <v>#N/A N/A</v>
        <stp/>
        <stp>BDP|15787283787752795528</stp>
        <tr r="CH57" s="3"/>
      </tp>
      <tp t="s">
        <v>#N/A N/A</v>
        <stp/>
        <stp>BDP|17318485133290515821</stp>
        <tr r="BV67" s="3"/>
      </tp>
      <tp t="s">
        <v>#N/A N/A</v>
        <stp/>
        <stp>BDP|12488226370426021975</stp>
        <tr r="F64" s="3"/>
      </tp>
      <tp t="s">
        <v>#N/A N/A</v>
        <stp/>
        <stp>BDP|10204609922058310429</stp>
        <tr r="BQ66" s="3"/>
      </tp>
      <tp t="s">
        <v>#N/A N/A</v>
        <stp/>
        <stp>BDP|10611569415175556906</stp>
        <tr r="AI62" s="3"/>
      </tp>
      <tp t="s">
        <v>#N/A N/A</v>
        <stp/>
        <stp>BDP|14008347840169239267</stp>
        <tr r="J58" s="3"/>
      </tp>
      <tp t="s">
        <v>#N/A N/A</v>
        <stp/>
        <stp>BDP|16207026037465038871</stp>
        <tr r="AF66" s="3"/>
      </tp>
      <tp t="s">
        <v>#N/A N/A</v>
        <stp/>
        <stp>BDP|17584927077399094800</stp>
        <tr r="CE57" s="3"/>
      </tp>
      <tp t="s">
        <v>#N/A N/A</v>
        <stp/>
        <stp>BDP|13215957099613666883</stp>
        <tr r="BJ60" s="3"/>
      </tp>
      <tp t="s">
        <v>#N/A N/A</v>
        <stp/>
        <stp>BDP|17227222842569711068</stp>
        <tr r="BY66" s="3"/>
      </tp>
      <tp t="s">
        <v>#N/A N/A</v>
        <stp/>
        <stp>BDP|14495763191007794577</stp>
        <tr r="BW67" s="3"/>
      </tp>
      <tp t="s">
        <v>#N/A N/A</v>
        <stp/>
        <stp>BDP|15441846151357488773</stp>
        <tr r="CD66" s="3"/>
      </tp>
      <tp t="s">
        <v>#N/A N/A</v>
        <stp/>
        <stp>BDP|10655804844210996492</stp>
        <tr r="O76" s="3"/>
      </tp>
      <tp t="s">
        <v>#N/A N/A</v>
        <stp/>
        <stp>BDP|18267975234163614952</stp>
        <tr r="AK67" s="3"/>
      </tp>
      <tp t="s">
        <v>#N/A N/A</v>
        <stp/>
        <stp>BDP|13623141401829225340</stp>
        <tr r="AI63" s="3"/>
      </tp>
      <tp t="s">
        <v>#N/A N/A</v>
        <stp/>
        <stp>BDP|12267355394803588330</stp>
        <tr r="AF59" s="3"/>
      </tp>
      <tp t="s">
        <v>#N/A N/A</v>
        <stp/>
        <stp>BDP|12852767184784700186</stp>
        <tr r="BG62" s="3"/>
      </tp>
      <tp t="s">
        <v>#N/A N/A</v>
        <stp/>
        <stp>BDP|10272770815878546609</stp>
        <tr r="F72" s="3"/>
      </tp>
      <tp t="s">
        <v>#N/A N/A</v>
        <stp/>
        <stp>BDP|13608863404440369324</stp>
        <tr r="AO68" s="3"/>
      </tp>
      <tp t="s">
        <v>#N/A N/A</v>
        <stp/>
        <stp>BDP|11338197788644569436</stp>
        <tr r="R73" s="3"/>
      </tp>
      <tp t="s">
        <v>#N/A N/A</v>
        <stp/>
        <stp>BDP|12494137537251427908</stp>
        <tr r="AH73" s="3"/>
      </tp>
      <tp t="s">
        <v>#N/A N/A</v>
        <stp/>
        <stp>BDP|13080451152842198816</stp>
        <tr r="BY74" s="3"/>
      </tp>
      <tp t="s">
        <v>#N/A N/A</v>
        <stp/>
        <stp>BDP|11462304982642984081</stp>
        <tr r="CE56" s="3"/>
      </tp>
      <tp t="s">
        <v>#N/A N/A</v>
        <stp/>
        <stp>BDP|17867835952281952376</stp>
        <tr r="X63" s="3"/>
      </tp>
      <tp t="s">
        <v>#N/A N/A</v>
        <stp/>
        <stp>BDP|16501934519406104089</stp>
        <tr r="AE63" s="3"/>
      </tp>
      <tp t="s">
        <v>#N/A N/A</v>
        <stp/>
        <stp>BDP|14703940229066450078</stp>
        <tr r="H67" s="3"/>
      </tp>
      <tp t="s">
        <v>#N/A N/A</v>
        <stp/>
        <stp>BDP|13534981369272506780</stp>
        <tr r="AL71" s="3"/>
      </tp>
      <tp t="s">
        <v>#N/A N/A</v>
        <stp/>
        <stp>BDP|16446847539825224133</stp>
        <tr r="AX62" s="3"/>
      </tp>
      <tp t="s">
        <v>#N/A N/A</v>
        <stp/>
        <stp>BDP|17942240993773155678</stp>
        <tr r="BL66" s="3"/>
      </tp>
      <tp t="s">
        <v>#N/A N/A</v>
        <stp/>
        <stp>BDP|10277479486322836738</stp>
        <tr r="M58" s="3"/>
      </tp>
      <tp t="s">
        <v>#N/A N/A</v>
        <stp/>
        <stp>BDP|17699534979528741401</stp>
        <tr r="BY57" s="3"/>
      </tp>
      <tp t="s">
        <v>#N/A N/A</v>
        <stp/>
        <stp>BDP|11305316862908992524</stp>
        <tr r="CH58" s="3"/>
      </tp>
      <tp t="s">
        <v>#N/A N/A</v>
        <stp/>
        <stp>BDP|15353996840329441852</stp>
        <tr r="L63" s="3"/>
      </tp>
      <tp t="s">
        <v>#N/A N/A</v>
        <stp/>
        <stp>BDP|13079772676129860339</stp>
        <tr r="BF71" s="3"/>
      </tp>
      <tp t="s">
        <v>#N/A N/A</v>
        <stp/>
        <stp>BDP|17966852319872911567</stp>
        <tr r="BN58" s="3"/>
      </tp>
      <tp t="s">
        <v>#N/A N/A</v>
        <stp/>
        <stp>BDP|10561879049926678378</stp>
        <tr r="AX72" s="3"/>
      </tp>
      <tp t="s">
        <v>#N/A N/A</v>
        <stp/>
        <stp>BDP|11102243896002121188</stp>
        <tr r="AG55" s="3"/>
      </tp>
      <tp t="s">
        <v>#N/A N/A</v>
        <stp/>
        <stp>BDP|10044430847998711193</stp>
        <tr r="K67" s="3"/>
      </tp>
      <tp t="s">
        <v>#N/A N/A</v>
        <stp/>
        <stp>BDP|16757462184080897305</stp>
        <tr r="K72" s="3"/>
      </tp>
      <tp t="s">
        <v>#N/A N/A</v>
        <stp/>
        <stp>BDP|10089120222633404996</stp>
        <tr r="O64" s="3"/>
      </tp>
      <tp t="s">
        <v>#N/A N/A</v>
        <stp/>
        <stp>BDP|16457430571674306881</stp>
        <tr r="K60" s="3"/>
      </tp>
      <tp t="s">
        <v>#N/A N/A</v>
        <stp/>
        <stp>BDP|11722371799460311272</stp>
        <tr r="N65" s="3"/>
      </tp>
      <tp t="s">
        <v>#N/A N/A</v>
        <stp/>
        <stp>BDP|11420568336717046982</stp>
        <tr r="AI57" s="3"/>
      </tp>
      <tp t="s">
        <v>#N/A N/A</v>
        <stp/>
        <stp>BDP|16777396723709586745</stp>
        <tr r="BS63" s="3"/>
      </tp>
      <tp t="s">
        <v>#N/A N/A</v>
        <stp/>
        <stp>BDP|17619356699971562534</stp>
        <tr r="AF67" s="3"/>
      </tp>
      <tp t="s">
        <v>#N/A N/A</v>
        <stp/>
        <stp>BDP|12288245554738948478</stp>
        <tr r="AZ58" s="3"/>
      </tp>
      <tp t="s">
        <v>#N/A N/A</v>
        <stp/>
        <stp>BDP|12267062578959102527</stp>
        <tr r="AZ59" s="3"/>
      </tp>
      <tp t="s">
        <v>#N/A N/A</v>
        <stp/>
        <stp>BDP|10278003278027689935</stp>
        <tr r="AD68" s="3"/>
      </tp>
      <tp t="s">
        <v>#N/A N/A</v>
        <stp/>
        <stp>BDP|18190395078453771696</stp>
        <tr r="CB67" s="3"/>
      </tp>
      <tp t="s">
        <v>#N/A N/A</v>
        <stp/>
        <stp>BDP|17007436315993071884</stp>
        <tr r="BI69" s="3"/>
      </tp>
      <tp t="s">
        <v>#N/A N/A</v>
        <stp/>
        <stp>BDP|17472956606115163287</stp>
        <tr r="AA69" s="3"/>
      </tp>
      <tp t="s">
        <v>#N/A N/A</v>
        <stp/>
        <stp>BDP|11878077695211671022</stp>
        <tr r="AT57" s="3"/>
      </tp>
      <tp t="s">
        <v>#N/A N/A</v>
        <stp/>
        <stp>BDP|14234253033065489904</stp>
        <tr r="Q60" s="3"/>
      </tp>
      <tp t="s">
        <v>#N/A N/A</v>
        <stp/>
        <stp>BDP|13462466089654396288</stp>
        <tr r="O72" s="3"/>
      </tp>
      <tp t="s">
        <v>#N/A N/A</v>
        <stp/>
        <stp>BDP|14791972562430070217</stp>
        <tr r="BF75" s="3"/>
      </tp>
      <tp t="s">
        <v>#N/A N/A</v>
        <stp/>
        <stp>BDP|16533479296101154305</stp>
        <tr r="AN69" s="3"/>
      </tp>
      <tp t="s">
        <v>#N/A N/A</v>
        <stp/>
        <stp>BDP|11524056939929569294</stp>
        <tr r="Q72" s="3"/>
      </tp>
      <tp t="s">
        <v>#N/A N/A</v>
        <stp/>
        <stp>BDP|15588005841801131908</stp>
        <tr r="CA68" s="3"/>
      </tp>
      <tp t="s">
        <v>#N/A N/A</v>
        <stp/>
        <stp>BDP|10424344259588529790</stp>
        <tr r="CG63" s="3"/>
      </tp>
      <tp t="s">
        <v>#N/A N/A</v>
        <stp/>
        <stp>BDP|10486606633808611446</stp>
        <tr r="BU64" s="3"/>
      </tp>
      <tp t="s">
        <v>#N/A N/A</v>
        <stp/>
        <stp>BDP|10524361655039663654</stp>
        <tr r="Y66" s="3"/>
      </tp>
      <tp t="s">
        <v>#N/A N/A</v>
        <stp/>
        <stp>BDP|16000147212286176927</stp>
        <tr r="BC75" s="3"/>
      </tp>
      <tp t="s">
        <v>#N/A N/A</v>
        <stp/>
        <stp>BDP|11688069205621653966</stp>
        <tr r="AO58" s="3"/>
      </tp>
      <tp t="s">
        <v>#N/A N/A</v>
        <stp/>
        <stp>BDP|13457805770521951484</stp>
        <tr r="BA62" s="3"/>
      </tp>
      <tp t="s">
        <v>#N/A N/A</v>
        <stp/>
        <stp>BDP|16764745037239293223</stp>
        <tr r="L60" s="3"/>
      </tp>
      <tp t="s">
        <v>#N/A N/A</v>
        <stp/>
        <stp>BDP|11062170202188669176</stp>
        <tr r="BX58" s="3"/>
      </tp>
      <tp t="s">
        <v>#N/A N/A</v>
        <stp/>
        <stp>BDP|10401553825017094937</stp>
        <tr r="AQ60" s="3"/>
      </tp>
      <tp t="s">
        <v>#N/A N/A</v>
        <stp/>
        <stp>BDP|14041704923678560013</stp>
        <tr r="AL65" s="3"/>
      </tp>
      <tp t="s">
        <v>#N/A N/A</v>
        <stp/>
        <stp>BDP|17260859255802705127</stp>
        <tr r="CG60" s="3"/>
      </tp>
      <tp t="s">
        <v>#N/A N/A</v>
        <stp/>
        <stp>BDP|14032696098300205240</stp>
        <tr r="P76" s="3"/>
      </tp>
      <tp t="s">
        <v>#N/A N/A</v>
        <stp/>
        <stp>BDP|10614168776968813789</stp>
        <tr r="S56" s="3"/>
      </tp>
      <tp t="s">
        <v>#N/A N/A</v>
        <stp/>
        <stp>BDP|18172316314897204409</stp>
        <tr r="BR63" s="3"/>
      </tp>
      <tp t="s">
        <v>#N/A N/A</v>
        <stp/>
        <stp>BDP|16557943840897616518</stp>
        <tr r="AA72" s="3"/>
      </tp>
      <tp t="s">
        <v>#N/A N/A</v>
        <stp/>
        <stp>BDP|11767824006518700821</stp>
        <tr r="AH63" s="3"/>
      </tp>
      <tp t="s">
        <v>#N/A N/A</v>
        <stp/>
        <stp>BDP|15544484428013551960</stp>
        <tr r="AR65" s="3"/>
      </tp>
      <tp t="s">
        <v>#N/A N/A</v>
        <stp/>
        <stp>BDP|18014012169086950685</stp>
        <tr r="J64" s="3"/>
      </tp>
      <tp t="s">
        <v>#N/A N/A</v>
        <stp/>
        <stp>BDP|14468260699971256009</stp>
        <tr r="P55" s="3"/>
      </tp>
      <tp t="s">
        <v>#N/A N/A</v>
        <stp/>
        <stp>BDP|10432472468408015424</stp>
        <tr r="T72" s="3"/>
      </tp>
      <tp t="s">
        <v>#N/A N/A</v>
        <stp/>
        <stp>BDP|18130764689599627009</stp>
        <tr r="AP60" s="3"/>
      </tp>
      <tp t="s">
        <v>#N/A N/A</v>
        <stp/>
        <stp>BDP|11988402083607434460</stp>
        <tr r="AU70" s="3"/>
      </tp>
      <tp t="s">
        <v>#N/A N/A</v>
        <stp/>
        <stp>BDP|13847869581604159957</stp>
        <tr r="BK59" s="3"/>
      </tp>
      <tp t="s">
        <v>#N/A N/A</v>
        <stp/>
        <stp>BDP|12613041150861005891</stp>
        <tr r="CC69" s="3"/>
      </tp>
      <tp t="s">
        <v>#N/A N/A</v>
        <stp/>
        <stp>BDP|12519783446117495847</stp>
        <tr r="BV66" s="3"/>
      </tp>
      <tp t="s">
        <v>#N/A N/A</v>
        <stp/>
        <stp>BDP|18030698945332296650</stp>
        <tr r="AZ71" s="3"/>
      </tp>
      <tp t="s">
        <v>#N/A N/A</v>
        <stp/>
        <stp>BDP|14357888420534169418</stp>
        <tr r="CJ60" s="3"/>
      </tp>
      <tp t="s">
        <v>#N/A N/A</v>
        <stp/>
        <stp>BDP|18134384668814858731</stp>
        <tr r="BO75" s="3"/>
      </tp>
      <tp t="s">
        <v>#N/A N/A</v>
        <stp/>
        <stp>BDP|13786251963911993823</stp>
        <tr r="H55" s="3"/>
      </tp>
      <tp t="s">
        <v>#N/A N/A</v>
        <stp/>
        <stp>BDP|12915388015618802666</stp>
        <tr r="X74" s="3"/>
      </tp>
      <tp t="s">
        <v>#N/A N/A</v>
        <stp/>
        <stp>BDP|17588355039148658155</stp>
        <tr r="AE65" s="3"/>
      </tp>
      <tp t="s">
        <v>#N/A N/A</v>
        <stp/>
        <stp>BDP|14071162996594843624</stp>
        <tr r="AH65" s="3"/>
      </tp>
      <tp t="s">
        <v>#N/A N/A</v>
        <stp/>
        <stp>BDP|13274336072370855912</stp>
        <tr r="BU73" s="3"/>
      </tp>
      <tp t="s">
        <v>#N/A N/A</v>
        <stp/>
        <stp>BDP|11640148855199808220</stp>
        <tr r="R69" s="3"/>
      </tp>
      <tp t="s">
        <v>#N/A N/A</v>
        <stp/>
        <stp>BDP|16273211641508880669</stp>
        <tr r="Y55" s="3"/>
      </tp>
      <tp t="s">
        <v>#N/A N/A</v>
        <stp/>
        <stp>BDP|14193802517343291087</stp>
        <tr r="BA64" s="3"/>
      </tp>
      <tp t="s">
        <v>#N/A N/A</v>
        <stp/>
        <stp>BDP|18195172739456259229</stp>
        <tr r="BT65" s="3"/>
      </tp>
      <tp t="s">
        <v>#N/A N/A</v>
        <stp/>
        <stp>BDP|17630031587299873852</stp>
        <tr r="AL62" s="3"/>
      </tp>
      <tp t="s">
        <v>#N/A N/A</v>
        <stp/>
        <stp>BDP|17108189355114481968</stp>
        <tr r="G68" s="3"/>
      </tp>
      <tp t="s">
        <v>#N/A N/A</v>
        <stp/>
        <stp>BDP|16008650291921313695</stp>
        <tr r="AY60" s="3"/>
      </tp>
      <tp t="s">
        <v>#N/A N/A</v>
        <stp/>
        <stp>BDP|15350011731199507189</stp>
        <tr r="BF57" s="3"/>
      </tp>
      <tp t="s">
        <v>#N/A N/A</v>
        <stp/>
        <stp>BDP|12999258556202544915</stp>
        <tr r="AW56" s="3"/>
      </tp>
      <tp t="s">
        <v>#N/A N/A</v>
        <stp/>
        <stp>BDP|16667300137461857989</stp>
        <tr r="AK56" s="3"/>
      </tp>
      <tp t="s">
        <v>#N/A N/A</v>
        <stp/>
        <stp>BDP|14731464618656850907</stp>
        <tr r="N72" s="3"/>
      </tp>
      <tp t="s">
        <v>#N/A N/A</v>
        <stp/>
        <stp>BDP|16859993763877202000</stp>
        <tr r="CE60" s="3"/>
      </tp>
      <tp t="s">
        <v>#N/A N/A</v>
        <stp/>
        <stp>BDP|17453368465704159862</stp>
        <tr r="BH71" s="3"/>
      </tp>
      <tp t="s">
        <v>#N/A N/A</v>
        <stp/>
        <stp>BDP|16603845172850093706</stp>
        <tr r="Q56" s="3"/>
      </tp>
      <tp t="s">
        <v>#N/A N/A</v>
        <stp/>
        <stp>BDP|18343907195751326753</stp>
        <tr r="X62" s="3"/>
      </tp>
      <tp t="s">
        <v>#N/A N/A</v>
        <stp/>
        <stp>BDP|17328100430543351806</stp>
        <tr r="AN67" s="3"/>
      </tp>
      <tp t="s">
        <v>#N/A N/A</v>
        <stp/>
        <stp>BDP|11328115801678315604</stp>
        <tr r="T69" s="3"/>
      </tp>
      <tp t="s">
        <v>#N/A N/A</v>
        <stp/>
        <stp>BDP|10278654746869125532</stp>
        <tr r="BV63" s="3"/>
      </tp>
      <tp t="s">
        <v>#N/A N/A</v>
        <stp/>
        <stp>BDP|14251940364437592251</stp>
        <tr r="CH73" s="3"/>
      </tp>
      <tp t="s">
        <v>#N/A N/A</v>
        <stp/>
        <stp>BDP|10949994172154549458</stp>
        <tr r="BE60" s="3"/>
      </tp>
      <tp t="s">
        <v>#N/A N/A</v>
        <stp/>
        <stp>BDP|12295546881728728950</stp>
        <tr r="AI74" s="3"/>
      </tp>
      <tp t="s">
        <v>#N/A N/A</v>
        <stp/>
        <stp>BDP|10215939257270017235</stp>
        <tr r="AT66" s="3"/>
      </tp>
      <tp t="s">
        <v>#N/A N/A</v>
        <stp/>
        <stp>BDP|15056829013262093051</stp>
        <tr r="BB58" s="3"/>
      </tp>
      <tp t="s">
        <v>#N/A N/A</v>
        <stp/>
        <stp>BDP|13038912691645435834</stp>
        <tr r="AJ66" s="3"/>
      </tp>
      <tp t="s">
        <v>#N/A N/A</v>
        <stp/>
        <stp>BDP|11583741917250929993</stp>
        <tr r="CK64" s="3"/>
      </tp>
      <tp t="s">
        <v>#N/A N/A</v>
        <stp/>
        <stp>BDP|13791116196227267248</stp>
        <tr r="BU67" s="3"/>
      </tp>
      <tp t="s">
        <v>#N/A N/A</v>
        <stp/>
        <stp>BDP|14886337354105947909</stp>
        <tr r="AI69" s="3"/>
      </tp>
      <tp t="s">
        <v>#N/A N/A</v>
        <stp/>
        <stp>BDP|12215891518073976739</stp>
        <tr r="AQ57" s="3"/>
      </tp>
      <tp t="s">
        <v>#N/A N/A</v>
        <stp/>
        <stp>BDP|16733017181542851378</stp>
        <tr r="AM70" s="3"/>
      </tp>
      <tp t="s">
        <v>#N/A N/A</v>
        <stp/>
        <stp>BDP|11900833410680046722</stp>
        <tr r="AB75" s="3"/>
      </tp>
      <tp t="s">
        <v>#N/A N/A</v>
        <stp/>
        <stp>BDP|10316074882630724790</stp>
        <tr r="CI65" s="3"/>
      </tp>
      <tp t="s">
        <v>#N/A N/A</v>
        <stp/>
        <stp>BDP|17953340893005600700</stp>
        <tr r="BT73" s="3"/>
      </tp>
      <tp t="s">
        <v>#N/A N/A</v>
        <stp/>
        <stp>BDP|12081343031758956571</stp>
        <tr r="BF63" s="3"/>
      </tp>
      <tp t="s">
        <v>#N/A N/A</v>
        <stp/>
        <stp>BDP|11453882660493152369</stp>
        <tr r="BO73" s="3"/>
      </tp>
      <tp t="s">
        <v>#N/A N/A</v>
        <stp/>
        <stp>BDP|15911022276074640909</stp>
        <tr r="AH59" s="3"/>
      </tp>
      <tp t="s">
        <v>#N/A N/A</v>
        <stp/>
        <stp>BDP|18034692977036375065</stp>
        <tr r="L58" s="3"/>
      </tp>
      <tp t="s">
        <v>#N/A N/A</v>
        <stp/>
        <stp>BDP|17639757123969230481</stp>
        <tr r="BR65" s="3"/>
      </tp>
      <tp t="s">
        <v>#N/A N/A</v>
        <stp/>
        <stp>BDP|11929341552409477111</stp>
        <tr r="AT75" s="3"/>
      </tp>
      <tp t="s">
        <v>#N/A N/A</v>
        <stp/>
        <stp>BDP|10410183231634720906</stp>
        <tr r="CD70" s="3"/>
      </tp>
      <tp t="s">
        <v>#N/A N/A</v>
        <stp/>
        <stp>BDP|10476000999447326146</stp>
        <tr r="CA66" s="3"/>
      </tp>
      <tp t="s">
        <v>#N/A N/A</v>
        <stp/>
        <stp>BDP|17289876736031745299</stp>
        <tr r="BB67" s="3"/>
      </tp>
      <tp t="s">
        <v>#N/A N/A</v>
        <stp/>
        <stp>BDP|18162253308446561340</stp>
        <tr r="Z73" s="3"/>
      </tp>
      <tp t="s">
        <v>#N/A N/A</v>
        <stp/>
        <stp>BDP|11410857131686910344</stp>
        <tr r="AN73" s="3"/>
      </tp>
      <tp t="s">
        <v>#N/A N/A</v>
        <stp/>
        <stp>BDP|13931498707060244894</stp>
        <tr r="L56" s="3"/>
      </tp>
      <tp t="s">
        <v>#N/A N/A</v>
        <stp/>
        <stp>BDP|17389060588113579341</stp>
        <tr r="BY58" s="3"/>
      </tp>
      <tp t="s">
        <v>#N/A N/A</v>
        <stp/>
        <stp>BDP|14888541392584123304</stp>
        <tr r="AO66" s="3"/>
      </tp>
      <tp t="s">
        <v>#N/A N/A</v>
        <stp/>
        <stp>BDP|13601225796351890656</stp>
        <tr r="L67" s="3"/>
      </tp>
      <tp t="s">
        <v>#N/A N/A</v>
        <stp/>
        <stp>BDP|15325379991681819124</stp>
        <tr r="CK60" s="3"/>
      </tp>
      <tp t="s">
        <v>#N/A N/A</v>
        <stp/>
        <stp>BDP|12525567789992717225</stp>
        <tr r="CG76" s="3"/>
      </tp>
      <tp t="s">
        <v>#N/A N/A</v>
        <stp/>
        <stp>BDP|16569221601059933208</stp>
        <tr r="L68" s="3"/>
      </tp>
      <tp t="s">
        <v>#N/A N/A</v>
        <stp/>
        <stp>BDP|14407912608273488168</stp>
        <tr r="AK60" s="3"/>
      </tp>
      <tp t="s">
        <v>#N/A N/A</v>
        <stp/>
        <stp>BDP|16214636393005910340</stp>
        <tr r="Z65" s="3"/>
      </tp>
      <tp t="s">
        <v>#N/A N/A</v>
        <stp/>
        <stp>BDP|12211958424450936646</stp>
        <tr r="AG71" s="3"/>
      </tp>
      <tp t="s">
        <v>#N/A N/A</v>
        <stp/>
        <stp>BDP|11974732969446588986</stp>
        <tr r="S63" s="3"/>
      </tp>
      <tp t="s">
        <v>#N/A N/A</v>
        <stp/>
        <stp>BDP|10099336073992710999</stp>
        <tr r="J73" s="3"/>
      </tp>
      <tp t="s">
        <v>#N/A N/A</v>
        <stp/>
        <stp>BDP|16157952618345443461</stp>
        <tr r="CB55" s="3"/>
      </tp>
      <tp t="s">
        <v>#N/A N/A</v>
        <stp/>
        <stp>BDP|15193343082984779514</stp>
        <tr r="M65" s="3"/>
      </tp>
      <tp t="s">
        <v>#N/A N/A</v>
        <stp/>
        <stp>BDP|18398972381341504704</stp>
        <tr r="X60" s="3"/>
      </tp>
      <tp t="s">
        <v>#N/A N/A</v>
        <stp/>
        <stp>BDP|18091327473354121732</stp>
        <tr r="AH62" s="3"/>
      </tp>
      <tp t="s">
        <v>#N/A N/A</v>
        <stp/>
        <stp>BDP|14985436338069384527</stp>
        <tr r="BO59" s="3"/>
      </tp>
      <tp t="s">
        <v>#N/A N/A</v>
        <stp/>
        <stp>BDP|15835450601708867666</stp>
        <tr r="P57" s="3"/>
      </tp>
      <tp t="s">
        <v>#N/A N/A</v>
        <stp/>
        <stp>BDP|16170722880302652409</stp>
        <tr r="AB66" s="3"/>
      </tp>
      <tp t="s">
        <v>#N/A N/A</v>
        <stp/>
        <stp>BDP|13460405444638040459</stp>
        <tr r="CF71" s="3"/>
      </tp>
      <tp t="s">
        <v>#N/A N/A</v>
        <stp/>
        <stp>BDP|17386186225508809335</stp>
        <tr r="BS57" s="3"/>
      </tp>
      <tp t="s">
        <v>#N/A N/A</v>
        <stp/>
        <stp>BDP|14389378778507031895</stp>
        <tr r="AU73" s="3"/>
      </tp>
      <tp t="s">
        <v>#N/A N/A</v>
        <stp/>
        <stp>BDP|13954875719032140737</stp>
        <tr r="AI59" s="3"/>
      </tp>
      <tp t="s">
        <v>#N/A N/A</v>
        <stp/>
        <stp>BDP|16961225007793128882</stp>
        <tr r="T71" s="3"/>
      </tp>
      <tp t="s">
        <v>#N/A N/A</v>
        <stp/>
        <stp>BDP|13342287315419295684</stp>
        <tr r="S76" s="3"/>
      </tp>
      <tp t="s">
        <v>#N/A N/A</v>
        <stp/>
        <stp>BDP|16797067384296275736</stp>
        <tr r="BE63" s="3"/>
      </tp>
      <tp t="s">
        <v>#N/A N/A</v>
        <stp/>
        <stp>BDP|11406441984014854680</stp>
        <tr r="AQ75" s="3"/>
      </tp>
      <tp t="s">
        <v>#N/A N/A</v>
        <stp/>
        <stp>BDP|15255342210768594046</stp>
        <tr r="BK70" s="3"/>
      </tp>
      <tp t="s">
        <v>#N/A N/A</v>
        <stp/>
        <stp>BDP|13046015492867423206</stp>
        <tr r="AV68" s="3"/>
      </tp>
      <tp t="s">
        <v>#N/A N/A</v>
        <stp/>
        <stp>BDP|17770338326548371161</stp>
        <tr r="CF56" s="3"/>
      </tp>
      <tp t="s">
        <v>#N/A N/A</v>
        <stp/>
        <stp>BDP|10721283653668311085</stp>
        <tr r="BZ63" s="3"/>
      </tp>
      <tp t="s">
        <v>#N/A N/A</v>
        <stp/>
        <stp>BDP|13191326776179398111</stp>
        <tr r="N69" s="3"/>
      </tp>
      <tp t="s">
        <v>#N/A N/A</v>
        <stp/>
        <stp>BDP|13700181638469619760</stp>
        <tr r="AL59" s="3"/>
      </tp>
      <tp t="s">
        <v>#N/A N/A</v>
        <stp/>
        <stp>BDP|17270214890913461015</stp>
        <tr r="P64" s="3"/>
      </tp>
      <tp t="s">
        <v>#N/A N/A</v>
        <stp/>
        <stp>BDP|10481665355098267434</stp>
        <tr r="H62" s="3"/>
      </tp>
      <tp t="s">
        <v>#N/A N/A</v>
        <stp/>
        <stp>BDP|18296862271448415073</stp>
        <tr r="AH55" s="3"/>
      </tp>
      <tp t="s">
        <v>#N/A N/A</v>
        <stp/>
        <stp>BDP|11701208103365718956</stp>
        <tr r="CC72" s="3"/>
      </tp>
      <tp t="s">
        <v>#N/A N/A</v>
        <stp/>
        <stp>BDP|16045866763275500267</stp>
        <tr r="AJ69" s="3"/>
      </tp>
      <tp t="s">
        <v>#N/A N/A</v>
        <stp/>
        <stp>BDP|10444001845498112366</stp>
        <tr r="J62" s="3"/>
      </tp>
      <tp t="s">
        <v>#N/A N/A</v>
        <stp/>
        <stp>BDP|17292342852497385911</stp>
        <tr r="U67" s="3"/>
      </tp>
      <tp t="s">
        <v>#N/A N/A</v>
        <stp/>
        <stp>BDH|10363337562313453958</stp>
        <tr r="C93" s="3"/>
        <tr r="C89" s="3"/>
      </tp>
      <tp t="s">
        <v>#N/A N/A</v>
        <stp/>
        <stp>BDP|10489201339118227564</stp>
        <tr r="G63" s="3"/>
      </tp>
      <tp t="s">
        <v>#N/A N/A</v>
        <stp/>
        <stp>BDP|12819245961189048342</stp>
        <tr r="BF70" s="3"/>
      </tp>
      <tp t="s">
        <v>#N/A N/A</v>
        <stp/>
        <stp>BDP|13337257379199682308</stp>
        <tr r="M56" s="3"/>
      </tp>
      <tp t="s">
        <v>#N/A N/A</v>
        <stp/>
        <stp>BDP|11806824818713385792</stp>
        <tr r="Y72" s="3"/>
      </tp>
      <tp t="s">
        <v>#N/A N/A</v>
        <stp/>
        <stp>BDP|15625763316196777997</stp>
        <tr r="O66" s="3"/>
      </tp>
      <tp t="s">
        <v>#N/A N/A</v>
        <stp/>
        <stp>BDP|12484969469230315104</stp>
        <tr r="Q55" s="3"/>
      </tp>
      <tp t="s">
        <v>#N/A N/A</v>
        <stp/>
        <stp>BDP|10063332098626728044</stp>
        <tr r="BH56" s="3"/>
      </tp>
      <tp t="s">
        <v>#N/A N/A</v>
        <stp/>
        <stp>BDP|15350884429827945439</stp>
        <tr r="AX63" s="3"/>
      </tp>
      <tp t="s">
        <v>#N/A N/A</v>
        <stp/>
        <stp>BDP|10778995770942669031</stp>
        <tr r="BU65" s="3"/>
      </tp>
      <tp t="s">
        <v>#N/A N/A</v>
        <stp/>
        <stp>BDP|13314774709298557030</stp>
        <tr r="BS64" s="3"/>
      </tp>
      <tp t="s">
        <v>#N/A N/A</v>
        <stp/>
        <stp>BDP|10408942276425950758</stp>
        <tr r="AN74" s="3"/>
      </tp>
      <tp t="s">
        <v>#N/A N/A</v>
        <stp/>
        <stp>BDP|10477208190744965374</stp>
        <tr r="AU66" s="3"/>
      </tp>
      <tp t="s">
        <v>#N/A N/A</v>
        <stp/>
        <stp>BDP|10501581870838446631</stp>
        <tr r="Q67" s="3"/>
      </tp>
      <tp t="s">
        <v>#N/A N/A</v>
        <stp/>
        <stp>BDP|14165986112428273830</stp>
        <tr r="CK65" s="3"/>
      </tp>
      <tp t="s">
        <v>#N/A N/A</v>
        <stp/>
        <stp>BDP|14946791232484014882</stp>
        <tr r="BU76" s="3"/>
      </tp>
      <tp t="s">
        <v>#N/A N/A</v>
        <stp/>
        <stp>BDP|14889450230836444935</stp>
        <tr r="AR76" s="3"/>
      </tp>
      <tp t="s">
        <v>#N/A N/A</v>
        <stp/>
        <stp>BDP|17677787848160418885</stp>
        <tr r="AC64" s="3"/>
      </tp>
      <tp t="s">
        <v>#N/A N/A</v>
        <stp/>
        <stp>BDP|16629129348786815997</stp>
        <tr r="AK73" s="3"/>
      </tp>
      <tp t="s">
        <v>#N/A N/A</v>
        <stp/>
        <stp>BDP|12918054074948431112</stp>
        <tr r="K59" s="3"/>
      </tp>
      <tp t="s">
        <v>#N/A N/A</v>
        <stp/>
        <stp>BDP|14175993405159567852</stp>
        <tr r="BT59" s="3"/>
      </tp>
      <tp t="s">
        <v>#N/A N/A</v>
        <stp/>
        <stp>BDP|11328195204235297919</stp>
        <tr r="AS69" s="3"/>
      </tp>
      <tp t="s">
        <v>#N/A N/A</v>
        <stp/>
        <stp>BDP|11079897875704687667</stp>
        <tr r="K73" s="3"/>
      </tp>
      <tp t="s">
        <v>#N/A N/A</v>
        <stp/>
        <stp>BDP|14470945178676607022</stp>
        <tr r="BG71" s="3"/>
      </tp>
      <tp t="s">
        <v>#N/A N/A</v>
        <stp/>
        <stp>BDP|17920596637675194897</stp>
        <tr r="BS75" s="3"/>
      </tp>
      <tp t="s">
        <v>#N/A N/A</v>
        <stp/>
        <stp>BDP|12037880766342785272</stp>
        <tr r="CJ76" s="3"/>
      </tp>
      <tp t="s">
        <v>#N/A N/A</v>
        <stp/>
        <stp>BDP|13875523323750055870</stp>
        <tr r="AK71" s="3"/>
      </tp>
      <tp t="s">
        <v>#N/A N/A</v>
        <stp/>
        <stp>BDP|15357759181873820513</stp>
        <tr r="AY71" s="3"/>
      </tp>
      <tp t="s">
        <v>#N/A N/A</v>
        <stp/>
        <stp>BDP|16862184982710665358</stp>
        <tr r="CF58" s="3"/>
      </tp>
      <tp t="s">
        <v>#N/A N/A</v>
        <stp/>
        <stp>BDP|14285130191289066910</stp>
        <tr r="BR73" s="3"/>
      </tp>
      <tp t="s">
        <v>#N/A N/A</v>
        <stp/>
        <stp>BDP|17215812378166297291</stp>
        <tr r="BK72" s="3"/>
      </tp>
      <tp t="s">
        <v>#N/A N/A</v>
        <stp/>
        <stp>BDP|13730061446808745303</stp>
        <tr r="BL75" s="3"/>
      </tp>
      <tp t="s">
        <v>#N/A N/A</v>
        <stp/>
        <stp>BDP|18109561460621128667</stp>
        <tr r="CJ75" s="3"/>
      </tp>
      <tp t="s">
        <v>#N/A N/A</v>
        <stp/>
        <stp>BDP|13078730181817487766</stp>
        <tr r="J63" s="3"/>
      </tp>
      <tp t="s">
        <v>#N/A N/A</v>
        <stp/>
        <stp>BDP|18355119160701292239</stp>
        <tr r="X75" s="3"/>
      </tp>
      <tp t="s">
        <v>#N/A N/A</v>
        <stp/>
        <stp>BDP|18186862795134288139</stp>
        <tr r="AR68" s="3"/>
      </tp>
      <tp t="s">
        <v>#N/A N/A</v>
        <stp/>
        <stp>BDP|10150619053339617667</stp>
        <tr r="BL62" s="3"/>
      </tp>
      <tp t="s">
        <v>#N/A N/A</v>
        <stp/>
        <stp>BDP|18109930514029699536</stp>
        <tr r="AA74" s="3"/>
      </tp>
      <tp t="s">
        <v>#N/A N/A</v>
        <stp/>
        <stp>BDP|15157478644478360129</stp>
        <tr r="BZ65" s="3"/>
      </tp>
      <tp t="s">
        <v>#N/A N/A</v>
        <stp/>
        <stp>BDP|14523700040683624802</stp>
        <tr r="CF70" s="3"/>
      </tp>
      <tp t="s">
        <v>#N/A N/A</v>
        <stp/>
        <stp>BDP|15912889120774134721</stp>
        <tr r="BC67" s="3"/>
      </tp>
      <tp t="s">
        <v>#N/A N/A</v>
        <stp/>
        <stp>BDP|14503810554224415162</stp>
        <tr r="Q71" s="3"/>
      </tp>
      <tp t="s">
        <v>#N/A N/A</v>
        <stp/>
        <stp>BDP|17260351192713522223</stp>
        <tr r="BB74" s="3"/>
      </tp>
      <tp t="s">
        <v>#N/A N/A</v>
        <stp/>
        <stp>BDP|17536540126715683957</stp>
        <tr r="CH66" s="3"/>
      </tp>
      <tp t="s">
        <v>#N/A N/A</v>
        <stp/>
        <stp>BDP|13972414095521081395</stp>
        <tr r="BS66" s="3"/>
      </tp>
      <tp t="s">
        <v>#N/A N/A</v>
        <stp/>
        <stp>BDP|11119831277664944681</stp>
        <tr r="N75" s="3"/>
      </tp>
      <tp t="s">
        <v>#N/A N/A</v>
        <stp/>
        <stp>BDP|17281709262553007946</stp>
        <tr r="AN55" s="3"/>
      </tp>
      <tp t="s">
        <v>#N/A N/A</v>
        <stp/>
        <stp>BDP|17876396290231537001</stp>
        <tr r="BQ65" s="3"/>
      </tp>
      <tp t="s">
        <v>#N/A N/A</v>
        <stp/>
        <stp>BDP|11389959967307254546</stp>
        <tr r="BP62" s="3"/>
      </tp>
      <tp t="s">
        <v>#N/A N/A</v>
        <stp/>
        <stp>BDP|16057868564232797623</stp>
        <tr r="BX68" s="3"/>
      </tp>
      <tp t="s">
        <v>#N/A N/A</v>
        <stp/>
        <stp>BDP|11230655975145023949</stp>
        <tr r="AE69" s="3"/>
      </tp>
      <tp t="s">
        <v>#N/A N/A</v>
        <stp/>
        <stp>BDP|17379906271346715333</stp>
        <tr r="AE67" s="3"/>
      </tp>
      <tp t="s">
        <v>#N/A N/A</v>
        <stp/>
        <stp>BDP|11002590378768775700</stp>
        <tr r="BV71" s="3"/>
      </tp>
      <tp t="s">
        <v>#N/A N/A</v>
        <stp/>
        <stp>BDP|14099714105359442793</stp>
        <tr r="AQ62" s="3"/>
      </tp>
      <tp t="s">
        <v>#N/A N/A</v>
        <stp/>
        <stp>BDP|17376556848709227258</stp>
        <tr r="V62" s="3"/>
      </tp>
      <tp t="s">
        <v>#N/A N/A</v>
        <stp/>
        <stp>BDP|18265581347055707130</stp>
        <tr r="AD60" s="3"/>
      </tp>
      <tp t="s">
        <v>#N/A N/A</v>
        <stp/>
        <stp>BDP|13842194678281713968</stp>
        <tr r="BG55" s="3"/>
      </tp>
      <tp t="s">
        <v>#N/A N/A</v>
        <stp/>
        <stp>BDP|16290150992636818557</stp>
        <tr r="F74" s="3"/>
      </tp>
      <tp t="s">
        <v>#N/A N/A</v>
        <stp/>
        <stp>BDP|17173892655576118140</stp>
        <tr r="CH74" s="3"/>
      </tp>
      <tp t="s">
        <v>#N/A N/A</v>
        <stp/>
        <stp>BDP|12590208626207860833</stp>
        <tr r="AN71" s="3"/>
      </tp>
      <tp t="s">
        <v>#N/A N/A</v>
        <stp/>
        <stp>BDP|13201845008520230672</stp>
        <tr r="BH67" s="3"/>
      </tp>
      <tp t="s">
        <v>#N/A N/A</v>
        <stp/>
        <stp>BDP|16911825633893066322</stp>
        <tr r="BY71" s="3"/>
      </tp>
      <tp t="s">
        <v>#N/A N/A</v>
        <stp/>
        <stp>BDP|14209562468279298333</stp>
        <tr r="CJ65" s="3"/>
      </tp>
      <tp t="s">
        <v>#N/A N/A</v>
        <stp/>
        <stp>BDP|15478757736349214582</stp>
        <tr r="L70" s="3"/>
      </tp>
      <tp t="s">
        <v>#N/A N/A</v>
        <stp/>
        <stp>BDP|14150956218421456052</stp>
        <tr r="CD71" s="3"/>
      </tp>
      <tp t="s">
        <v>#N/A N/A</v>
        <stp/>
        <stp>BDP|15946860069675343380</stp>
        <tr r="BL59" s="3"/>
      </tp>
      <tp t="s">
        <v>#N/A N/A</v>
        <stp/>
        <stp>BDP|14961870315544248451</stp>
        <tr r="V65" s="3"/>
      </tp>
      <tp t="s">
        <v>#N/A N/A</v>
        <stp/>
        <stp>BDP|12849432477039114511</stp>
        <tr r="O69" s="3"/>
      </tp>
      <tp t="s">
        <v>#N/A N/A</v>
        <stp/>
        <stp>BDP|14611581472883052836</stp>
        <tr r="AK65" s="3"/>
      </tp>
      <tp t="s">
        <v>#N/A N/A</v>
        <stp/>
        <stp>BDP|18036527759985150059</stp>
        <tr r="BF73" s="3"/>
      </tp>
      <tp t="s">
        <v>#N/A N/A</v>
        <stp/>
        <stp>BDP|13927965499606894805</stp>
        <tr r="AO63" s="3"/>
      </tp>
      <tp t="s">
        <v>#N/A N/A</v>
        <stp/>
        <stp>BDP|12143720469917558914</stp>
        <tr r="BS67" s="3"/>
      </tp>
      <tp t="s">
        <v>#N/A N/A</v>
        <stp/>
        <stp>BDP|13686576309752380952</stp>
        <tr r="CE76" s="3"/>
      </tp>
      <tp t="s">
        <v>#N/A N/A</v>
        <stp/>
        <stp>BDP|13518370371558497299</stp>
        <tr r="AK74" s="3"/>
      </tp>
      <tp t="s">
        <v>#N/A N/A</v>
        <stp/>
        <stp>BDP|17156544381670741723</stp>
        <tr r="AX67" s="3"/>
      </tp>
      <tp t="s">
        <v>#N/A N/A</v>
        <stp/>
        <stp>BDP|13665678008848976009</stp>
        <tr r="AI68" s="3"/>
      </tp>
      <tp t="s">
        <v>#N/A N/A</v>
        <stp/>
        <stp>BDP|18359150225473143528</stp>
        <tr r="AF69" s="3"/>
      </tp>
      <tp t="s">
        <v>#N/A N/A</v>
        <stp/>
        <stp>BDP|18098724664043050765</stp>
        <tr r="CJ57" s="3"/>
      </tp>
      <tp t="s">
        <v>#N/A N/A</v>
        <stp/>
        <stp>BDP|11789600265369224533</stp>
        <tr r="BB55" s="3"/>
      </tp>
      <tp t="s">
        <v>#N/A N/A</v>
        <stp/>
        <stp>BDP|12201809163248306911</stp>
        <tr r="H76" s="3"/>
      </tp>
      <tp t="s">
        <v>#N/A N/A</v>
        <stp/>
        <stp>BDP|12902745569996182869</stp>
        <tr r="CG74" s="3"/>
      </tp>
      <tp t="s">
        <v>#N/A N/A</v>
        <stp/>
        <stp>BDP|13664011981294564207</stp>
        <tr r="K62" s="3"/>
      </tp>
      <tp t="s">
        <v>#N/A N/A</v>
        <stp/>
        <stp>BDP|17491579597423590532</stp>
        <tr r="AB73" s="3"/>
      </tp>
      <tp t="s">
        <v>#N/A N/A</v>
        <stp/>
        <stp>BDP|14422820364753309435</stp>
        <tr r="BO72" s="3"/>
      </tp>
      <tp t="s">
        <v>#N/A N/A</v>
        <stp/>
        <stp>BDP|12439630542059027476</stp>
        <tr r="W76" s="3"/>
      </tp>
      <tp t="s">
        <v>#N/A N/A</v>
        <stp/>
        <stp>BDP|17974984809557216483</stp>
        <tr r="AW62" s="3"/>
      </tp>
      <tp t="s">
        <v>#N/A N/A</v>
        <stp/>
        <stp>BDP|15415679319917983860</stp>
        <tr r="F59" s="3"/>
      </tp>
      <tp t="s">
        <v>#N/A N/A</v>
        <stp/>
        <stp>BDP|12937951617342986577</stp>
        <tr r="Q65" s="3"/>
      </tp>
      <tp t="s">
        <v>#N/A N/A</v>
        <stp/>
        <stp>BDP|11458465665886610848</stp>
        <tr r="BZ64" s="3"/>
      </tp>
      <tp t="s">
        <v>#N/A N/A</v>
        <stp/>
        <stp>BDP|15070874804013252356</stp>
        <tr r="AD56" s="3"/>
      </tp>
      <tp t="s">
        <v>#N/A N/A</v>
        <stp/>
        <stp>BDP|17051939019874907673</stp>
        <tr r="AJ64" s="3"/>
      </tp>
      <tp t="s">
        <v>#N/A N/A</v>
        <stp/>
        <stp>BDP|14661101779666374980</stp>
        <tr r="CE55" s="3"/>
      </tp>
      <tp t="s">
        <v>#N/A N/A</v>
        <stp/>
        <stp>BDP|15364595989616162367</stp>
        <tr r="Z59" s="3"/>
      </tp>
      <tp t="s">
        <v>#N/A N/A</v>
        <stp/>
        <stp>BDP|15257854954426064349</stp>
        <tr r="X55" s="3"/>
      </tp>
      <tp t="s">
        <v>#N/A N/A</v>
        <stp/>
        <stp>BDP|13353398750341859955</stp>
        <tr r="AI70" s="3"/>
      </tp>
      <tp t="s">
        <v>#N/A N/A</v>
        <stp/>
        <stp>BDP|16906187783186412419</stp>
        <tr r="BE75" s="3"/>
      </tp>
      <tp t="s">
        <v>#N/A N/A</v>
        <stp/>
        <stp>BDP|15336232427389591159</stp>
        <tr r="AG62" s="3"/>
      </tp>
      <tp t="s">
        <v>#N/A N/A</v>
        <stp/>
        <stp>BDP|10187945657705183442</stp>
        <tr r="T65" s="3"/>
      </tp>
      <tp t="s">
        <v>#N/A N/A</v>
        <stp/>
        <stp>BDP|18227947397547417226</stp>
        <tr r="AJ57" s="3"/>
      </tp>
      <tp t="s">
        <v>#N/A N/A</v>
        <stp/>
        <stp>BDP|14201800063113407424</stp>
        <tr r="BU56" s="3"/>
      </tp>
      <tp t="s">
        <v>#N/A N/A</v>
        <stp/>
        <stp>BDP|17788035923621925982</stp>
        <tr r="AD71" s="3"/>
      </tp>
      <tp t="s">
        <v>#N/A N/A</v>
        <stp/>
        <stp>BDP|16565293725209893270</stp>
        <tr r="L57" s="3"/>
      </tp>
      <tp t="s">
        <v>#N/A N/A</v>
        <stp/>
        <stp>BDP|10482223286586559137</stp>
        <tr r="AB64" s="3"/>
      </tp>
      <tp t="s">
        <v>#N/A N/A</v>
        <stp/>
        <stp>BDP|14214406594707254327</stp>
        <tr r="AZ72" s="3"/>
      </tp>
      <tp t="s">
        <v>#N/A N/A</v>
        <stp/>
        <stp>BDP|18353104656544769544</stp>
        <tr r="G75" s="3"/>
      </tp>
      <tp t="s">
        <v>#N/A N/A</v>
        <stp/>
        <stp>BDP|18278672274081687519</stp>
        <tr r="BU55" s="3"/>
      </tp>
      <tp t="s">
        <v>#N/A N/A</v>
        <stp/>
        <stp>BDP|11466863282164165781</stp>
        <tr r="R58" s="3"/>
      </tp>
      <tp t="s">
        <v>#N/A N/A</v>
        <stp/>
        <stp>BDP|12022806100969084194</stp>
        <tr r="CD72" s="3"/>
      </tp>
      <tp t="s">
        <v>#N/A N/A</v>
        <stp/>
        <stp>BDP|18269972391898544294</stp>
        <tr r="F75" s="3"/>
      </tp>
      <tp t="s">
        <v>#N/A N/A</v>
        <stp/>
        <stp>BDP|11106656638947387177</stp>
        <tr r="T60" s="3"/>
      </tp>
      <tp t="s">
        <v>#N/A N/A</v>
        <stp/>
        <stp>BDP|16292594035346318466</stp>
        <tr r="AD57" s="3"/>
      </tp>
      <tp t="s">
        <v>#N/A N/A</v>
        <stp/>
        <stp>BDP|10136691871983218002</stp>
        <tr r="CB73" s="3"/>
      </tp>
      <tp t="s">
        <v>#N/A N/A</v>
        <stp/>
        <stp>BDP|11088772543351947163</stp>
        <tr r="AG65" s="3"/>
      </tp>
      <tp t="s">
        <v>#N/A N/A</v>
        <stp/>
        <stp>BDP|13443489226417420046</stp>
        <tr r="I58" s="3"/>
      </tp>
      <tp t="s">
        <v>#N/A N/A</v>
        <stp/>
        <stp>BDP|12055102218040659039</stp>
        <tr r="BJ73" s="3"/>
      </tp>
      <tp t="s">
        <v>#N/A N/A</v>
        <stp/>
        <stp>BDP|16135446129076696477</stp>
        <tr r="AE75" s="3"/>
      </tp>
      <tp t="s">
        <v>#N/A N/A</v>
        <stp/>
        <stp>BDP|10622942674964873835</stp>
        <tr r="N71" s="3"/>
      </tp>
      <tp t="s">
        <v>#N/A N/A</v>
        <stp/>
        <stp>BDP|16736820395192557781</stp>
        <tr r="BU63" s="3"/>
      </tp>
      <tp t="s">
        <v>#N/A N/A</v>
        <stp/>
        <stp>BDP|12399609444937341587</stp>
        <tr r="BQ74" s="3"/>
      </tp>
      <tp t="s">
        <v>#N/A N/A</v>
        <stp/>
        <stp>BDP|18432626686985437182</stp>
        <tr r="AA60" s="3"/>
      </tp>
      <tp t="s">
        <v>#N/A N/A</v>
        <stp/>
        <stp>BDP|11429303308116445640</stp>
        <tr r="BH73" s="3"/>
      </tp>
      <tp t="s">
        <v>#N/A N/A</v>
        <stp/>
        <stp>BDP|16251855369402545849</stp>
        <tr r="CA59" s="3"/>
      </tp>
      <tp t="s">
        <v>#N/A N/A</v>
        <stp/>
        <stp>BDP|13662241280543492896</stp>
        <tr r="Y69" s="3"/>
      </tp>
      <tp t="s">
        <v>#N/A N/A</v>
        <stp/>
        <stp>BDP|13825789569329508927</stp>
        <tr r="R57" s="3"/>
      </tp>
      <tp t="s">
        <v>#N/A N/A</v>
        <stp/>
        <stp>BDP|10021183556816024008</stp>
        <tr r="BL76" s="3"/>
      </tp>
      <tp t="s">
        <v>#N/A N/A</v>
        <stp/>
        <stp>BDP|16266366911744968222</stp>
        <tr r="AT69" s="3"/>
      </tp>
      <tp t="s">
        <v>#N/A N/A</v>
        <stp/>
        <stp>BDP|13373144218367515644</stp>
        <tr r="BC57" s="3"/>
      </tp>
      <tp t="s">
        <v>#N/A N/A</v>
        <stp/>
        <stp>BDP|10058620563155269728</stp>
        <tr r="BS58" s="3"/>
      </tp>
      <tp t="s">
        <v>#N/A N/A</v>
        <stp/>
        <stp>BDP|16889686623244101433</stp>
        <tr r="BA63" s="3"/>
      </tp>
      <tp t="s">
        <v>#N/A N/A</v>
        <stp/>
        <stp>BDP|17893149988358155444</stp>
        <tr r="AD58" s="3"/>
      </tp>
      <tp t="s">
        <v>#N/A N/A</v>
        <stp/>
        <stp>BDP|10140191954856417082</stp>
        <tr r="AA71" s="3"/>
      </tp>
      <tp t="s">
        <v>#N/A N/A</v>
        <stp/>
        <stp>BDP|16438745735194772420</stp>
        <tr r="BP56" s="3"/>
      </tp>
      <tp t="s">
        <v>#N/A N/A</v>
        <stp/>
        <stp>BDP|11524369230821449271</stp>
        <tr r="BL69" s="3"/>
      </tp>
      <tp t="s">
        <v>#N/A N/A</v>
        <stp/>
        <stp>BDP|11825611244958733996</stp>
        <tr r="AV64" s="3"/>
      </tp>
      <tp t="s">
        <v>#N/A N/A</v>
        <stp/>
        <stp>BDP|14683056374559268861</stp>
        <tr r="BM71" s="3"/>
      </tp>
      <tp t="s">
        <v>#N/A N/A</v>
        <stp/>
        <stp>BDP|11142876180935541616</stp>
        <tr r="CI62" s="3"/>
      </tp>
      <tp t="s">
        <v>#N/A N/A</v>
        <stp/>
        <stp>BDP|12174061685590192814</stp>
        <tr r="BW62" s="3"/>
      </tp>
      <tp t="s">
        <v>#N/A N/A</v>
        <stp/>
        <stp>BDP|10583396318150640006</stp>
        <tr r="BV58" s="3"/>
      </tp>
      <tp t="s">
        <v>#N/A N/A</v>
        <stp/>
        <stp>BDP|16572198252311577197</stp>
        <tr r="AC66" s="3"/>
      </tp>
      <tp t="s">
        <v>#N/A N/A</v>
        <stp/>
        <stp>BDP|14311323638333353584</stp>
        <tr r="AD74" s="3"/>
      </tp>
      <tp t="s">
        <v>#N/A N/A</v>
        <stp/>
        <stp>BDP|17381535313667408625</stp>
        <tr r="V66" s="3"/>
      </tp>
      <tp t="s">
        <v>#N/A N/A</v>
        <stp/>
        <stp>BDP|12004376761137692252</stp>
        <tr r="AT59" s="3"/>
      </tp>
      <tp t="s">
        <v>#N/A N/A</v>
        <stp/>
        <stp>BDP|10957390517358002826</stp>
        <tr r="I55" s="3"/>
      </tp>
      <tp t="s">
        <v>#N/A N/A</v>
        <stp/>
        <stp>BDP|17162041831773649573</stp>
        <tr r="AY57" s="3"/>
      </tp>
      <tp t="s">
        <v>#N/A N/A</v>
        <stp/>
        <stp>BDP|10504690159502236322</stp>
        <tr r="W75" s="3"/>
      </tp>
      <tp t="s">
        <v>#N/A N/A</v>
        <stp/>
        <stp>BDP|11127119752784141376</stp>
        <tr r="CA65" s="3"/>
      </tp>
      <tp t="s">
        <v>#N/A N/A</v>
        <stp/>
        <stp>BDP|12812624171636854778</stp>
        <tr r="BB73" s="3"/>
      </tp>
      <tp t="s">
        <v>#N/A N/A</v>
        <stp/>
        <stp>BDP|13787584689504526875</stp>
        <tr r="G71" s="3"/>
      </tp>
      <tp t="s">
        <v>#N/A N/A</v>
        <stp/>
        <stp>BDP|14008525574167483352</stp>
        <tr r="M67" s="3"/>
      </tp>
      <tp t="s">
        <v>#N/A N/A</v>
        <stp/>
        <stp>BDP|13710450541393024245</stp>
        <tr r="CC65" s="3"/>
      </tp>
      <tp t="s">
        <v>#N/A N/A</v>
        <stp/>
        <stp>BDP|11583630246811695000</stp>
        <tr r="BS56" s="3"/>
      </tp>
      <tp t="s">
        <v>#N/A N/A</v>
        <stp/>
        <stp>BDP|17091730022746755603</stp>
        <tr r="AW64" s="3"/>
      </tp>
      <tp t="s">
        <v>#N/A N/A</v>
        <stp/>
        <stp>BDP|14677812322954771844</stp>
        <tr r="AE57" s="3"/>
      </tp>
      <tp t="s">
        <v>#N/A N/A</v>
        <stp/>
        <stp>BDP|13145062750754884094</stp>
        <tr r="AY68" s="3"/>
      </tp>
      <tp t="s">
        <v>#N/A N/A</v>
        <stp/>
        <stp>BDP|15540019151171621352</stp>
        <tr r="BF64" s="3"/>
      </tp>
      <tp t="s">
        <v>#N/A N/A</v>
        <stp/>
        <stp>BDP|15527780970342238593</stp>
        <tr r="W62" s="3"/>
      </tp>
      <tp t="s">
        <v>#N/A N/A</v>
        <stp/>
        <stp>BDP|15721707620775771760</stp>
        <tr r="M68" s="3"/>
      </tp>
      <tp t="s">
        <v>#N/A N/A</v>
        <stp/>
        <stp>BDP|12290915980588379892</stp>
        <tr r="T67" s="3"/>
      </tp>
      <tp t="s">
        <v>#N/A N/A</v>
        <stp/>
        <stp>BDP|16033147715591827406</stp>
        <tr r="X65" s="3"/>
      </tp>
      <tp t="s">
        <v>#N/A N/A</v>
        <stp/>
        <stp>BDP|14389735883749371182</stp>
        <tr r="BZ60" s="3"/>
      </tp>
      <tp t="s">
        <v>#N/A N/A</v>
        <stp/>
        <stp>BDP|16820835282230096519</stp>
        <tr r="BA60" s="3"/>
      </tp>
      <tp t="s">
        <v>#N/A N/A</v>
        <stp/>
        <stp>BDP|14918384929897229117</stp>
        <tr r="CG56" s="3"/>
      </tp>
      <tp t="s">
        <v>#N/A N/A</v>
        <stp/>
        <stp>BDP|13416619022524527097</stp>
        <tr r="Q76" s="3"/>
      </tp>
      <tp t="s">
        <v>#N/A N/A</v>
        <stp/>
        <stp>BDP|11989564281149453617</stp>
        <tr r="AF62" s="3"/>
      </tp>
      <tp t="s">
        <v>#N/A N/A</v>
        <stp/>
        <stp>BDP|17458327078659073954</stp>
        <tr r="BR58" s="3"/>
      </tp>
      <tp t="s">
        <v>#N/A N/A</v>
        <stp/>
        <stp>BDP|11428077019231536241</stp>
        <tr r="S59" s="3"/>
      </tp>
      <tp t="s">
        <v>#N/A N/A</v>
        <stp/>
        <stp>BDP|13831252426525018517</stp>
        <tr r="M75" s="3"/>
      </tp>
      <tp t="s">
        <v>#N/A N/A</v>
        <stp/>
        <stp>BDP|14405558424969749980</stp>
        <tr r="BJ57" s="3"/>
      </tp>
      <tp t="s">
        <v>#N/A N/A</v>
        <stp/>
        <stp>BDP|13592292450315946280</stp>
        <tr r="G72" s="3"/>
      </tp>
      <tp t="s">
        <v>#N/A N/A</v>
        <stp/>
        <stp>BDP|18426890141987199000</stp>
        <tr r="BH60" s="3"/>
      </tp>
      <tp t="s">
        <v>#N/A N/A</v>
        <stp/>
        <stp>BDP|12081704170900883159</stp>
        <tr r="BQ73" s="3"/>
      </tp>
      <tp t="s">
        <v>#N/A N/A</v>
        <stp/>
        <stp>BDP|11924983503003714891</stp>
        <tr r="K55" s="3"/>
      </tp>
      <tp t="s">
        <v>#N/A N/A</v>
        <stp/>
        <stp>BDP|16726132976657963477</stp>
        <tr r="BA73" s="3"/>
      </tp>
      <tp t="s">
        <v>#N/A N/A</v>
        <stp/>
        <stp>BDP|16735751389792518822</stp>
        <tr r="Z76" s="3"/>
      </tp>
      <tp t="s">
        <v>#N/A N/A</v>
        <stp/>
        <stp>BDP|11266170388192523940</stp>
        <tr r="Z74" s="3"/>
      </tp>
      <tp t="s">
        <v>#N/A N/A</v>
        <stp/>
        <stp>BDP|15895172301243058410</stp>
        <tr r="BF60" s="3"/>
      </tp>
      <tp t="s">
        <v>#N/A N/A</v>
        <stp/>
        <stp>BDP|18060002461898749581</stp>
        <tr r="BX56" s="3"/>
      </tp>
      <tp t="s">
        <v>#N/A N/A</v>
        <stp/>
        <stp>BDP|14493058600883856484</stp>
        <tr r="AO59" s="3"/>
      </tp>
      <tp t="s">
        <v>#N/A N/A</v>
        <stp/>
        <stp>BDP|11266416073254054518</stp>
        <tr r="BR56" s="3"/>
      </tp>
      <tp t="s">
        <v>#N/A N/A</v>
        <stp/>
        <stp>BDP|12772276213421074321</stp>
        <tr r="CG65" s="3"/>
      </tp>
      <tp t="s">
        <v>#N/A N/A</v>
        <stp/>
        <stp>BDP|16608365840424672671</stp>
        <tr r="AO74" s="3"/>
      </tp>
      <tp t="s">
        <v>#N/A N/A</v>
        <stp/>
        <stp>BDP|13177587201391842411</stp>
        <tr r="O75" s="3"/>
      </tp>
      <tp t="s">
        <v>#N/A N/A</v>
        <stp/>
        <stp>BDP|15155648878356871157</stp>
        <tr r="BM55" s="3"/>
      </tp>
      <tp t="s">
        <v>#N/A N/A</v>
        <stp/>
        <stp>BDP|15311184740957353488</stp>
        <tr r="BB64" s="3"/>
      </tp>
      <tp t="s">
        <v>#N/A N/A</v>
        <stp/>
        <stp>BDP|18058058021998209158</stp>
        <tr r="J56" s="3"/>
      </tp>
      <tp t="s">
        <v>#N/A N/A</v>
        <stp/>
        <stp>BDP|13681671581779174725</stp>
        <tr r="BY73" s="3"/>
      </tp>
      <tp t="s">
        <v>#N/A N/A</v>
        <stp/>
        <stp>BDP|11577387774386942035</stp>
        <tr r="W57" s="3"/>
      </tp>
      <tp t="s">
        <v>#N/A N/A</v>
        <stp/>
        <stp>BDP|12622121317889168876</stp>
        <tr r="AB69" s="3"/>
      </tp>
      <tp t="s">
        <v>#N/A N/A</v>
        <stp/>
        <stp>BDP|15212833583306345045</stp>
        <tr r="AA56" s="3"/>
      </tp>
      <tp t="s">
        <v>#N/A N/A</v>
        <stp/>
        <stp>BDP|15277939233444036866</stp>
        <tr r="CB58" s="3"/>
      </tp>
      <tp t="s">
        <v>#N/A N/A</v>
        <stp/>
        <stp>BDP|16770202552072488050</stp>
        <tr r="U74" s="3"/>
      </tp>
      <tp t="s">
        <v>#N/A N/A</v>
        <stp/>
        <stp>BDP|17207428960961061744</stp>
        <tr r="N70" s="3"/>
      </tp>
      <tp t="s">
        <v>#N/A N/A</v>
        <stp/>
        <stp>BDP|18359809225753387213</stp>
        <tr r="Q74" s="3"/>
      </tp>
      <tp t="s">
        <v>#N/A N/A</v>
        <stp/>
        <stp>BDP|15311678573346552150</stp>
        <tr r="BJ63" s="3"/>
      </tp>
      <tp t="s">
        <v>#N/A N/A</v>
        <stp/>
        <stp>BDP|13808384407052199111</stp>
        <tr r="R59" s="3"/>
      </tp>
      <tp t="s">
        <v>#N/A N/A</v>
        <stp/>
        <stp>BDP|11189778575883099143</stp>
        <tr r="BW70" s="3"/>
      </tp>
      <tp t="s">
        <v>#N/A N/A</v>
        <stp/>
        <stp>BDP|13116914382363610236</stp>
        <tr r="X56" s="3"/>
      </tp>
      <tp t="s">
        <v>#N/A N/A</v>
        <stp/>
        <stp>BDP|12016637741172694120</stp>
        <tr r="AI75" s="3"/>
      </tp>
      <tp t="s">
        <v>#N/A N/A</v>
        <stp/>
        <stp>BDP|12398990520649569395</stp>
        <tr r="CF60" s="3"/>
      </tp>
      <tp t="s">
        <v>#N/A N/A</v>
        <stp/>
        <stp>BDP|13802926093176820672</stp>
        <tr r="AO70" s="3"/>
      </tp>
      <tp t="s">
        <v>#N/A N/A</v>
        <stp/>
        <stp>BDP|17613878792455634038</stp>
        <tr r="AJ65" s="3"/>
      </tp>
      <tp t="s">
        <v>#N/A N/A</v>
        <stp/>
        <stp>BDP|17469748788240968880</stp>
        <tr r="BY72" s="3"/>
      </tp>
      <tp t="s">
        <v>#N/A N/A</v>
        <stp/>
        <stp>BDP|16336387131283540561</stp>
        <tr r="CC75" s="3"/>
      </tp>
      <tp t="s">
        <v>#N/A N/A</v>
        <stp/>
        <stp>BDP|10714414643322404285</stp>
        <tr r="BO71" s="3"/>
      </tp>
      <tp t="s">
        <v>#N/A N/A</v>
        <stp/>
        <stp>BDP|12978284949981892589</stp>
        <tr r="AF63" s="3"/>
      </tp>
      <tp t="s">
        <v>#N/A N/A</v>
        <stp/>
        <stp>BDP|14393482404529311940</stp>
        <tr r="AR74" s="3"/>
      </tp>
      <tp t="s">
        <v>#N/A N/A</v>
        <stp/>
        <stp>BDP|16488219975223898034</stp>
        <tr r="AJ63" s="3"/>
      </tp>
      <tp t="s">
        <v>#N/A N/A</v>
        <stp/>
        <stp>BDP|10553846928948715257</stp>
        <tr r="BH74" s="3"/>
      </tp>
      <tp t="s">
        <v>#N/A N/A</v>
        <stp/>
        <stp>BDP|14277987896245471129</stp>
        <tr r="O68" s="3"/>
      </tp>
      <tp t="s">
        <v>#N/A N/A</v>
        <stp/>
        <stp>BDP|16101695602228474844</stp>
        <tr r="K64" s="3"/>
      </tp>
      <tp t="s">
        <v>#N/A N/A</v>
        <stp/>
        <stp>BDP|14507897859420985912</stp>
        <tr r="CD67" s="3"/>
      </tp>
      <tp t="s">
        <v>#N/A N/A</v>
        <stp/>
        <stp>BDP|14806596050575930158</stp>
        <tr r="BF56" s="3"/>
      </tp>
      <tp t="s">
        <v>#N/A N/A</v>
        <stp/>
        <stp>BDP|18162546099780127408</stp>
        <tr r="AE60" s="3"/>
      </tp>
      <tp t="s">
        <v>#N/A N/A</v>
        <stp/>
        <stp>BDP|17946017016212699455</stp>
        <tr r="CC62" s="3"/>
      </tp>
      <tp t="s">
        <v>#N/A N/A</v>
        <stp/>
        <stp>BDP|14183773339329074928</stp>
        <tr r="BD67" s="3"/>
      </tp>
      <tp t="s">
        <v>#N/A N/A</v>
        <stp/>
        <stp>BDP|12351999414893435971</stp>
        <tr r="U66" s="3"/>
      </tp>
      <tp t="s">
        <v>#N/A N/A</v>
        <stp/>
        <stp>BDP|14208818381446948271</stp>
        <tr r="CI55" s="3"/>
      </tp>
      <tp t="s">
        <v>#N/A N/A</v>
        <stp/>
        <stp>BDP|14018833992452812758</stp>
        <tr r="K66" s="3"/>
      </tp>
      <tp t="s">
        <v>#N/A N/A</v>
        <stp/>
        <stp>BDP|14526716920645856404</stp>
        <tr r="AK76" s="3"/>
      </tp>
      <tp t="s">
        <v>#N/A N/A</v>
        <stp/>
        <stp>BDP|15306138200357924361</stp>
        <tr r="K70" s="3"/>
      </tp>
      <tp t="s">
        <v>#N/A N/A</v>
        <stp/>
        <stp>BDP|10135615280538880674</stp>
        <tr r="AO69" s="3"/>
      </tp>
      <tp t="s">
        <v>#N/A N/A</v>
        <stp/>
        <stp>BDP|10763613708027626178</stp>
        <tr r="BH57" s="3"/>
      </tp>
      <tp t="s">
        <v>#N/A N/A</v>
        <stp/>
        <stp>BDP|17629641066950907729</stp>
        <tr r="F76" s="3"/>
      </tp>
      <tp t="s">
        <v>#N/A N/A</v>
        <stp/>
        <stp>BDP|13185261053580208487</stp>
        <tr r="BS71" s="3"/>
      </tp>
      <tp t="s">
        <v>#N/A N/A</v>
        <stp/>
        <stp>BDP|15966727209244892641</stp>
        <tr r="AC65" s="3"/>
      </tp>
      <tp t="s">
        <v>#N/A N/A</v>
        <stp/>
        <stp>BDP|15731378877366151787</stp>
        <tr r="AN57" s="3"/>
      </tp>
      <tp t="s">
        <v>#N/A N/A</v>
        <stp/>
        <stp>BDP|10239582541398698935</stp>
        <tr r="T64" s="3"/>
      </tp>
      <tp t="s">
        <v>#N/A N/A</v>
        <stp/>
        <stp>BDP|10653202422794289486</stp>
        <tr r="CG59" s="3"/>
      </tp>
      <tp t="s">
        <v>#N/A N/A</v>
        <stp/>
        <stp>BDP|14047613454526984127</stp>
        <tr r="CA56" s="3"/>
      </tp>
      <tp t="s">
        <v>#N/A N/A</v>
        <stp/>
        <stp>BDP|15006464509395147400</stp>
        <tr r="BI70" s="3"/>
      </tp>
      <tp t="s">
        <v>#N/A N/A</v>
        <stp/>
        <stp>BDP|12843260653036302307</stp>
        <tr r="CA62" s="3"/>
      </tp>
      <tp t="s">
        <v>#N/A N/A</v>
        <stp/>
        <stp>BDP|13679845757866388886</stp>
        <tr r="AG59" s="3"/>
      </tp>
      <tp t="s">
        <v>#N/A N/A</v>
        <stp/>
        <stp>BDP|18069674111378634718</stp>
        <tr r="BI64" s="3"/>
      </tp>
      <tp t="s">
        <v>#N/A N/A</v>
        <stp/>
        <stp>BDP|10501950852858472472</stp>
        <tr r="AS74" s="3"/>
      </tp>
      <tp t="s">
        <v>#N/A N/A</v>
        <stp/>
        <stp>BDP|14901949098533087758</stp>
        <tr r="AA55" s="3"/>
      </tp>
      <tp t="s">
        <v>#N/A N/A</v>
        <stp/>
        <stp>BDP|15182030763576196505</stp>
        <tr r="AK68" s="3"/>
      </tp>
      <tp t="s">
        <v>#N/A N/A</v>
        <stp/>
        <stp>BDP|14653840087700183470</stp>
        <tr r="N66" s="3"/>
      </tp>
      <tp t="s">
        <v>#N/A N/A</v>
        <stp/>
        <stp>BDP|15316839360148031334</stp>
        <tr r="AW69" s="3"/>
      </tp>
      <tp t="s">
        <v>#N/A N/A</v>
        <stp/>
        <stp>BDP|11228476825173673453</stp>
        <tr r="BR70" s="3"/>
      </tp>
      <tp t="s">
        <v>#N/A N/A</v>
        <stp/>
        <stp>BDP|12133979194006223438</stp>
        <tr r="AB71" s="3"/>
      </tp>
      <tp t="s">
        <v>#N/A N/A</v>
        <stp/>
        <stp>BDP|14279197836394823265</stp>
        <tr r="M76" s="3"/>
      </tp>
      <tp t="s">
        <v>#N/A N/A</v>
        <stp/>
        <stp>BDP|16286261812866517319</stp>
        <tr r="AP63" s="3"/>
      </tp>
      <tp t="s">
        <v>#N/A N/A</v>
        <stp/>
        <stp>BDP|11283377623696478607</stp>
        <tr r="G59" s="3"/>
      </tp>
      <tp t="s">
        <v>#N/A N/A</v>
        <stp/>
        <stp>BDP|15256952751190295917</stp>
        <tr r="CA67" s="3"/>
      </tp>
      <tp t="s">
        <v>#N/A N/A</v>
        <stp/>
        <stp>BDP|16406298398534675964</stp>
        <tr r="AN60" s="3"/>
      </tp>
      <tp t="s">
        <v>#N/A N/A</v>
        <stp/>
        <stp>BDP|11323728873350752109</stp>
        <tr r="P65" s="3"/>
      </tp>
      <tp t="s">
        <v>#N/A N/A</v>
        <stp/>
        <stp>BDP|14237168050967948799</stp>
        <tr r="H68" s="3"/>
      </tp>
      <tp t="s">
        <v>#N/A N/A</v>
        <stp/>
        <stp>BDP|12243704877940275233</stp>
        <tr r="AA75" s="3"/>
      </tp>
      <tp t="s">
        <v>#N/A N/A</v>
        <stp/>
        <stp>BDP|10799444722441086753</stp>
        <tr r="CC67" s="3"/>
      </tp>
      <tp t="s">
        <v>#N/A N/A</v>
        <stp/>
        <stp>BDP|15990649356685662396</stp>
        <tr r="AH56" s="3"/>
      </tp>
      <tp t="s">
        <v>#N/A N/A</v>
        <stp/>
        <stp>BDP|14537173261753016072</stp>
        <tr r="CJ72" s="3"/>
      </tp>
      <tp t="s">
        <v>#N/A N/A</v>
        <stp/>
        <stp>BDP|10685616564968451808</stp>
        <tr r="Z68" s="3"/>
      </tp>
      <tp t="s">
        <v>#N/A N/A</v>
        <stp/>
        <stp>BDP|16148354343359696862</stp>
        <tr r="CJ58" s="3"/>
      </tp>
      <tp t="s">
        <v>#N/A N/A</v>
        <stp/>
        <stp>BDP|12646210413177638659</stp>
        <tr r="Z69" s="3"/>
      </tp>
      <tp t="s">
        <v>#N/A N/A</v>
        <stp/>
        <stp>BDP|11746742896248196732</stp>
        <tr r="T73" s="3"/>
      </tp>
      <tp t="s">
        <v>#N/A N/A</v>
        <stp/>
        <stp>BDP|12903372709358471945</stp>
        <tr r="F71" s="3"/>
      </tp>
      <tp t="s">
        <v>#N/A N/A</v>
        <stp/>
        <stp>BDP|12173658324392449438</stp>
        <tr r="BU59" s="3"/>
      </tp>
      <tp t="s">
        <v>#N/A N/A</v>
        <stp/>
        <stp>BDP|11544218421298520961</stp>
        <tr r="V60" s="3"/>
      </tp>
      <tp t="s">
        <v>#N/A N/A</v>
        <stp/>
        <stp>BDH|16601309406415434075</stp>
        <tr r="F61" s="3"/>
      </tp>
      <tp t="s">
        <v>#N/A N/A</v>
        <stp/>
        <stp>BDP|13953777003694075140</stp>
        <tr r="AP68" s="3"/>
      </tp>
      <tp t="s">
        <v>#N/A N/A</v>
        <stp/>
        <stp>BDP|14854355392438481737</stp>
        <tr r="O67" s="3"/>
      </tp>
      <tp t="s">
        <v>#N/A N/A</v>
        <stp/>
        <stp>BDP|13262066713940797389</stp>
        <tr r="V56" s="3"/>
      </tp>
      <tp t="s">
        <v>#N/A N/A</v>
        <stp/>
        <stp>BDP|17330976028518246563</stp>
        <tr r="AM59" s="3"/>
      </tp>
      <tp t="s">
        <v>#N/A N/A</v>
        <stp/>
        <stp>BDP|16606603014184094490</stp>
        <tr r="CG66" s="3"/>
      </tp>
      <tp t="s">
        <v>#N/A N/A</v>
        <stp/>
        <stp>BDP|10008035079365645370</stp>
        <tr r="BB75" s="3"/>
      </tp>
      <tp t="s">
        <v>#N/A N/A</v>
        <stp/>
        <stp>BDP|13197388663336549144</stp>
        <tr r="L62" s="3"/>
      </tp>
      <tp t="s">
        <v>#N/A N/A</v>
        <stp/>
        <stp>BDP|17955457185179014327</stp>
        <tr r="S70" s="3"/>
      </tp>
      <tp t="s">
        <v>#N/A N/A</v>
        <stp/>
        <stp>BDP|15837639319697958417</stp>
        <tr r="AS55" s="3"/>
      </tp>
      <tp t="s">
        <v>#N/A N/A</v>
        <stp/>
        <stp>BDP|10386423253634931413</stp>
        <tr r="AO67" s="3"/>
      </tp>
      <tp t="s">
        <v>#N/A N/A</v>
        <stp/>
        <stp>BDP|18379166091285969477</stp>
        <tr r="V55" s="3"/>
      </tp>
      <tp t="s">
        <v>#N/A N/A</v>
        <stp/>
        <stp>BDP|11566496150653071265</stp>
        <tr r="AR67" s="3"/>
      </tp>
      <tp t="s">
        <v>#N/A N/A</v>
        <stp/>
        <stp>BDP|17955747356415183179</stp>
        <tr r="BC69" s="3"/>
      </tp>
      <tp t="s">
        <v>#N/A N/A</v>
        <stp/>
        <stp>BDP|17013582483828606313</stp>
        <tr r="AQ70" s="3"/>
      </tp>
      <tp t="s">
        <v>#N/A N/A</v>
        <stp/>
        <stp>BDP|16039950691912867537</stp>
        <tr r="AQ68" s="3"/>
      </tp>
      <tp t="s">
        <v>#N/A N/A</v>
        <stp/>
        <stp>BDP|11985024584541513953</stp>
        <tr r="N59" s="3"/>
      </tp>
      <tp t="s">
        <v>#N/A N/A</v>
        <stp/>
        <stp>BDP|18096387120611571924</stp>
        <tr r="AJ60" s="3"/>
      </tp>
      <tp t="s">
        <v>#N/A N/A</v>
        <stp/>
        <stp>BDP|17607749614924018491</stp>
        <tr r="CD65" s="3"/>
      </tp>
      <tp t="s">
        <v>#N/A N/A</v>
        <stp/>
        <stp>BDP|16415878079129798125</stp>
        <tr r="AL75" s="3"/>
      </tp>
      <tp t="s">
        <v>#N/A N/A</v>
        <stp/>
        <stp>BDP|17061499797139142215</stp>
        <tr r="BK76" s="3"/>
      </tp>
      <tp t="s">
        <v>#N/A N/A</v>
        <stp/>
        <stp>BDP|17822293411547959277</stp>
        <tr r="W74" s="3"/>
      </tp>
      <tp t="s">
        <v>#N/A N/A</v>
        <stp/>
        <stp>BDP|10715639579245581564</stp>
        <tr r="AF73" s="3"/>
      </tp>
      <tp t="s">
        <v>#N/A N/A</v>
        <stp/>
        <stp>BDP|13976330350270055446</stp>
        <tr r="AV72" s="3"/>
      </tp>
      <tp t="s">
        <v>#N/A N/A</v>
        <stp/>
        <stp>BDP|10322383653101166670</stp>
        <tr r="BR67" s="3"/>
      </tp>
      <tp t="s">
        <v>#N/A N/A</v>
        <stp/>
        <stp>BDP|11111787858062998099</stp>
        <tr r="BF65" s="3"/>
      </tp>
      <tp t="s">
        <v>#N/A N/A</v>
        <stp/>
        <stp>BDP|11026222133320318136</stp>
        <tr r="CH55" s="3"/>
      </tp>
      <tp t="s">
        <v>#N/A N/A</v>
        <stp/>
        <stp>BDP|17292621910348973991</stp>
        <tr r="BP59" s="3"/>
      </tp>
      <tp t="s">
        <v>#N/A N/A</v>
        <stp/>
        <stp>BDP|13220075462424641016</stp>
        <tr r="BW72" s="3"/>
      </tp>
      <tp t="s">
        <v>#N/A N/A</v>
        <stp/>
        <stp>BDP|10502827682682456313</stp>
        <tr r="AH75" s="3"/>
      </tp>
      <tp t="s">
        <v>#N/A N/A</v>
        <stp/>
        <stp>BDP|10775159276184046372</stp>
        <tr r="BR75" s="3"/>
      </tp>
      <tp t="s">
        <v>#N/A N/A</v>
        <stp/>
        <stp>BDP|18176108297334280578</stp>
        <tr r="AZ76" s="3"/>
      </tp>
      <tp t="s">
        <v>#N/A N/A</v>
        <stp/>
        <stp>BDP|14404138120980117653</stp>
        <tr r="CB69" s="3"/>
      </tp>
      <tp t="s">
        <v>#N/A N/A</v>
        <stp/>
        <stp>BDP|13870717654463864360</stp>
        <tr r="AM56" s="3"/>
      </tp>
      <tp t="s">
        <v>#N/A N/A</v>
        <stp/>
        <stp>BDP|14324895599380162416</stp>
        <tr r="R68" s="3"/>
      </tp>
      <tp t="s">
        <v>#N/A N/A</v>
        <stp/>
        <stp>BDP|12764997998933323079</stp>
        <tr r="X58" s="3"/>
      </tp>
      <tp t="s">
        <v>#N/A N/A</v>
        <stp/>
        <stp>BDP|10870106355324886178</stp>
        <tr r="AL74" s="3"/>
      </tp>
      <tp t="s">
        <v>#N/A N/A</v>
        <stp/>
        <stp>BDP|13197044154933160423</stp>
        <tr r="AX68" s="3"/>
      </tp>
      <tp t="s">
        <v>#N/A N/A</v>
        <stp/>
        <stp>BDP|11947182903834405532</stp>
        <tr r="AT62" s="3"/>
      </tp>
      <tp t="s">
        <v>#N/A N/A</v>
        <stp/>
        <stp>BDP|17351779010085368529</stp>
        <tr r="AE68" s="3"/>
      </tp>
      <tp t="s">
        <v>#N/A N/A</v>
        <stp/>
        <stp>BDP|11116687083058909661</stp>
        <tr r="BK74" s="3"/>
      </tp>
      <tp t="s">
        <v>#N/A N/A</v>
        <stp/>
        <stp>BDP|13290634119757948256</stp>
        <tr r="AV67" s="3"/>
      </tp>
      <tp t="s">
        <v>#N/A N/A</v>
        <stp/>
        <stp>BDP|14981923418725125863</stp>
        <tr r="BR76" s="3"/>
      </tp>
      <tp t="s">
        <v>#N/A N/A</v>
        <stp/>
        <stp>BDP|14620485060662251587</stp>
        <tr r="M73" s="3"/>
      </tp>
      <tp t="s">
        <v>#N/A N/A</v>
        <stp/>
        <stp>BDP|10259710937433207627</stp>
        <tr r="AF72" s="3"/>
      </tp>
      <tp t="s">
        <v>#N/A N/A</v>
        <stp/>
        <stp>BDP|10906609933991709595</stp>
        <tr r="CI68" s="3"/>
      </tp>
      <tp t="s">
        <v>#N/A N/A</v>
        <stp/>
        <stp>BDP|17018455663963439755</stp>
        <tr r="BK62" s="3"/>
      </tp>
      <tp t="s">
        <v>#N/A N/A</v>
        <stp/>
        <stp>BDP|17949668908608744867</stp>
        <tr r="BS68" s="3"/>
      </tp>
      <tp t="s">
        <v>#N/A N/A</v>
        <stp/>
        <stp>BDP|12738968781001169372</stp>
        <tr r="Z71" s="3"/>
      </tp>
      <tp t="s">
        <v>#N/A N/A</v>
        <stp/>
        <stp>BDP|17627336819571371598</stp>
        <tr r="CI70" s="3"/>
      </tp>
      <tp t="s">
        <v>#N/A N/A</v>
        <stp/>
        <stp>BDP|17764228571914738754</stp>
        <tr r="G60" s="3"/>
      </tp>
      <tp t="s">
        <v>#N/A N/A</v>
        <stp/>
        <stp>BDP|12171077245901691635</stp>
        <tr r="BA68" s="3"/>
      </tp>
      <tp t="s">
        <v>#N/A N/A</v>
        <stp/>
        <stp>BDP|16983651051210602322</stp>
        <tr r="N60" s="3"/>
      </tp>
      <tp t="s">
        <v>#N/A N/A</v>
        <stp/>
        <stp>BDP|15885676404214291105</stp>
        <tr r="Z63" s="3"/>
      </tp>
      <tp t="s">
        <v>#N/A N/A</v>
        <stp/>
        <stp>BDP|12246504649094725157</stp>
        <tr r="BY68" s="3"/>
      </tp>
      <tp t="s">
        <v>#N/A N/A</v>
        <stp/>
        <stp>BDP|17538589920257212173</stp>
        <tr r="U71" s="3"/>
      </tp>
      <tp t="s">
        <v>#N/A N/A</v>
        <stp/>
        <stp>BDP|15095204060306961119</stp>
        <tr r="CH75" s="3"/>
      </tp>
      <tp t="s">
        <v>#N/A N/A</v>
        <stp/>
        <stp>BDP|16432901698502511211</stp>
        <tr r="CA73" s="3"/>
      </tp>
      <tp t="s">
        <v>#N/A N/A</v>
        <stp/>
        <stp>BDP|18193898770360182122</stp>
        <tr r="F58" s="3"/>
      </tp>
      <tp t="s">
        <v>#N/A N/A</v>
        <stp/>
        <stp>BDP|17638890493302436233</stp>
        <tr r="O65" s="3"/>
      </tp>
      <tp t="s">
        <v>#N/A N/A</v>
        <stp/>
        <stp>BDP|14131485271305619453</stp>
        <tr r="Q73" s="3"/>
      </tp>
      <tp t="s">
        <v>#N/A N/A</v>
        <stp/>
        <stp>BDP|16496476633694941337</stp>
        <tr r="CH67" s="3"/>
      </tp>
      <tp t="s">
        <v>#N/A N/A</v>
        <stp/>
        <stp>BDP|11944852421409399446</stp>
        <tr r="W59" s="3"/>
      </tp>
      <tp t="s">
        <v>#N/A N/A</v>
        <stp/>
        <stp>BDP|12919243172153013222</stp>
        <tr r="BZ68" s="3"/>
      </tp>
      <tp t="s">
        <v>#N/A N/A</v>
        <stp/>
        <stp>BDP|17593216282452318990</stp>
        <tr r="BD65" s="3"/>
      </tp>
      <tp t="s">
        <v>#N/A N/A</v>
        <stp/>
        <stp>BDP|11131998991004537307</stp>
        <tr r="BB68" s="3"/>
      </tp>
      <tp t="s">
        <v>#N/A N/A</v>
        <stp/>
        <stp>BDP|12334198547537162608</stp>
        <tr r="BU72" s="3"/>
      </tp>
      <tp t="s">
        <v>#N/A N/A</v>
        <stp/>
        <stp>BDP|15889426272918039844</stp>
        <tr r="AP56" s="3"/>
      </tp>
      <tp t="s">
        <v>#N/A N/A</v>
        <stp/>
        <stp>BDP|12700560798351042951</stp>
        <tr r="BY56" s="3"/>
      </tp>
      <tp t="s">
        <v>#N/A N/A</v>
        <stp/>
        <stp>BDP|17733100718436738740</stp>
        <tr r="BS69" s="3"/>
      </tp>
      <tp t="s">
        <v>#N/A N/A</v>
        <stp/>
        <stp>BDP|13818189539697738018</stp>
        <tr r="AC57" s="3"/>
      </tp>
      <tp t="s">
        <v>#N/A N/A</v>
        <stp/>
        <stp>BDP|16457656754891364284</stp>
        <tr r="AV63" s="3"/>
      </tp>
      <tp t="s">
        <v>#N/A N/A</v>
        <stp/>
        <stp>BDP|11622267183674895957</stp>
        <tr r="CB76" s="3"/>
      </tp>
      <tp t="s">
        <v>#N/A N/A</v>
        <stp/>
        <stp>BDP|17828399938994601512</stp>
        <tr r="BI72" s="3"/>
      </tp>
      <tp t="s">
        <v>#N/A N/A</v>
        <stp/>
        <stp>BDP|12642665956877710000</stp>
        <tr r="CK57" s="3"/>
      </tp>
      <tp t="s">
        <v>#N/A N/A</v>
        <stp/>
        <stp>BDP|15910276048520046577</stp>
        <tr r="BU70" s="3"/>
      </tp>
      <tp t="s">
        <v>#N/A N/A</v>
        <stp/>
        <stp>BDP|17296239765165261077</stp>
        <tr r="BN71" s="3"/>
      </tp>
      <tp t="s">
        <v>#N/A N/A</v>
        <stp/>
        <stp>BDP|11624439506632348107</stp>
        <tr r="AA66" s="3"/>
      </tp>
      <tp t="s">
        <v>#N/A N/A</v>
        <stp/>
        <stp>BDP|14541125529396680786</stp>
        <tr r="O56" s="3"/>
      </tp>
      <tp t="s">
        <v>#N/A N/A</v>
        <stp/>
        <stp>BDP|15491711460840118240</stp>
        <tr r="AG72" s="3"/>
      </tp>
      <tp t="s">
        <v>#N/A N/A</v>
        <stp/>
        <stp>BDP|16128319606070544339</stp>
        <tr r="P68" s="3"/>
      </tp>
      <tp t="s">
        <v>#N/A N/A</v>
        <stp/>
        <stp>BDP|13196526907376502626</stp>
        <tr r="CI67" s="3"/>
      </tp>
      <tp t="s">
        <v>#N/A N/A</v>
        <stp/>
        <stp>BDP|10027424637865214445</stp>
        <tr r="AR69" s="3"/>
      </tp>
      <tp t="s">
        <v>#N/A N/A</v>
        <stp/>
        <stp>BDP|13426509841006657200</stp>
        <tr r="BH72" s="3"/>
      </tp>
      <tp t="s">
        <v>#N/A N/A</v>
        <stp/>
        <stp>BDP|17610233457203688575</stp>
        <tr r="AQ72" s="3"/>
      </tp>
      <tp t="s">
        <v>#N/A N/A</v>
        <stp/>
        <stp>BDP|10619137806312405547</stp>
        <tr r="R55" s="3"/>
      </tp>
      <tp t="s">
        <v>#N/A N/A</v>
        <stp/>
        <stp>BDP|14095917263409484455</stp>
        <tr r="CA74" s="3"/>
      </tp>
      <tp t="s">
        <v>#N/A N/A</v>
        <stp/>
        <stp>BDP|11192076943405556620</stp>
        <tr r="M74" s="3"/>
      </tp>
      <tp t="s">
        <v>#N/A N/A</v>
        <stp/>
        <stp>BDP|11768266657315768539</stp>
        <tr r="BT69" s="3"/>
      </tp>
      <tp t="s">
        <v>#N/A N/A</v>
        <stp/>
        <stp>BDP|15428335826422056036</stp>
        <tr r="BK68" s="3"/>
      </tp>
      <tp t="s">
        <v>#N/A N/A</v>
        <stp/>
        <stp>BDP|10289659770605030253</stp>
        <tr r="AM58" s="3"/>
      </tp>
      <tp t="s">
        <v>#N/A N/A</v>
        <stp/>
        <stp>BDP|16379240572424327146</stp>
        <tr r="BR57" s="3"/>
      </tp>
      <tp t="s">
        <v>#N/A N/A</v>
        <stp/>
        <stp>BDP|14972696854787430622</stp>
        <tr r="H58" s="3"/>
      </tp>
      <tp t="s">
        <v>#N/A N/A</v>
        <stp/>
        <stp>BDP|16568651060948451810</stp>
        <tr r="I60" s="3"/>
      </tp>
      <tp t="s">
        <v>#N/A N/A</v>
        <stp/>
        <stp>BDP|12095865358179238096</stp>
        <tr r="V63" s="3"/>
      </tp>
      <tp t="s">
        <v>#N/A N/A</v>
        <stp/>
        <stp>BDP|10387764361643612474</stp>
        <tr r="AC55" s="3"/>
      </tp>
      <tp t="s">
        <v>#N/A N/A</v>
        <stp/>
        <stp>BDP|11746550065732288612</stp>
        <tr r="AS57" s="3"/>
      </tp>
      <tp t="s">
        <v>#N/A N/A</v>
        <stp/>
        <stp>BDP|16527378643323727423</stp>
        <tr r="BK67" s="3"/>
      </tp>
      <tp t="s">
        <v>#N/A N/A</v>
        <stp/>
        <stp>BDP|15505322214470604119</stp>
        <tr r="I75" s="3"/>
      </tp>
      <tp t="s">
        <v>#N/A N/A</v>
        <stp/>
        <stp>BDP|15839274296889435191</stp>
        <tr r="AN58" s="3"/>
      </tp>
      <tp t="s">
        <v>#N/A N/A</v>
        <stp/>
        <stp>BDP|12471354703335752216</stp>
        <tr r="BT66" s="3"/>
      </tp>
      <tp t="s">
        <v>#N/A N/A</v>
        <stp/>
        <stp>BDP|10795518444595181241</stp>
        <tr r="BY65" s="3"/>
      </tp>
      <tp t="s">
        <v>#N/A N/A</v>
        <stp/>
        <stp>BDP|16995109151382899678</stp>
        <tr r="AO56" s="3"/>
      </tp>
      <tp t="s">
        <v>#N/A N/A</v>
        <stp/>
        <stp>BDP|17807731341344459697</stp>
        <tr r="BZ73" s="3"/>
      </tp>
      <tp t="s">
        <v>#N/A N/A</v>
        <stp/>
        <stp>BDP|15824452382516150990</stp>
        <tr r="AC56" s="3"/>
      </tp>
      <tp t="s">
        <v>#N/A N/A</v>
        <stp/>
        <stp>BDP|16649516522511088628</stp>
        <tr r="BU57" s="3"/>
      </tp>
      <tp t="s">
        <v>#N/A N/A</v>
        <stp/>
        <stp>BDP|12412521411063666363</stp>
        <tr r="AJ56" s="3"/>
      </tp>
      <tp t="s">
        <v>#N/A N/A</v>
        <stp/>
        <stp>BDP|12339034707320094414</stp>
        <tr r="BR64" s="3"/>
      </tp>
      <tp t="s">
        <v>#N/A N/A</v>
        <stp/>
        <stp>BDP|14886101885523322882</stp>
        <tr r="BY67" s="3"/>
      </tp>
      <tp t="s">
        <v>#N/A N/A</v>
        <stp/>
        <stp>BDP|10839866232434958936</stp>
        <tr r="AY56" s="3"/>
      </tp>
      <tp t="s">
        <v>#N/A N/A</v>
        <stp/>
        <stp>BDP|11740525114070199292</stp>
        <tr r="Z57" s="3"/>
      </tp>
      <tp t="s">
        <v>#N/A N/A</v>
        <stp/>
        <stp>BDP|15832417589276097896</stp>
        <tr r="BD72" s="3"/>
      </tp>
      <tp t="s">
        <v>#N/A N/A</v>
        <stp/>
        <stp>BDP|11389228007817942363</stp>
        <tr r="BB71" s="3"/>
      </tp>
      <tp t="s">
        <v>#N/A N/A</v>
        <stp/>
        <stp>BDP|10400481425351491048</stp>
        <tr r="AX59" s="3"/>
      </tp>
      <tp t="s">
        <v>#N/A N/A</v>
        <stp/>
        <stp>BDP|12472573538365072622</stp>
        <tr r="CC56" s="3"/>
      </tp>
      <tp t="s">
        <v>#N/A N/A</v>
        <stp/>
        <stp>BDP|17125940395675037592</stp>
        <tr r="AY74" s="3"/>
      </tp>
      <tp t="s">
        <v>#N/A N/A</v>
        <stp/>
        <stp>BDP|12231608943155835216</stp>
        <tr r="CC68" s="3"/>
      </tp>
      <tp t="s">
        <v>#N/A N/A</v>
        <stp/>
        <stp>BDP|13013946991660496498</stp>
        <tr r="CD55" s="3"/>
      </tp>
      <tp t="s">
        <v>#N/A N/A</v>
        <stp/>
        <stp>BDP|11981717876960620635</stp>
        <tr r="AQ65" s="3"/>
      </tp>
      <tp t="s">
        <v>#N/A N/A</v>
        <stp/>
        <stp>BDP|10874436886022787907</stp>
        <tr r="AD64" s="3"/>
      </tp>
      <tp t="s">
        <v>#N/A N/A</v>
        <stp/>
        <stp>BDP|13463345419236067035</stp>
        <tr r="BO69" s="3"/>
      </tp>
      <tp t="s">
        <v>#N/A N/A</v>
        <stp/>
        <stp>BDP|17091837365076511898</stp>
        <tr r="AW75" s="3"/>
      </tp>
      <tp t="s">
        <v>#N/A N/A</v>
        <stp/>
        <stp>BDP|12317682574825093155</stp>
        <tr r="CD62" s="3"/>
      </tp>
      <tp t="s">
        <v>#N/A N/A</v>
        <stp/>
        <stp>BDP|16728772106714360288</stp>
        <tr r="AM75" s="3"/>
      </tp>
      <tp t="s">
        <v>#N/A N/A</v>
        <stp/>
        <stp>BDP|10720367633987725081</stp>
        <tr r="AA70" s="3"/>
      </tp>
      <tp t="s">
        <v>#N/A N/A</v>
        <stp/>
        <stp>BDP|12051012079263360160</stp>
        <tr r="BU62" s="3"/>
      </tp>
      <tp t="s">
        <v>#N/A N/A</v>
        <stp/>
        <stp>BDP|13291699882258309275</stp>
        <tr r="CB72" s="3"/>
      </tp>
      <tp t="s">
        <v>#N/A N/A</v>
        <stp/>
        <stp>BDP|12378429807369319897</stp>
        <tr r="BA67" s="3"/>
      </tp>
      <tp t="s">
        <v>#N/A N/A</v>
        <stp/>
        <stp>BDP|17409464634601987632</stp>
        <tr r="AE55" s="3"/>
      </tp>
      <tp t="s">
        <v>#N/A N/A</v>
        <stp/>
        <stp>BDP|17435690636505239051</stp>
        <tr r="AL63" s="3"/>
      </tp>
      <tp t="s">
        <v>#N/A N/A</v>
        <stp/>
        <stp>BDP|13344198289138805547</stp>
        <tr r="AE71" s="3"/>
      </tp>
      <tp t="s">
        <v>#N/A N/A</v>
        <stp/>
        <stp>BDP|12147203205810808736</stp>
        <tr r="AO62" s="3"/>
      </tp>
      <tp t="s">
        <v>#N/A N/A</v>
        <stp/>
        <stp>BDP|12788221967825593487</stp>
        <tr r="CK73" s="3"/>
      </tp>
      <tp t="s">
        <v>#N/A N/A</v>
        <stp/>
        <stp>BDP|12142751213997975419</stp>
        <tr r="AD75" s="3"/>
      </tp>
      <tp t="s">
        <v>#N/A N/A</v>
        <stp/>
        <stp>BDP|15044166209973203034</stp>
        <tr r="BD56" s="3"/>
      </tp>
      <tp t="s">
        <v>#N/A N/A</v>
        <stp/>
        <stp>BDP|16656269974600204486</stp>
        <tr r="BG59" s="3"/>
      </tp>
      <tp t="s">
        <v>#N/A N/A</v>
        <stp/>
        <stp>BDP|12676063551750635090</stp>
        <tr r="W69" s="3"/>
      </tp>
      <tp t="s">
        <v>#N/A N/A</v>
        <stp/>
        <stp>BDP|15014250094138763177</stp>
        <tr r="H69" s="3"/>
      </tp>
      <tp t="s">
        <v>#N/A N/A</v>
        <stp/>
        <stp>BDP|15683642722840261635</stp>
        <tr r="AS76" s="3"/>
      </tp>
      <tp t="s">
        <v>#N/A N/A</v>
        <stp/>
        <stp>BDP|11242323496618504427</stp>
        <tr r="Z64" s="3"/>
      </tp>
      <tp t="s">
        <v>#N/A N/A</v>
        <stp/>
        <stp>BDP|14362381406709826958</stp>
        <tr r="BK73" s="3"/>
      </tp>
      <tp t="s">
        <v>#N/A N/A</v>
        <stp/>
        <stp>BDP|15745536221797295275</stp>
        <tr r="BW73" s="3"/>
      </tp>
      <tp t="s">
        <v>#N/A N/A</v>
        <stp/>
        <stp>BDP|12597476261742750540</stp>
        <tr r="CB68" s="3"/>
      </tp>
      <tp t="s">
        <v>#N/A N/A</v>
        <stp/>
        <stp>BDP|12942272492077400981</stp>
        <tr r="CJ62" s="3"/>
      </tp>
      <tp t="s">
        <v>#N/A N/A</v>
        <stp/>
        <stp>BDP|17973800089196415641</stp>
        <tr r="AR75" s="3"/>
      </tp>
      <tp t="s">
        <v>#N/A N/A</v>
        <stp/>
        <stp>BDP|11540699321091883351</stp>
        <tr r="S65" s="3"/>
      </tp>
      <tp t="s">
        <v>#N/A N/A</v>
        <stp/>
        <stp>BDP|12534231576001531168</stp>
        <tr r="CF74" s="3"/>
      </tp>
      <tp t="s">
        <v>#N/A N/A</v>
        <stp/>
        <stp>BDP|13513863276963625806</stp>
        <tr r="AJ71" s="3"/>
      </tp>
      <tp t="s">
        <v>#N/A N/A</v>
        <stp/>
        <stp>BDP|15353353120970396368</stp>
        <tr r="F56" s="3"/>
      </tp>
      <tp t="s">
        <v>#N/A N/A</v>
        <stp/>
        <stp>BDP|12359328953501360223</stp>
        <tr r="BR66" s="3"/>
      </tp>
      <tp t="s">
        <v>#N/A N/A</v>
        <stp/>
        <stp>BDP|10284262240109794803</stp>
        <tr r="CB65" s="3"/>
      </tp>
      <tp t="s">
        <v>#N/A N/A</v>
        <stp/>
        <stp>BDP|10870448028088322956</stp>
        <tr r="CG64" s="3"/>
      </tp>
      <tp t="s">
        <v>#N/A N/A</v>
        <stp/>
        <stp>BDP|12526549004099765905</stp>
        <tr r="AH67" s="3"/>
      </tp>
      <tp t="s">
        <v>#N/A N/A</v>
        <stp/>
        <stp>BDP|15022734446851272056</stp>
        <tr r="AF65" s="3"/>
      </tp>
      <tp t="s">
        <v>#N/A N/A</v>
        <stp/>
        <stp>BDP|13270436212650094112</stp>
        <tr r="BL67" s="3"/>
      </tp>
      <tp t="s">
        <v>#N/A N/A</v>
        <stp/>
        <stp>BDP|10999713228053245177</stp>
        <tr r="AZ67" s="3"/>
      </tp>
      <tp t="s">
        <v>#N/A N/A</v>
        <stp/>
        <stp>BDP|13786154016986228234</stp>
        <tr r="BN75" s="3"/>
      </tp>
      <tp t="s">
        <v>#N/A N/A</v>
        <stp/>
        <stp>BDP|16187690206934918320</stp>
        <tr r="Y64" s="3"/>
      </tp>
      <tp t="s">
        <v>#N/A N/A</v>
        <stp/>
        <stp>BDP|12812858879449792362</stp>
        <tr r="CB56" s="3"/>
      </tp>
      <tp t="s">
        <v>#N/A N/A</v>
        <stp/>
        <stp>BDP|18261323746769449173</stp>
        <tr r="V74" s="3"/>
      </tp>
      <tp t="s">
        <v>#N/A N/A</v>
        <stp/>
        <stp>BDP|17209175314052283271</stp>
        <tr r="BB69" s="3"/>
      </tp>
      <tp t="s">
        <v>#N/A N/A</v>
        <stp/>
        <stp>BDP|11805273670644241792</stp>
        <tr r="BO67" s="3"/>
      </tp>
      <tp t="s">
        <v>#N/A N/A</v>
        <stp/>
        <stp>BDP|12126517926794759655</stp>
        <tr r="AE59" s="3"/>
      </tp>
      <tp t="s">
        <v>#N/A N/A</v>
        <stp/>
        <stp>BDP|12238592942297930347</stp>
        <tr r="BA65" s="3"/>
      </tp>
      <tp t="s">
        <v>#N/A N/A</v>
        <stp/>
        <stp>BDP|16534992343308848430</stp>
        <tr r="BG68" s="3"/>
      </tp>
      <tp t="s">
        <v>#N/A N/A</v>
        <stp/>
        <stp>BDP|13629414048611987512</stp>
        <tr r="BB70" s="3"/>
      </tp>
      <tp t="s">
        <v>#N/A N/A</v>
        <stp/>
        <stp>BDP|15570652593648414508</stp>
        <tr r="BL70" s="3"/>
      </tp>
      <tp t="s">
        <v>#N/A N/A</v>
        <stp/>
        <stp>BDP|15991418063931403184</stp>
        <tr r="CB74" s="3"/>
      </tp>
      <tp t="s">
        <v>#N/A N/A</v>
        <stp/>
        <stp>BDP|10816324308286772227</stp>
        <tr r="T62" s="3"/>
      </tp>
      <tp t="s">
        <v>#N/A N/A</v>
        <stp/>
        <stp>BDP|10205515119396495584</stp>
        <tr r="BN63" s="3"/>
      </tp>
      <tp t="s">
        <v>#N/A N/A</v>
        <stp/>
        <stp>BDP|10906982684104694252</stp>
        <tr r="L59" s="3"/>
      </tp>
      <tp t="s">
        <v>#N/A N/A</v>
        <stp/>
        <stp>BDP|14653657683135607801</stp>
        <tr r="AU67" s="3"/>
      </tp>
      <tp t="s">
        <v>#N/A N/A</v>
        <stp/>
        <stp>BDP|15050551324084549121</stp>
        <tr r="AY55" s="3"/>
      </tp>
      <tp t="s">
        <v>#N/A N/A</v>
        <stp/>
        <stp>BDP|14329677354310457023</stp>
        <tr r="BS74" s="3"/>
      </tp>
      <tp t="s">
        <v>#N/A N/A</v>
        <stp/>
        <stp>BDP|17562072625227852669</stp>
        <tr r="BQ72" s="3"/>
      </tp>
      <tp t="s">
        <v>#N/A N/A</v>
        <stp/>
        <stp>BDP|14183110071665154396</stp>
        <tr r="AV59" s="3"/>
      </tp>
      <tp t="s">
        <v>#N/A N/A</v>
        <stp/>
        <stp>BDP|11524906071218974342</stp>
        <tr r="AJ70" s="3"/>
      </tp>
      <tp t="s">
        <v>#N/A N/A</v>
        <stp/>
        <stp>BDP|10087347700943847456</stp>
        <tr r="M59" s="3"/>
      </tp>
      <tp t="s">
        <v>#N/A N/A</v>
        <stp/>
        <stp>BDP|10198154453976591694</stp>
        <tr r="AR71" s="3"/>
      </tp>
      <tp t="s">
        <v>#N/A N/A</v>
        <stp/>
        <stp>BDP|14361015154307905249</stp>
        <tr r="BM70" s="3"/>
      </tp>
      <tp t="s">
        <v>#N/A N/A</v>
        <stp/>
        <stp>BDP|15101622520227811209</stp>
        <tr r="N74" s="3"/>
      </tp>
      <tp t="s">
        <v>#N/A N/A</v>
        <stp/>
        <stp>BDP|10402230744831171391</stp>
        <tr r="Y59" s="3"/>
      </tp>
      <tp t="s">
        <v>#N/A N/A</v>
        <stp/>
        <stp>BDP|17609626646315929409</stp>
        <tr r="BF59" s="3"/>
      </tp>
      <tp t="s">
        <v>#N/A N/A</v>
        <stp/>
        <stp>BDP|10990292179181794051</stp>
        <tr r="AS65" s="3"/>
      </tp>
      <tp t="s">
        <v>#N/A N/A</v>
        <stp/>
        <stp>BDP|10073440233490817343</stp>
        <tr r="BQ76" s="3"/>
      </tp>
      <tp t="s">
        <v>#N/A N/A</v>
        <stp/>
        <stp>BDP|16465499058857690489</stp>
        <tr r="BX72" s="3"/>
      </tp>
      <tp t="s">
        <v>#N/A N/A</v>
        <stp/>
        <stp>BDP|16343194907176581520</stp>
        <tr r="X64" s="3"/>
      </tp>
      <tp t="s">
        <v>#N/A N/A</v>
        <stp/>
        <stp>BDP|11235524642865873176</stp>
        <tr r="BQ68" s="3"/>
      </tp>
      <tp t="s">
        <v>#N/A N/A</v>
        <stp/>
        <stp>BDP|14109037047322190690</stp>
        <tr r="X59" s="3"/>
      </tp>
      <tp t="s">
        <v>#N/A N/A</v>
        <stp/>
        <stp>BDP|15357106419997798600</stp>
        <tr r="N68" s="3"/>
      </tp>
      <tp t="s">
        <v>#N/A N/A</v>
        <stp/>
        <stp>BDP|18180041839246764972</stp>
        <tr r="BQ59" s="3"/>
      </tp>
      <tp t="s">
        <v>#N/A N/A</v>
        <stp/>
        <stp>BDP|14868173620580682355</stp>
        <tr r="CI56" s="3"/>
      </tp>
      <tp t="s">
        <v>#N/A N/A</v>
        <stp/>
        <stp>BDP|17794694456739592916</stp>
        <tr r="BO56" s="3"/>
      </tp>
      <tp t="s">
        <v>#N/A N/A</v>
        <stp/>
        <stp>BDP|16812514667196985787</stp>
        <tr r="F65" s="3"/>
      </tp>
      <tp t="s">
        <v>#N/A N/A</v>
        <stp/>
        <stp>BDP|12022514680933813865</stp>
        <tr r="BQ55" s="3"/>
      </tp>
      <tp t="s">
        <v>#N/A N/A</v>
        <stp/>
        <stp>BDP|15146097906284546544</stp>
        <tr r="BJ65" s="3"/>
      </tp>
      <tp t="s">
        <v>#N/A N/A</v>
        <stp/>
        <stp>BDP|10629490614387613620</stp>
        <tr r="BM58" s="3"/>
      </tp>
      <tp t="s">
        <v>#N/A N/A</v>
        <stp/>
        <stp>BDP|14118626711232943559</stp>
        <tr r="CF63" s="3"/>
      </tp>
      <tp t="s">
        <v>#N/A N/A</v>
        <stp/>
        <stp>BDP|16314245464731569789</stp>
        <tr r="AV60" s="3"/>
      </tp>
      <tp t="s">
        <v>#N/A N/A</v>
        <stp/>
        <stp>BDP|11521864382040606590</stp>
        <tr r="BT57" s="3"/>
      </tp>
      <tp t="s">
        <v>#N/A N/A</v>
        <stp/>
        <stp>BDP|11363441332836992423</stp>
        <tr r="BO60" s="3"/>
      </tp>
      <tp t="s">
        <v>#N/A N/A</v>
        <stp/>
        <stp>BDP|16509625772554423708</stp>
        <tr r="BI56" s="3"/>
      </tp>
      <tp t="s">
        <v>#N/A N/A</v>
        <stp/>
        <stp>BDP|18230584029812766955</stp>
        <tr r="CI60" s="3"/>
      </tp>
      <tp t="s">
        <v>#N/A N/A</v>
        <stp/>
        <stp>BDP|15958684030940698463</stp>
        <tr r="Z56" s="3"/>
      </tp>
      <tp t="s">
        <v>#N/A N/A</v>
        <stp/>
        <stp>BDP|11736142820482220406</stp>
        <tr r="H74" s="3"/>
      </tp>
      <tp t="s">
        <v>#N/A N/A</v>
        <stp/>
        <stp>BDP|17079431604241277644</stp>
        <tr r="CA69" s="3"/>
      </tp>
      <tp t="s">
        <v>#N/A N/A</v>
        <stp/>
        <stp>BDP|18014470634428193339</stp>
        <tr r="BN55" s="3"/>
      </tp>
      <tp t="s">
        <v>#N/A N/A</v>
        <stp/>
        <stp>BDP|12854147576200235097</stp>
        <tr r="AM65" s="3"/>
      </tp>
      <tp t="s">
        <v>#N/A N/A</v>
        <stp/>
        <stp>BDP|10242673757746696146</stp>
        <tr r="V73" s="3"/>
      </tp>
      <tp t="s">
        <v>#N/A N/A</v>
        <stp/>
        <stp>BDP|14518769324087177261</stp>
        <tr r="CI75" s="3"/>
      </tp>
      <tp t="s">
        <v>#N/A N/A</v>
        <stp/>
        <stp>BDP|15537261694823751902</stp>
        <tr r="AP55" s="3"/>
      </tp>
      <tp t="s">
        <v>#N/A N/A</v>
        <stp/>
        <stp>BDP|10023415474253055452</stp>
        <tr r="AB63" s="3"/>
      </tp>
      <tp t="s">
        <v>#N/A N/A</v>
        <stp/>
        <stp>BDP|12993057164477166798</stp>
        <tr r="AP62" s="3"/>
      </tp>
      <tp t="s">
        <v>#N/A N/A</v>
        <stp/>
        <stp>BDP|16152718272805237739</stp>
        <tr r="BC68" s="3"/>
      </tp>
      <tp t="s">
        <v>#N/A N/A</v>
        <stp/>
        <stp>BDP|14620955191400155006</stp>
        <tr r="AV69" s="3"/>
      </tp>
      <tp t="s">
        <v>#N/A N/A</v>
        <stp/>
        <stp>BDP|11589496428684427721</stp>
        <tr r="BA71" s="3"/>
      </tp>
      <tp t="s">
        <v>#N/A N/A</v>
        <stp/>
        <stp>BDP|10484920555731349929</stp>
        <tr r="AI73" s="3"/>
      </tp>
      <tp t="s">
        <v>#N/A N/A</v>
        <stp/>
        <stp>BDP|18362267514217472874</stp>
        <tr r="AV76" s="3"/>
      </tp>
      <tp t="s">
        <v>#N/A N/A</v>
        <stp/>
        <stp>BDP|10681881767012481888</stp>
        <tr r="AT56" s="3"/>
      </tp>
      <tp t="s">
        <v>#N/A N/A</v>
        <stp/>
        <stp>BDP|12029737570844709218</stp>
        <tr r="I68" s="3"/>
      </tp>
      <tp t="s">
        <v>#N/A N/A</v>
        <stp/>
        <stp>BDP|16998192224275085409</stp>
        <tr r="W72" s="3"/>
      </tp>
      <tp t="s">
        <v>#N/A N/A</v>
        <stp/>
        <stp>BDP|15139963579487215885</stp>
        <tr r="BV59" s="3"/>
      </tp>
      <tp t="s">
        <v>#N/A N/A</v>
        <stp/>
        <stp>BDP|13239487717113929100</stp>
        <tr r="AP73" s="3"/>
      </tp>
      <tp t="s">
        <v>#N/A N/A</v>
        <stp/>
        <stp>BDP|15223339058354863358</stp>
        <tr r="AA73" s="3"/>
      </tp>
      <tp t="s">
        <v>#N/A N/A</v>
        <stp/>
        <stp>BDP|14554586089469185421</stp>
        <tr r="AN75" s="3"/>
      </tp>
      <tp t="s">
        <v>#N/A N/A</v>
        <stp/>
        <stp>BDP|12493136131581701568</stp>
        <tr r="AW71" s="3"/>
      </tp>
      <tp t="s">
        <v>#N/A N/A</v>
        <stp/>
        <stp>BDP|13229323154133602250</stp>
        <tr r="CE75" s="3"/>
      </tp>
      <tp t="s">
        <v>#N/A N/A</v>
        <stp/>
        <stp>BDP|11082734286569140325</stp>
        <tr r="AZ64" s="3"/>
      </tp>
      <tp t="s">
        <v>#N/A N/A</v>
        <stp/>
        <stp>BDP|16236943191301338326</stp>
        <tr r="BQ70" s="3"/>
      </tp>
      <tp t="s">
        <v>#N/A N/A</v>
        <stp/>
        <stp>BDP|14544575838673599598</stp>
        <tr r="J66" s="3"/>
      </tp>
      <tp t="s">
        <v>#N/A N/A</v>
        <stp/>
        <stp>BDP|13232072367238128954</stp>
        <tr r="AM55" s="3"/>
      </tp>
      <tp t="s">
        <v>#N/A N/A</v>
        <stp/>
        <stp>BDP|11791854037727840846</stp>
        <tr r="BQ57" s="3"/>
      </tp>
      <tp t="s">
        <v>#N/A N/A</v>
        <stp/>
        <stp>BDP|13063284320894519244</stp>
        <tr r="U62" s="3"/>
      </tp>
      <tp t="s">
        <v>#N/A N/A</v>
        <stp/>
        <stp>BDP|11993898854689804055</stp>
        <tr r="BO58" s="3"/>
      </tp>
      <tp t="s">
        <v>#N/A N/A</v>
        <stp/>
        <stp>BDP|12740034312693663597</stp>
        <tr r="BY60" s="3"/>
      </tp>
      <tp t="s">
        <v>#N/A N/A</v>
        <stp/>
        <stp>BDP|14634960738809875285</stp>
        <tr r="J74" s="3"/>
      </tp>
      <tp t="s">
        <v>#N/A N/A</v>
        <stp/>
        <stp>BDP|15281227458156320135</stp>
        <tr r="BI71" s="3"/>
      </tp>
      <tp t="s">
        <v>#N/A N/A</v>
        <stp/>
        <stp>BDP|17730398642124785131</stp>
        <tr r="AL70" s="3"/>
      </tp>
      <tp t="s">
        <v>#N/A N/A</v>
        <stp/>
        <stp>BDP|12123765600934685491</stp>
        <tr r="BZ69" s="3"/>
      </tp>
      <tp t="s">
        <v>#N/A N/A</v>
        <stp/>
        <stp>BDP|10632967129227749967</stp>
        <tr r="L74" s="3"/>
      </tp>
      <tp t="s">
        <v>#N/A N/A</v>
        <stp/>
        <stp>BDP|16804737243484088430</stp>
        <tr r="P67" s="3"/>
      </tp>
      <tp t="s">
        <v>#N/A N/A</v>
        <stp/>
        <stp>BDP|16104350128725623711</stp>
        <tr r="CJ59" s="3"/>
      </tp>
      <tp t="s">
        <v>#N/A N/A</v>
        <stp/>
        <stp>BDP|11912358446110559353</stp>
        <tr r="AM64" s="3"/>
      </tp>
      <tp t="s">
        <v>#N/A N/A</v>
        <stp/>
        <stp>BDP|12869362857394619555</stp>
        <tr r="AC70" s="3"/>
      </tp>
      <tp t="s">
        <v>#N/A N/A</v>
        <stp/>
        <stp>BDP|12461275179746803486</stp>
        <tr r="Z70" s="3"/>
      </tp>
      <tp t="s">
        <v>#N/A N/A</v>
        <stp/>
        <stp>BDP|17991256015439055845</stp>
        <tr r="AM71" s="3"/>
      </tp>
      <tp t="s">
        <v>#N/A N/A</v>
        <stp/>
        <stp>BDP|12325207204690929522</stp>
        <tr r="AQ67" s="3"/>
      </tp>
      <tp t="s">
        <v>#N/A N/A</v>
        <stp/>
        <stp>BDP|13783433952071946602</stp>
        <tr r="BZ58" s="3"/>
      </tp>
      <tp t="s">
        <v>#N/A N/A</v>
        <stp/>
        <stp>BDP|16479264208347186651</stp>
        <tr r="AY67" s="3"/>
      </tp>
      <tp t="s">
        <v>#N/A N/A</v>
        <stp/>
        <stp>BDP|17920337151783687735</stp>
        <tr r="BY64" s="3"/>
      </tp>
      <tp t="s">
        <v>#N/A N/A</v>
        <stp/>
        <stp>BDP|12988055072043450345</stp>
        <tr r="AK64" s="3"/>
      </tp>
      <tp t="s">
        <v>#N/A N/A</v>
        <stp/>
        <stp>BDP|15989772137637644318</stp>
        <tr r="AB55" s="3"/>
      </tp>
      <tp t="s">
        <v>#N/A N/A</v>
        <stp/>
        <stp>BDP|15051878189271889181</stp>
        <tr r="AJ55" s="3"/>
      </tp>
      <tp t="s">
        <v>#N/A N/A</v>
        <stp/>
        <stp>BDP|10792879481116603395</stp>
        <tr r="AU56" s="3"/>
      </tp>
      <tp t="s">
        <v>#N/A N/A</v>
        <stp/>
        <stp>BDP|16315068305325686686</stp>
        <tr r="CF75" s="3"/>
      </tp>
      <tp t="s">
        <v>#N/A N/A</v>
        <stp/>
        <stp>BDP|14926210169565357038</stp>
        <tr r="AJ74" s="3"/>
      </tp>
      <tp t="s">
        <v>#N/A N/A</v>
        <stp/>
        <stp>BDP|10981081484778724535</stp>
        <tr r="AC69" s="3"/>
      </tp>
      <tp t="s">
        <v>#N/A N/A</v>
        <stp/>
        <stp>BDP|15706349317244539607</stp>
        <tr r="J69" s="3"/>
      </tp>
      <tp t="s">
        <v>#N/A N/A</v>
        <stp/>
        <stp>BDP|15333250437972012307</stp>
        <tr r="P59" s="3"/>
      </tp>
      <tp t="s">
        <v>#N/A N/A</v>
        <stp/>
        <stp>BDP|13423856566968475028</stp>
        <tr r="CH71" s="3"/>
      </tp>
      <tp t="s">
        <v>#N/A N/A</v>
        <stp/>
        <stp>BDP|10855834565708913365</stp>
        <tr r="G57" s="3"/>
      </tp>
      <tp t="s">
        <v>#N/A N/A</v>
        <stp/>
        <stp>BDP|17061360958804671099</stp>
        <tr r="BH64" s="3"/>
      </tp>
      <tp t="s">
        <v>#N/A N/A</v>
        <stp/>
        <stp>BDP|10816167179145338652</stp>
        <tr r="M62" s="3"/>
      </tp>
      <tp t="s">
        <v>#N/A N/A</v>
        <stp/>
        <stp>BDP|16319533087608102671</stp>
        <tr r="BS73" s="3"/>
      </tp>
      <tp t="s">
        <v>#N/A N/A</v>
        <stp/>
        <stp>BDP|13316277400725167142</stp>
        <tr r="H64" s="3"/>
      </tp>
      <tp t="s">
        <v>#N/A N/A</v>
        <stp/>
        <stp>BDP|12695565903485774744</stp>
        <tr r="AR58" s="3"/>
      </tp>
      <tp t="s">
        <v>#N/A N/A</v>
        <stp/>
        <stp>BDP|18045158547971088922</stp>
        <tr r="BW64" s="3"/>
      </tp>
      <tp t="s">
        <v>#N/A N/A</v>
        <stp/>
        <stp>BDP|15183507960291635270</stp>
        <tr r="BM74" s="3"/>
      </tp>
      <tp t="s">
        <v>#N/A N/A</v>
        <stp/>
        <stp>BDP|14724117610779671808</stp>
        <tr r="AQ76" s="3"/>
      </tp>
      <tp t="s">
        <v>#N/A N/A</v>
        <stp/>
        <stp>BDP|10212976151461659818</stp>
        <tr r="AH57" s="3"/>
      </tp>
      <tp t="s">
        <v>#N/A N/A</v>
        <stp/>
        <stp>BDP|12808883181972072528</stp>
        <tr r="BS60" s="3"/>
      </tp>
      <tp t="s">
        <v>#N/A N/A</v>
        <stp/>
        <stp>BDP|16486559920225414178</stp>
        <tr r="AB72" s="3"/>
      </tp>
      <tp t="s">
        <v>#N/A N/A</v>
        <stp/>
        <stp>BDP|12640578037108654922</stp>
        <tr r="Y71" s="3"/>
      </tp>
      <tp t="s">
        <v>#N/A N/A</v>
        <stp/>
        <stp>BDP|16017515068848848837</stp>
        <tr r="AM68" s="3"/>
      </tp>
      <tp t="s">
        <v>#N/A N/A</v>
        <stp/>
        <stp>BDP|14365651361247038652</stp>
        <tr r="AC63" s="3"/>
      </tp>
      <tp t="s">
        <v>#N/A N/A</v>
        <stp/>
        <stp>BDP|17296352944767651200</stp>
        <tr r="AV65" s="3"/>
      </tp>
      <tp t="s">
        <v>#N/A N/A</v>
        <stp/>
        <stp>BDP|13287263860424534642</stp>
        <tr r="AV71" s="3"/>
      </tp>
      <tp t="s">
        <v>#N/A N/A</v>
        <stp/>
        <stp>BDP|12607296835610761685</stp>
        <tr r="O57" s="3"/>
      </tp>
      <tp t="s">
        <v>#N/A N/A</v>
        <stp/>
        <stp>BDP|14229727456386090524</stp>
        <tr r="BX59" s="3"/>
      </tp>
      <tp t="s">
        <v>#N/A N/A</v>
        <stp/>
        <stp>BDP|13489410055207229061</stp>
        <tr r="AU75" s="3"/>
      </tp>
      <tp t="s">
        <v>#N/A N/A</v>
        <stp/>
        <stp>BDP|10766164810182246778</stp>
        <tr r="R60" s="3"/>
      </tp>
      <tp t="s">
        <v>#N/A N/A</v>
        <stp/>
        <stp>BDP|11825481163411038779</stp>
        <tr r="H73" s="3"/>
      </tp>
      <tp t="s">
        <v>#N/A N/A</v>
        <stp/>
        <stp>BDP|11189016025443332529</stp>
        <tr r="W68" s="3"/>
      </tp>
      <tp t="s">
        <v>#N/A N/A</v>
        <stp/>
        <stp>BDP|13372287758286508726</stp>
        <tr r="AL58" s="3"/>
      </tp>
      <tp t="s">
        <v>#N/A N/A</v>
        <stp/>
        <stp>BDP|13716368126073312433</stp>
        <tr r="AD55" s="3"/>
      </tp>
      <tp t="s">
        <v>#N/A N/A</v>
        <stp/>
        <stp>BDP|18132851600313065637</stp>
        <tr r="U60" s="3"/>
      </tp>
      <tp t="s">
        <v>#N/A N/A</v>
        <stp/>
        <stp>BDP|12593720542652284601</stp>
        <tr r="AM72" s="3"/>
      </tp>
      <tp t="s">
        <v>#N/A N/A</v>
        <stp/>
        <stp>BDP|12448019822860372537</stp>
        <tr r="CE58" s="3"/>
      </tp>
      <tp t="s">
        <v>#N/A N/A</v>
        <stp/>
        <stp>BDP|11981126059468037845</stp>
        <tr r="BD62" s="3"/>
      </tp>
      <tp t="s">
        <v>#N/A N/A</v>
        <stp/>
        <stp>BDP|15441628102577506178</stp>
        <tr r="CD64" s="3"/>
      </tp>
      <tp t="s">
        <v>#N/A N/A</v>
        <stp/>
        <stp>BDP|17676442763563455334</stp>
        <tr r="BT74" s="3"/>
      </tp>
    </main>
    <main first="bofaddin.rtdserver">
      <tp t="s">
        <v>#N/A N/A</v>
        <stp/>
        <stp>BDP|8382854619867548</stp>
        <tr r="CA58" s="3"/>
      </tp>
    </main>
    <main first="bloomberg.ccyreader">
      <tp>
        <v>0</v>
        <stp/>
        <stp>#track</stp>
        <stp>DBG</stp>
        <stp>BIHITX</stp>
        <stp>1.0</stp>
        <stp>RepeatHit</stp>
        <tr r="A45" s="3"/>
      </tp>
    </main>
    <main first="bofaddin.rtdserver">
      <tp t="s">
        <v>#N/A N/A</v>
        <stp/>
        <stp>BDP|2500111947832830916</stp>
        <tr r="AM63" s="3"/>
      </tp>
      <tp t="s">
        <v>#N/A N/A</v>
        <stp/>
        <stp>BDP|9659689270117525300</stp>
        <tr r="AN76" s="3"/>
      </tp>
      <tp t="s">
        <v>#N/A N/A</v>
        <stp/>
        <stp>BDP|6709439858942725903</stp>
        <tr r="BE72" s="3"/>
      </tp>
      <tp t="s">
        <v>#N/A N/A</v>
        <stp/>
        <stp>BDP|8270309456362712089</stp>
        <tr r="BD75" s="3"/>
      </tp>
      <tp t="s">
        <v>#N/A N/A</v>
        <stp/>
        <stp>BDP|2512546878788121434</stp>
        <tr r="P62" s="3"/>
      </tp>
      <tp t="s">
        <v>#N/A N/A</v>
        <stp/>
        <stp>BDP|6579551475200491893</stp>
        <tr r="Q64" s="3"/>
      </tp>
      <tp t="s">
        <v>#N/A N/A</v>
        <stp/>
        <stp>BDP|8574909095672183690</stp>
        <tr r="V70" s="3"/>
      </tp>
      <tp t="s">
        <v>#N/A N/A</v>
        <stp/>
        <stp>BDP|5773597497035543047</stp>
        <tr r="BP68" s="3"/>
      </tp>
      <tp t="s">
        <v>#N/A N/A</v>
        <stp/>
        <stp>BDP|4868898231341821211</stp>
        <tr r="BE58" s="3"/>
      </tp>
      <tp t="s">
        <v>#N/A N/A</v>
        <stp/>
        <stp>BDP|5609847743861715483</stp>
        <tr r="AN72" s="3"/>
      </tp>
      <tp t="s">
        <v>#N/A N/A</v>
        <stp/>
        <stp>BDP|8464238133581960438</stp>
        <tr r="BK57" s="3"/>
      </tp>
      <tp t="s">
        <v>#N/A N/A</v>
        <stp/>
        <stp>BDP|4657336508463024824</stp>
        <tr r="CH70" s="3"/>
      </tp>
      <tp t="s">
        <v>#N/A N/A</v>
        <stp/>
        <stp>BDP|2125598746899778666</stp>
        <tr r="BO63" s="3"/>
      </tp>
      <tp t="s">
        <v>#N/A N/A</v>
        <stp/>
        <stp>BDP|9613090648568905916</stp>
        <tr r="CF72" s="3"/>
      </tp>
      <tp t="s">
        <v>#N/A N/A</v>
        <stp/>
        <stp>BDP|2045438026519099199</stp>
        <tr r="CK68" s="3"/>
      </tp>
      <tp t="s">
        <v>#N/A N/A</v>
        <stp/>
        <stp>BDP|9857718744807294131</stp>
        <tr r="CK75" s="3"/>
      </tp>
      <tp t="s">
        <v>#N/A N/A</v>
        <stp/>
        <stp>BDP|5758714001989935726</stp>
        <tr r="T76" s="3"/>
      </tp>
      <tp t="s">
        <v>#N/A N/A</v>
        <stp/>
        <stp>BDP|5970395446518842620</stp>
        <tr r="AB68" s="3"/>
      </tp>
      <tp t="s">
        <v>#N/A N/A</v>
        <stp/>
        <stp>BDP|7528601095462521691</stp>
        <tr r="AN63" s="3"/>
      </tp>
      <tp t="s">
        <v>#N/A N/A</v>
        <stp/>
        <stp>BDP|6898296222503843963</stp>
        <tr r="R64" s="3"/>
      </tp>
      <tp t="s">
        <v>#N/A N/A</v>
        <stp/>
        <stp>BDP|8904710468847850252</stp>
        <tr r="BU60" s="3"/>
      </tp>
      <tp t="s">
        <v>#N/A N/A</v>
        <stp/>
        <stp>BDP|8127507299478660038</stp>
        <tr r="CH64" s="3"/>
      </tp>
      <tp t="s">
        <v>#N/A N/A</v>
        <stp/>
        <stp>BDP|3512543033001189811</stp>
        <tr r="CK66" s="3"/>
      </tp>
      <tp t="s">
        <v>#N/A N/A</v>
        <stp/>
        <stp>BDP|4883215319059445269</stp>
        <tr r="AI65" s="3"/>
      </tp>
      <tp t="s">
        <v>#N/A N/A</v>
        <stp/>
        <stp>BDP|9054306763666783669</stp>
        <tr r="BO66" s="3"/>
      </tp>
      <tp t="s">
        <v>#N/A N/A</v>
        <stp/>
        <stp>BDP|9527175765786437409</stp>
        <tr r="AQ73" s="3"/>
      </tp>
      <tp t="s">
        <v>#N/A N/A</v>
        <stp/>
        <stp>BDP|5443814156631797570</stp>
        <tr r="G62" s="3"/>
      </tp>
      <tp t="s">
        <v>#N/A N/A</v>
        <stp/>
        <stp>BDP|4422773192234082225</stp>
        <tr r="AB60" s="3"/>
      </tp>
      <tp t="s">
        <v>#N/A N/A</v>
        <stp/>
        <stp>BDP|6506474382960646659</stp>
        <tr r="AR72" s="3"/>
      </tp>
      <tp t="s">
        <v>#N/A N/A</v>
        <stp/>
        <stp>BDP|8072511533762969087</stp>
        <tr r="Q68" s="3"/>
      </tp>
      <tp t="s">
        <v>#N/A N/A</v>
        <stp/>
        <stp>BDP|4190971110402092265</stp>
        <tr r="BW68" s="3"/>
      </tp>
      <tp t="s">
        <v>#N/A N/A</v>
        <stp/>
        <stp>BDP|4188369486543124001</stp>
        <tr r="AQ69" s="3"/>
      </tp>
      <tp t="s">
        <v>#N/A N/A</v>
        <stp/>
        <stp>BDP|9719524520806653423</stp>
        <tr r="BY55" s="3"/>
      </tp>
      <tp t="s">
        <v>#N/A N/A</v>
        <stp/>
        <stp>BDP|2137793491403093380</stp>
        <tr r="O55" s="3"/>
      </tp>
      <tp t="s">
        <v>#N/A N/A</v>
        <stp/>
        <stp>BDP|9543035858900654093</stp>
        <tr r="K75" s="3"/>
      </tp>
      <tp t="s">
        <v>#N/A N/A</v>
        <stp/>
        <stp>BDP|1425837007262319728</stp>
        <tr r="BE69" s="3"/>
      </tp>
      <tp t="s">
        <v>#N/A N/A</v>
        <stp/>
        <stp>BDP|6973206026378954206</stp>
        <tr r="BD69" s="3"/>
      </tp>
      <tp t="s">
        <v>#N/A N/A</v>
        <stp/>
        <stp>BDP|1586862852142489230</stp>
        <tr r="AL68" s="3"/>
      </tp>
      <tp t="s">
        <v>#N/A N/A</v>
        <stp/>
        <stp>BDP|7912765099496360335</stp>
        <tr r="N57" s="3"/>
      </tp>
      <tp t="s">
        <v>#N/A N/A</v>
        <stp/>
        <stp>BDP|7379032655996013828</stp>
        <tr r="BW74" s="3"/>
      </tp>
      <tp t="s">
        <v>#N/A N/A</v>
        <stp/>
        <stp>BDP|4305038332283579809</stp>
        <tr r="AY64" s="3"/>
      </tp>
      <tp t="s">
        <v>#N/A N/A</v>
        <stp/>
        <stp>BDP|8164685829134310444</stp>
        <tr r="M72" s="3"/>
      </tp>
      <tp t="s">
        <v>#N/A N/A</v>
        <stp/>
        <stp>BDP|1090790565415104997</stp>
        <tr r="AJ73" s="3"/>
      </tp>
      <tp t="s">
        <v>#N/A N/A</v>
        <stp/>
        <stp>BDP|4876263698985042627</stp>
        <tr r="BT58" s="3"/>
      </tp>
      <tp t="s">
        <v>#N/A N/A</v>
        <stp/>
        <stp>BDP|4799014685780408026</stp>
        <tr r="AU64" s="3"/>
      </tp>
      <tp t="s">
        <v>#N/A N/A</v>
        <stp/>
        <stp>BDP|1908043681927574335</stp>
        <tr r="F70" s="3"/>
      </tp>
      <tp t="s">
        <v>#N/A N/A</v>
        <stp/>
        <stp>BDP|8461403489591663818</stp>
        <tr r="BL74" s="3"/>
      </tp>
      <tp t="s">
        <v>#N/A N/A</v>
        <stp/>
        <stp>BDP|3241914618704738265</stp>
        <tr r="Z60" s="3"/>
      </tp>
      <tp t="s">
        <v>#N/A N/A</v>
        <stp/>
        <stp>BDP|4988941067675787373</stp>
        <tr r="BD70" s="3"/>
      </tp>
      <tp t="s">
        <v>#N/A N/A</v>
        <stp/>
        <stp>BDP|4806808442303029610</stp>
        <tr r="CD63" s="3"/>
      </tp>
      <tp t="s">
        <v>#N/A N/A</v>
        <stp/>
        <stp>BDP|8734681841893376467</stp>
        <tr r="V59" s="3"/>
      </tp>
      <tp t="s">
        <v>#N/A N/A</v>
        <stp/>
        <stp>BDP|1827975262317087463</stp>
        <tr r="AF75" s="3"/>
      </tp>
      <tp t="s">
        <v>#N/A N/A</v>
        <stp/>
        <stp>BDP|8936395779725789459</stp>
        <tr r="AH76" s="3"/>
      </tp>
      <tp t="s">
        <v>#N/A N/A</v>
        <stp/>
        <stp>BDP|4102607727379458497</stp>
        <tr r="CE74" s="3"/>
      </tp>
      <tp t="s">
        <v>#N/A N/A</v>
        <stp/>
        <stp>BDP|3974983356602759083</stp>
        <tr r="Z55" s="3"/>
      </tp>
      <tp t="s">
        <v>#N/A N/A</v>
        <stp/>
        <stp>BDP|7905905764932717733</stp>
        <tr r="U58" s="3"/>
      </tp>
      <tp t="s">
        <v>#N/A N/A</v>
        <stp/>
        <stp>BDP|6117316685153955355</stp>
        <tr r="BJ71" s="3"/>
      </tp>
      <tp t="s">
        <v>#N/A N/A</v>
        <stp/>
        <stp>BDP|8429655566063930672</stp>
        <tr r="T74" s="3"/>
      </tp>
      <tp t="s">
        <v>#N/A N/A</v>
        <stp/>
        <stp>BDP|8991529801622131223</stp>
        <tr r="BL71" s="3"/>
      </tp>
      <tp t="s">
        <v>#N/A N/A</v>
        <stp/>
        <stp>BDP|5051878534381471299</stp>
        <tr r="BG66" s="3"/>
      </tp>
      <tp t="s">
        <v>#N/A N/A</v>
        <stp/>
        <stp>BDP|6913702436236079911</stp>
        <tr r="CD75" s="3"/>
      </tp>
      <tp t="s">
        <v>#N/A N/A</v>
        <stp/>
        <stp>BDP|9017085955964459565</stp>
        <tr r="H65" s="3"/>
      </tp>
      <tp t="s">
        <v>#N/A N/A</v>
        <stp/>
        <stp>BDP|1093226763460872863</stp>
        <tr r="AT60" s="3"/>
      </tp>
      <tp t="s">
        <v>#N/A N/A</v>
        <stp/>
        <stp>BDP|9679741150337953179</stp>
        <tr r="BT60" s="3"/>
      </tp>
      <tp t="s">
        <v>#N/A N/A</v>
        <stp/>
        <stp>BDP|1694756279398057477</stp>
        <tr r="BI62" s="3"/>
      </tp>
      <tp t="s">
        <v>#N/A N/A</v>
        <stp/>
        <stp>BDP|8287774064090909458</stp>
        <tr r="AG57" s="3"/>
      </tp>
      <tp t="s">
        <v>#N/A N/A</v>
        <stp/>
        <stp>BDP|7978942327059848809</stp>
        <tr r="BB65" s="3"/>
      </tp>
      <tp t="s">
        <v>#N/A N/A</v>
        <stp/>
        <stp>BDP|6023867715893115104</stp>
        <tr r="AQ63" s="3"/>
      </tp>
      <tp t="s">
        <v>#N/A N/A</v>
        <stp/>
        <stp>BDP|2646776009718372098</stp>
        <tr r="BI58" s="3"/>
      </tp>
      <tp t="s">
        <v>#N/A N/A</v>
        <stp/>
        <stp>BDP|7028901527330778128</stp>
        <tr r="AX69" s="3"/>
      </tp>
      <tp t="s">
        <v>#N/A N/A</v>
        <stp/>
        <stp>BDP|4532603972220167841</stp>
        <tr r="L73" s="3"/>
      </tp>
      <tp t="s">
        <v>#N/A N/A</v>
        <stp/>
        <stp>BDP|1906964719727239378</stp>
        <tr r="BX67" s="3"/>
      </tp>
      <tp t="s">
        <v>#N/A N/A</v>
        <stp/>
        <stp>BDP|6843843001194746793</stp>
        <tr r="F67" s="3"/>
      </tp>
      <tp t="s">
        <v>#N/A N/A</v>
        <stp/>
        <stp>BDP|4128766033788037573</stp>
        <tr r="Z67" s="3"/>
      </tp>
      <tp t="s">
        <v>#N/A N/A</v>
        <stp/>
        <stp>BDP|9283091779621433258</stp>
        <tr r="R62" s="3"/>
      </tp>
      <tp t="s">
        <v>#N/A N/A</v>
        <stp/>
        <stp>BDP|7146356803689625016</stp>
        <tr r="AY69" s="3"/>
      </tp>
      <tp t="s">
        <v>#N/A N/A</v>
        <stp/>
        <stp>BDP|4076827775907551136</stp>
        <tr r="CG68" s="3"/>
      </tp>
      <tp t="s">
        <v>#N/A N/A</v>
        <stp/>
        <stp>BDP|2434192792407860062</stp>
        <tr r="H59" s="3"/>
      </tp>
      <tp t="s">
        <v>#N/A N/A</v>
        <stp/>
        <stp>BDP|2929090045323695851</stp>
        <tr r="AP71" s="3"/>
      </tp>
      <tp t="s">
        <v>#N/A N/A</v>
        <stp/>
        <stp>BDP|7153618086646779270</stp>
        <tr r="BW60" s="3"/>
      </tp>
      <tp t="s">
        <v>#N/A N/A</v>
        <stp/>
        <stp>BDP|4740809212427034735</stp>
        <tr r="BJ75" s="3"/>
      </tp>
      <tp t="s">
        <v>#N/A N/A</v>
        <stp/>
        <stp>BDP|6664317664747598916</stp>
        <tr r="BG63" s="3"/>
      </tp>
      <tp t="s">
        <v>#N/A N/A</v>
        <stp/>
        <stp>BDP|6731604793570595461</stp>
        <tr r="CK59" s="3"/>
      </tp>
      <tp t="s">
        <v>#N/A N/A</v>
        <stp/>
        <stp>BDP|3405104082636245135</stp>
        <tr r="AC58" s="3"/>
      </tp>
      <tp t="s">
        <v>#N/A N/A</v>
        <stp/>
        <stp>BDP|3624800715441608616</stp>
        <tr r="CA63" s="3"/>
      </tp>
      <tp t="s">
        <v>#N/A N/A</v>
        <stp/>
        <stp>BDP|6414663887464732165</stp>
        <tr r="BE71" s="3"/>
      </tp>
      <tp t="s">
        <v>#N/A N/A</v>
        <stp/>
        <stp>BDP|9493868035478470776</stp>
        <tr r="CI72" s="3"/>
      </tp>
      <tp t="s">
        <v>#N/A N/A</v>
        <stp/>
        <stp>BDP|3383021607449248711</stp>
        <tr r="BV60" s="3"/>
      </tp>
      <tp t="s">
        <v>#N/A N/A</v>
        <stp/>
        <stp>BDP|1289406794527600657</stp>
        <tr r="CF62" s="3"/>
      </tp>
      <tp t="s">
        <v>#N/A N/A</v>
        <stp/>
        <stp>BDP|5105270248457802936</stp>
        <tr r="BX71" s="3"/>
      </tp>
      <tp t="s">
        <v>#N/A N/A</v>
        <stp/>
        <stp>BDP|1523260924128002426</stp>
        <tr r="CD76" s="3"/>
      </tp>
      <tp t="s">
        <v>#N/A N/A</v>
        <stp/>
        <stp>BDP|1064771269647283962</stp>
        <tr r="H63" s="3"/>
      </tp>
      <tp t="s">
        <v>#N/A N/A</v>
        <stp/>
        <stp>BDP|4864638465648275263</stp>
        <tr r="BM67" s="3"/>
      </tp>
      <tp t="s">
        <v>#N/A N/A</v>
        <stp/>
        <stp>BDP|3072903425952640496</stp>
        <tr r="CK67" s="3"/>
      </tp>
      <tp t="s">
        <v>#N/A N/A</v>
        <stp/>
        <stp>BDP|3008547051788978568</stp>
        <tr r="AA62" s="3"/>
      </tp>
      <tp t="s">
        <v>#N/A N/A</v>
        <stp/>
        <stp>BDP|2162243253698860344</stp>
        <tr r="V64" s="3"/>
      </tp>
      <tp t="s">
        <v>#N/A N/A</v>
        <stp/>
        <stp>BDP|5287570942082801858</stp>
        <tr r="BC76" s="3"/>
      </tp>
      <tp t="s">
        <v>#N/A N/A</v>
        <stp/>
        <stp>BDP|3995578461967509908</stp>
        <tr r="BN74" s="3"/>
      </tp>
      <tp t="s">
        <v>#N/A N/A</v>
        <stp/>
        <stp>BDP|2291372733485918974</stp>
        <tr r="S67" s="3"/>
      </tp>
      <tp t="s">
        <v>#N/A N/A</v>
        <stp/>
        <stp>BDP|8971654317767656651</stp>
        <tr r="CG73" s="3"/>
      </tp>
      <tp t="s">
        <v>#N/A N/A</v>
        <stp/>
        <stp>BDP|2534908828707031045</stp>
        <tr r="BH58" s="3"/>
      </tp>
      <tp t="s">
        <v>#N/A N/A</v>
        <stp/>
        <stp>BDP|6934888536190968379</stp>
        <tr r="Y56" s="3"/>
      </tp>
      <tp t="s">
        <v>#N/A N/A</v>
        <stp/>
        <stp>BDP|8720187084619090651</stp>
        <tr r="CI66" s="3"/>
      </tp>
      <tp t="s">
        <v>#N/A N/A</v>
        <stp/>
        <stp>BDP|6912273368729126597</stp>
        <tr r="T68" s="3"/>
      </tp>
      <tp t="s">
        <v>#N/A N/A</v>
        <stp/>
        <stp>BDP|6370249340906867816</stp>
        <tr r="BW55" s="3"/>
      </tp>
      <tp t="s">
        <v>#N/A N/A</v>
        <stp/>
        <stp>BDP|4374361033682076893</stp>
        <tr r="AW74" s="3"/>
      </tp>
      <tp t="s">
        <v>#N/A N/A</v>
        <stp/>
        <stp>BDP|5108788652090268957</stp>
        <tr r="I76" s="3"/>
      </tp>
      <tp t="s">
        <v>#N/A N/A</v>
        <stp/>
        <stp>BDP|8252615405429985931</stp>
        <tr r="BX74" s="3"/>
      </tp>
      <tp t="s">
        <v>#N/A N/A</v>
        <stp/>
        <stp>BDP|7707640808619075675</stp>
        <tr r="AP69" s="3"/>
      </tp>
      <tp t="s">
        <v>#N/A N/A</v>
        <stp/>
        <stp>BDP|6316428127247356987</stp>
        <tr r="CE64" s="3"/>
      </tp>
      <tp t="s">
        <v>#N/A N/A</v>
        <stp/>
        <stp>BDP|9766505938065381410</stp>
        <tr r="BL58" s="3"/>
      </tp>
      <tp t="s">
        <v>#N/A N/A</v>
        <stp/>
        <stp>BDP|5187944749143821593</stp>
        <tr r="CI63" s="3"/>
      </tp>
      <tp t="s">
        <v>#N/A N/A</v>
        <stp/>
        <stp>BDP|3886567005780543833</stp>
        <tr r="AE56" s="3"/>
      </tp>
      <tp t="s">
        <v>#N/A N/A</v>
        <stp/>
        <stp>BDP|2806652035939508008</stp>
        <tr r="CB66" s="3"/>
      </tp>
      <tp t="s">
        <v>#N/A N/A</v>
        <stp/>
        <stp>BDP|4616568587230149744</stp>
        <tr r="I62" s="3"/>
      </tp>
      <tp t="s">
        <v>#N/A N/A</v>
        <stp/>
        <stp>BDP|9102615174820332654</stp>
        <tr r="I59" s="3"/>
      </tp>
      <tp t="s">
        <v>#N/A N/A</v>
        <stp/>
        <stp>BDP|5627696056259361183</stp>
        <tr r="BG74" s="3"/>
      </tp>
      <tp t="s">
        <v>#N/A N/A</v>
        <stp/>
        <stp>BDP|5736276642395060802</stp>
        <tr r="V67" s="3"/>
      </tp>
      <tp t="s">
        <v>#N/A N/A</v>
        <stp/>
        <stp>BDP|5270313546215337959</stp>
        <tr r="BW65" s="3"/>
      </tp>
      <tp t="s">
        <v>#N/A N/A</v>
        <stp/>
        <stp>BDP|5782534297292230522</stp>
        <tr r="BV69" s="3"/>
      </tp>
      <tp t="s">
        <v>#N/A N/A</v>
        <stp/>
        <stp>BDP|6807083478068205793</stp>
        <tr r="U73" s="3"/>
      </tp>
      <tp t="s">
        <v>#N/A N/A</v>
        <stp/>
        <stp>BDP|3733397510636566983</stp>
        <tr r="BT72" s="3"/>
      </tp>
      <tp t="s">
        <v>#N/A N/A</v>
        <stp/>
        <stp>BDP|7943070289841643012</stp>
        <tr r="AE73" s="3"/>
      </tp>
      <tp t="s">
        <v>#N/A N/A</v>
        <stp/>
        <stp>BDP|7498651810078730666</stp>
        <tr r="BZ59" s="3"/>
      </tp>
      <tp t="s">
        <v>#N/A N/A</v>
        <stp/>
        <stp>BDP|1944995880798813682</stp>
        <tr r="N58" s="3"/>
      </tp>
      <tp t="s">
        <v>#N/A N/A</v>
        <stp/>
        <stp>BDP|2134475297523139204</stp>
        <tr r="J55" s="3"/>
      </tp>
      <tp t="s">
        <v>#N/A N/A</v>
        <stp/>
        <stp>BDP|2758036016735322808</stp>
        <tr r="AL72" s="3"/>
      </tp>
      <tp t="s">
        <v>#N/A N/A</v>
        <stp/>
        <stp>BDP|3711860391095413950</stp>
        <tr r="BP73" s="3"/>
      </tp>
      <tp t="s">
        <v>#N/A N/A</v>
        <stp/>
        <stp>BDP|3327044287320077569</stp>
        <tr r="AM73" s="3"/>
      </tp>
      <tp t="s">
        <v>#N/A N/A</v>
        <stp/>
        <stp>BDP|4193270997111157067</stp>
        <tr r="L55" s="3"/>
      </tp>
      <tp t="s">
        <v>#N/A N/A</v>
        <stp/>
        <stp>BDP|5695355369029834764</stp>
        <tr r="AC60" s="3"/>
      </tp>
      <tp t="s">
        <v>#N/A N/A</v>
        <stp/>
        <stp>BDP|8508520956851110747</stp>
        <tr r="AU60" s="3"/>
      </tp>
      <tp t="s">
        <v>#N/A N/A</v>
        <stp/>
        <stp>BDP|9951002792929785787</stp>
        <tr r="CG69" s="3"/>
      </tp>
      <tp t="s">
        <v>#N/A N/A</v>
        <stp/>
        <stp>BDP|6002982420926410590</stp>
        <tr r="AV73" s="3"/>
      </tp>
      <tp t="s">
        <v>#N/A N/A</v>
        <stp/>
        <stp>BDP|4256734602998074563</stp>
        <tr r="BL56" s="3"/>
      </tp>
      <tp t="s">
        <v>#N/A N/A</v>
        <stp/>
        <stp>BDP|9325060541423602071</stp>
        <tr r="Y62" s="3"/>
      </tp>
      <tp t="s">
        <v>#N/A N/A</v>
        <stp/>
        <stp>BDP|5998356902530333973</stp>
        <tr r="AD76" s="3"/>
      </tp>
      <tp t="s">
        <v>#N/A N/A</v>
        <stp/>
        <stp>BDP|4569935549796546007</stp>
        <tr r="BJ66" s="3"/>
      </tp>
      <tp t="s">
        <v>#N/A N/A</v>
        <stp/>
        <stp>BDP|4428698895793540763</stp>
        <tr r="CB62" s="3"/>
      </tp>
      <tp t="s">
        <v>#N/A N/A</v>
        <stp/>
        <stp>BDP|1970963875758523841</stp>
        <tr r="CE63" s="3"/>
      </tp>
      <tp t="s">
        <v>#N/A N/A</v>
        <stp/>
        <stp>BDP|8738263628132378515</stp>
        <tr r="AW76" s="3"/>
      </tp>
      <tp t="s">
        <v>#N/A N/A</v>
        <stp/>
        <stp>BDP|8580410961642574787</stp>
        <tr r="BX64" s="3"/>
      </tp>
      <tp t="s">
        <v>#N/A N/A</v>
        <stp/>
        <stp>BDP|2910771408008663286</stp>
        <tr r="Q75" s="3"/>
      </tp>
      <tp t="s">
        <v>#N/A N/A</v>
        <stp/>
        <stp>BDP|9983776232414596611</stp>
        <tr r="BJ70" s="3"/>
      </tp>
      <tp t="s">
        <v>#N/A N/A</v>
        <stp/>
        <stp>BDP|1930189349378642373</stp>
        <tr r="H56" s="3"/>
      </tp>
      <tp t="s">
        <v>#N/A N/A</v>
        <stp/>
        <stp>BDP|6808427880000287566</stp>
        <tr r="CB59" s="3"/>
      </tp>
      <tp t="s">
        <v>#N/A N/A</v>
        <stp/>
        <stp>BDP|4931183995423980037</stp>
        <tr r="S57" s="3"/>
      </tp>
      <tp t="s">
        <v>#N/A N/A</v>
        <stp/>
        <stp>BDP|8456183633712411754</stp>
        <tr r="BU75" s="3"/>
      </tp>
      <tp t="s">
        <v>#N/A N/A</v>
        <stp/>
        <stp>BDP|8010731807010301088</stp>
        <tr r="CA55" s="3"/>
      </tp>
      <tp t="s">
        <v>#N/A N/A</v>
        <stp/>
        <stp>BDP|4058133517308091385</stp>
        <tr r="BL64" s="3"/>
      </tp>
      <tp t="s">
        <v>#N/A N/A</v>
        <stp/>
        <stp>BDP|7005419323578837668</stp>
        <tr r="CD74" s="3"/>
      </tp>
      <tp t="s">
        <v>#N/A N/A</v>
        <stp/>
        <stp>BDP|5492930100124937732</stp>
        <tr r="L69" s="3"/>
      </tp>
      <tp t="s">
        <v>#N/A N/A</v>
        <stp/>
        <stp>BDP|4243574099971809699</stp>
        <tr r="CI73" s="3"/>
      </tp>
      <tp t="s">
        <v>#N/A N/A</v>
        <stp/>
        <stp>BDP|4683752178188099366</stp>
        <tr r="AO76" s="3"/>
      </tp>
      <tp t="s">
        <v>#N/A N/A</v>
        <stp/>
        <stp>BDP|4061810063134484147</stp>
        <tr r="H75" s="3"/>
      </tp>
      <tp t="s">
        <v>#N/A N/A</v>
        <stp/>
        <stp>BDP|3118384239778134428</stp>
        <tr r="U65" s="3"/>
      </tp>
      <tp t="s">
        <v>#N/A N/A</v>
        <stp/>
        <stp>BDP|8568777291021411849</stp>
        <tr r="AU72" s="3"/>
      </tp>
      <tp t="s">
        <v>#N/A N/A</v>
        <stp/>
        <stp>BDP|8181505325640334042</stp>
        <tr r="AN62" s="3"/>
      </tp>
      <tp t="s">
        <v>#N/A N/A</v>
        <stp/>
        <stp>BDP|7064507548049908026</stp>
        <tr r="CI58" s="3"/>
      </tp>
      <tp t="s">
        <v>#N/A N/A</v>
        <stp/>
        <stp>BDP|2704679513432231817</stp>
        <tr r="AG68" s="3"/>
      </tp>
      <tp t="s">
        <v>#N/A N/A</v>
        <stp/>
        <stp>BDP|7253991719975538577</stp>
        <tr r="O73" s="3"/>
      </tp>
      <tp t="s">
        <v>#N/A N/A</v>
        <stp/>
        <stp>BDP|9623073431115798076</stp>
        <tr r="CA71" s="3"/>
      </tp>
      <tp t="s">
        <v>#N/A N/A</v>
        <stp/>
        <stp>BDP|6867540300489505593</stp>
        <tr r="BG72" s="3"/>
      </tp>
      <tp t="s">
        <v>#N/A N/A</v>
        <stp/>
        <stp>BDP|3151326791554601246</stp>
        <tr r="AG74" s="3"/>
      </tp>
      <tp t="s">
        <v>#N/A N/A</v>
        <stp/>
        <stp>BDP|9183954687102710548</stp>
        <tr r="CF66" s="3"/>
      </tp>
      <tp t="s">
        <v>#N/A N/A</v>
        <stp/>
        <stp>BDP|1697884868095490520</stp>
        <tr r="AS71" s="3"/>
      </tp>
      <tp t="s">
        <v>#N/A N/A</v>
        <stp/>
        <stp>BDP|7125858172800355753</stp>
        <tr r="CF69" s="3"/>
      </tp>
      <tp t="s">
        <v>#N/A N/A</v>
        <stp/>
        <stp>BDP|7799253520168660057</stp>
        <tr r="BT76" s="3"/>
      </tp>
      <tp t="s">
        <v>#N/A N/A</v>
        <stp/>
        <stp>BDP|2226865205207008208</stp>
        <tr r="K58" s="3"/>
      </tp>
      <tp t="s">
        <v>#N/A N/A</v>
        <stp/>
        <stp>BDP|7382065617351687859</stp>
        <tr r="AT68" s="3"/>
      </tp>
      <tp t="s">
        <v>#N/A N/A</v>
        <stp/>
        <stp>BDP|5748698199003150600</stp>
        <tr r="AZ62" s="3"/>
      </tp>
      <tp t="s">
        <v>#N/A N/A</v>
        <stp/>
        <stp>BDP|5081679710218563549</stp>
        <tr r="BB76" s="3"/>
      </tp>
      <tp t="s">
        <v>#N/A N/A</v>
        <stp/>
        <stp>BDP|8141116946060110212</stp>
        <tr r="AJ67" s="3"/>
      </tp>
      <tp t="s">
        <v>#N/A N/A</v>
        <stp/>
        <stp>BDP|9047245209281933524</stp>
        <tr r="CE71" s="3"/>
      </tp>
      <tp t="s">
        <v>#N/A N/A</v>
        <stp/>
        <stp>BDP|9313943988845804204</stp>
        <tr r="I73" s="3"/>
      </tp>
      <tp t="s">
        <v>#N/A N/A</v>
        <stp/>
        <stp>BDP|7045937667354301301</stp>
        <tr r="CG58" s="3"/>
      </tp>
      <tp t="s">
        <v>#N/A N/A</v>
        <stp/>
        <stp>BDP|3646504532408708245</stp>
        <tr r="P72" s="3"/>
      </tp>
      <tp t="s">
        <v>#N/A N/A</v>
        <stp/>
        <stp>BDP|5945116232789753198</stp>
        <tr r="K76" s="3"/>
      </tp>
      <tp t="s">
        <v>#N/A N/A</v>
        <stp/>
        <stp>BDP|9397417050315204246</stp>
        <tr r="AH70" s="3"/>
      </tp>
      <tp t="s">
        <v>#N/A N/A</v>
        <stp/>
        <stp>BDP|4344855830683633346</stp>
        <tr r="J57" s="3"/>
      </tp>
      <tp t="s">
        <v>#N/A N/A</v>
        <stp/>
        <stp>BDP|6294564592177215208</stp>
        <tr r="BM75" s="3"/>
      </tp>
      <tp t="s">
        <v>#N/A N/A</v>
        <stp/>
        <stp>BDP|1258634695671488049</stp>
        <tr r="V75" s="3"/>
      </tp>
      <tp t="s">
        <v>#N/A N/A</v>
        <stp/>
        <stp>BDP|4133870450042628447</stp>
        <tr r="I56" s="3"/>
      </tp>
      <tp t="s">
        <v>#N/A N/A</v>
        <stp/>
        <stp>BDP|8127030007015280226</stp>
        <tr r="AP57" s="3"/>
      </tp>
      <tp t="s">
        <v>#N/A N/A</v>
        <stp/>
        <stp>BDP|8233832404911961967</stp>
        <tr r="BS59" s="3"/>
      </tp>
      <tp t="s">
        <v>#N/A N/A</v>
        <stp/>
        <stp>BDP|2905061103842460822</stp>
        <tr r="BT56" s="3"/>
      </tp>
      <tp t="s">
        <v>#N/A N/A</v>
        <stp/>
        <stp>BDP|9756076235966642492</stp>
        <tr r="CK69" s="3"/>
      </tp>
      <tp t="s">
        <v>#N/A N/A</v>
        <stp/>
        <stp>BDP|4461453327133419987</stp>
        <tr r="K63" s="3"/>
      </tp>
      <tp t="s">
        <v>#N/A N/A</v>
        <stp/>
        <stp>BDP|4012215962001831913</stp>
        <tr r="BK65" s="3"/>
      </tp>
      <tp t="s">
        <v>#N/A N/A</v>
        <stp/>
        <stp>BDP|2925037156057690810</stp>
        <tr r="BG67" s="3"/>
      </tp>
      <tp t="s">
        <v>#N/A N/A</v>
        <stp/>
        <stp>BDP|4194780242356392902</stp>
        <tr r="AK69" s="3"/>
      </tp>
      <tp t="s">
        <v>#N/A N/A</v>
        <stp/>
        <stp>BDP|5409786425980154811</stp>
        <tr r="CG62" s="3"/>
      </tp>
      <tp t="s">
        <v>#N/A N/A</v>
        <stp/>
        <stp>BDP|1886768200608363642</stp>
        <tr r="BQ71" s="3"/>
      </tp>
      <tp t="s">
        <v>#N/A N/A</v>
        <stp/>
        <stp>BDP|6567971720101493485</stp>
        <tr r="CK55" s="3"/>
      </tp>
      <tp t="s">
        <v>#N/A N/A</v>
        <stp/>
        <stp>BDP|6461435868894938888</stp>
        <tr r="AZ69" s="3"/>
      </tp>
      <tp t="s">
        <v>#N/A N/A</v>
        <stp/>
        <stp>BDP|8673242480208528296</stp>
        <tr r="P69" s="3"/>
      </tp>
      <tp t="s">
        <v>#N/A N/A</v>
        <stp/>
        <stp>BDP|1928287427460109995</stp>
        <tr r="CH65" s="3"/>
      </tp>
      <tp t="s">
        <v>#N/A N/A</v>
        <stp/>
        <stp>BDP|9962093419801238143</stp>
        <tr r="BP69" s="3"/>
      </tp>
      <tp t="s">
        <v>#N/A N/A</v>
        <stp/>
        <stp>BDP|9719275053487498189</stp>
        <tr r="BA76" s="3"/>
      </tp>
      <tp t="s">
        <v>#N/A N/A</v>
        <stp/>
        <stp>BDP|8893148537113622124</stp>
        <tr r="N55" s="3"/>
      </tp>
      <tp t="s">
        <v>#N/A N/A</v>
        <stp/>
        <stp>BDP|2485359988228437918</stp>
        <tr r="BF69" s="3"/>
      </tp>
      <tp t="s">
        <v>#N/A N/A</v>
        <stp/>
        <stp>BDP|5836140521948939689</stp>
        <tr r="BQ75" s="3"/>
      </tp>
      <tp t="s">
        <v>#N/A N/A</v>
        <stp/>
        <stp>BDP|5865932202193271771</stp>
        <tr r="BC66" s="3"/>
      </tp>
      <tp t="s">
        <v>#N/A N/A</v>
        <stp/>
        <stp>BDP|7054997205135757373</stp>
        <tr r="BU71" s="3"/>
      </tp>
      <tp t="s">
        <v>#N/A N/A</v>
        <stp/>
        <stp>BDP|7425601553239919524</stp>
        <tr r="BG75" s="3"/>
      </tp>
      <tp t="s">
        <v>#N/A N/A</v>
        <stp/>
        <stp>BDP|1417289702563064833</stp>
        <tr r="AK63" s="3"/>
      </tp>
      <tp t="s">
        <v>#N/A N/A</v>
        <stp/>
        <stp>BDP|4387324624418683519</stp>
        <tr r="AI55" s="3"/>
      </tp>
      <tp t="s">
        <v>#N/A N/A</v>
        <stp/>
        <stp>BDP|3638255092512221214</stp>
        <tr r="BC56" s="3"/>
      </tp>
      <tp t="s">
        <v>#N/A N/A</v>
        <stp/>
        <stp>BDP|9240083276764686290</stp>
        <tr r="O70" s="3"/>
      </tp>
      <tp t="s">
        <v>#N/A N/A</v>
        <stp/>
        <stp>BDP|8194869283554402439</stp>
        <tr r="S58" s="3"/>
      </tp>
      <tp t="s">
        <v>#N/A N/A</v>
        <stp/>
        <stp>BDP|3296811772574493064</stp>
        <tr r="CD57" s="3"/>
      </tp>
      <tp t="s">
        <v>#N/A N/A</v>
        <stp/>
        <stp>BDP|9228425826110500706</stp>
        <tr r="AP75" s="3"/>
      </tp>
      <tp t="s">
        <v>#N/A N/A</v>
        <stp/>
        <stp>BDP|1214814586240461922</stp>
        <tr r="AB59" s="3"/>
      </tp>
      <tp t="s">
        <v>#N/A N/A</v>
        <stp/>
        <stp>BDP|1010152344504673843</stp>
        <tr r="AZ73" s="3"/>
      </tp>
      <tp t="s">
        <v>#N/A N/A</v>
        <stp/>
        <stp>BDP|4072170787952138728</stp>
        <tr r="AJ76" s="3"/>
      </tp>
      <tp t="s">
        <v>#N/A N/A</v>
        <stp/>
        <stp>BDP|4562270046513405937</stp>
        <tr r="AB70" s="3"/>
      </tp>
      <tp t="s">
        <v>#N/A N/A</v>
        <stp/>
        <stp>BDP|3402087550678535696</stp>
        <tr r="AK55" s="3"/>
      </tp>
      <tp t="s">
        <v>#N/A N/A</v>
        <stp/>
        <stp>BDP|5795288354903922932</stp>
        <tr r="M70" s="3"/>
      </tp>
      <tp t="s">
        <v>#N/A N/A</v>
        <stp/>
        <stp>BDP|4723665493295203619</stp>
        <tr r="BN76" s="3"/>
      </tp>
      <tp t="s">
        <v>#N/A N/A</v>
        <stp/>
        <stp>BDP|3562759870719288230</stp>
        <tr r="S73" s="3"/>
      </tp>
      <tp t="s">
        <v>#N/A N/A</v>
        <stp/>
        <stp>BDP|4959387212688791658</stp>
        <tr r="BE65" s="3"/>
      </tp>
      <tp t="s">
        <v>#N/A N/A</v>
        <stp/>
        <stp>BDP|1572712146962703837</stp>
        <tr r="F55" s="3"/>
      </tp>
      <tp t="s">
        <v>#N/A N/A</v>
        <stp/>
        <stp>BDP|2039433821998361474</stp>
        <tr r="CK56" s="3"/>
      </tp>
      <tp t="s">
        <v>#N/A N/A</v>
        <stp/>
        <stp>BDP|2595641778908824379</stp>
        <tr r="BS62" s="3"/>
      </tp>
      <tp t="s">
        <v>#N/A N/A</v>
        <stp/>
        <stp>BDP|5808699897371918397</stp>
        <tr r="BR72" s="3"/>
      </tp>
      <tp t="s">
        <v>#N/A N/A</v>
        <stp/>
        <stp>BDP|1025518337998503750</stp>
        <tr r="P73" s="3"/>
      </tp>
      <tp t="s">
        <v>#N/A N/A</v>
        <stp/>
        <stp>BDP|8047179251621727568</stp>
        <tr r="BL60" s="3"/>
      </tp>
      <tp t="s">
        <v>#N/A N/A</v>
        <stp/>
        <stp>BDP|2155838507473495163</stp>
        <tr r="AD62" s="3"/>
      </tp>
      <tp t="s">
        <v>#N/A N/A</v>
        <stp/>
        <stp>BDP|6595858838996860379</stp>
        <tr r="K57" s="3"/>
      </tp>
      <tp t="s">
        <v>#N/A N/A</v>
        <stp/>
        <stp>BDP|5984456592338864827</stp>
        <tr r="AF70" s="3"/>
      </tp>
      <tp t="s">
        <v>#N/A N/A</v>
        <stp/>
        <stp>BDP|8976698595539779662</stp>
        <tr r="BR71" s="3"/>
      </tp>
      <tp t="s">
        <v>#N/A N/A</v>
        <stp/>
        <stp>BDP|8523369773184439009</stp>
        <tr r="CI64" s="3"/>
      </tp>
      <tp t="s">
        <v>#N/A N/A</v>
        <stp/>
        <stp>BDP|7152233982445483008</stp>
        <tr r="CE72" s="3"/>
      </tp>
      <tp t="s">
        <v>#N/A N/A</v>
        <stp/>
        <stp>BDP|5134925227093222526</stp>
        <tr r="M64" s="3"/>
      </tp>
      <tp t="s">
        <v>#N/A N/A</v>
        <stp/>
        <stp>BDP|8715531277377031577</stp>
        <tr r="O60" s="3"/>
      </tp>
      <tp t="s">
        <v>#N/A N/A</v>
        <stp/>
        <stp>BDP|6523634007721399971</stp>
        <tr r="CJ71" s="3"/>
      </tp>
      <tp t="s">
        <v>#N/A N/A</v>
        <stp/>
        <stp>BDP|7801725694367269693</stp>
        <tr r="BV62" s="3"/>
      </tp>
      <tp t="s">
        <v>#N/A N/A</v>
        <stp/>
        <stp>BDP|2427485037435417955</stp>
        <tr r="Y60" s="3"/>
      </tp>
      <tp t="s">
        <v>#N/A N/A</v>
        <stp/>
        <stp>BDP|8736545409011584543</stp>
        <tr r="AH68" s="3"/>
      </tp>
      <tp t="s">
        <v>#N/A N/A</v>
        <stp/>
        <stp>BDP|2265816548742284522</stp>
        <tr r="BW56" s="3"/>
      </tp>
      <tp t="s">
        <v>#N/A N/A</v>
        <stp/>
        <stp>BDP|7585945857715826756</stp>
        <tr r="AP67" s="3"/>
      </tp>
      <tp t="s">
        <v>#N/A N/A</v>
        <stp/>
        <stp>BDP|4942872670542505002</stp>
        <tr r="AO55" s="3"/>
      </tp>
      <tp t="s">
        <v>#N/A N/A</v>
        <stp/>
        <stp>BDP|8917655237661762575</stp>
        <tr r="CG55" s="3"/>
      </tp>
      <tp t="s">
        <v>#N/A N/A</v>
        <stp/>
        <stp>BDP|9800618444110562239</stp>
        <tr r="O71" s="3"/>
      </tp>
      <tp t="s">
        <v>#N/A N/A</v>
        <stp/>
        <stp>BDP|8064388953686631152</stp>
        <tr r="AS67" s="3"/>
      </tp>
      <tp t="s">
        <v>#N/A N/A</v>
        <stp/>
        <stp>BDP|1929986333287981536</stp>
        <tr r="J72" s="3"/>
      </tp>
      <tp t="s">
        <v>#N/A N/A</v>
        <stp/>
        <stp>BDP|5319171566978252395</stp>
        <tr r="BA74" s="3"/>
      </tp>
      <tp t="s">
        <v>#N/A N/A</v>
        <stp/>
        <stp>BDP|7595592877198623440</stp>
        <tr r="BE70" s="3"/>
      </tp>
      <tp t="s">
        <v>#N/A N/A</v>
        <stp/>
        <stp>BDP|4000687712693427978</stp>
        <tr r="AX64" s="3"/>
      </tp>
      <tp t="s">
        <v>#N/A N/A</v>
        <stp/>
        <stp>BDP|7463420845849814723</stp>
        <tr r="W67" s="3"/>
      </tp>
      <tp t="s">
        <v>#N/A N/A</v>
        <stp/>
        <stp>BDP|9789873490706963705</stp>
        <tr r="I69" s="3"/>
      </tp>
      <tp t="s">
        <v>#N/A N/A</v>
        <stp/>
        <stp>BDP|3035365556808162489</stp>
        <tr r="K69" s="3"/>
      </tp>
      <tp t="s">
        <v>#N/A N/A</v>
        <stp/>
        <stp>BDP|8643525218342061750</stp>
        <tr r="CD68" s="3"/>
      </tp>
      <tp t="s">
        <v>#N/A N/A</v>
        <stp/>
        <stp>BDP|5069534487983309290</stp>
        <tr r="BQ60" s="3"/>
      </tp>
      <tp t="s">
        <v>#N/A N/A</v>
        <stp/>
        <stp>BDP|5295025808074574831</stp>
        <tr r="AU58" s="3"/>
      </tp>
      <tp t="s">
        <v>#N/A N/A</v>
        <stp/>
        <stp>BDP|4378846166853820060</stp>
        <tr r="R75" s="3"/>
      </tp>
      <tp t="s">
        <v>#N/A N/A</v>
        <stp/>
        <stp>BDP|6386543094264435780</stp>
        <tr r="BY70" s="3"/>
      </tp>
      <tp t="s">
        <v>#N/A N/A</v>
        <stp/>
        <stp>BDP|2333179298323084030</stp>
        <tr r="BO65" s="3"/>
      </tp>
      <tp t="s">
        <v>#N/A N/A</v>
        <stp/>
        <stp>BDP|5246810216067249282</stp>
        <tr r="BH69" s="3"/>
      </tp>
      <tp t="s">
        <v>#N/A N/A</v>
        <stp/>
        <stp>BDP|8557102412825884403</stp>
        <tr r="AA58" s="3"/>
      </tp>
      <tp t="s">
        <v>#N/A N/A</v>
        <stp/>
        <stp>BDP|7230394321879596600</stp>
        <tr r="L75" s="3"/>
      </tp>
      <tp t="s">
        <v>#N/A N/A</v>
        <stp/>
        <stp>BDP|6926630283234403514</stp>
        <tr r="AH69" s="3"/>
      </tp>
      <tp t="s">
        <v>#N/A N/A</v>
        <stp/>
        <stp>BDP|1837535439068766694</stp>
        <tr r="AP72" s="3"/>
      </tp>
      <tp t="s">
        <v>#N/A N/A</v>
        <stp/>
        <stp>BDP|4357787193771218263</stp>
        <tr r="AE64" s="3"/>
      </tp>
      <tp t="s">
        <v>#N/A N/A</v>
        <stp/>
        <stp>BDP|1345554820708208796</stp>
        <tr r="Q63" s="3"/>
      </tp>
      <tp t="s">
        <v>#N/A N/A</v>
        <stp/>
        <stp>BDP|1067041044699513580</stp>
        <tr r="BM60" s="3"/>
      </tp>
      <tp t="s">
        <v>#N/A N/A</v>
        <stp/>
        <stp>BDP|6002082068188824153</stp>
        <tr r="AC71" s="3"/>
      </tp>
      <tp t="s">
        <v>#N/A N/A</v>
        <stp/>
        <stp>BDP|6933385543291774981</stp>
        <tr r="AG64" s="3"/>
      </tp>
      <tp t="s">
        <v>#N/A N/A</v>
        <stp/>
        <stp>BDP|4546235558233170921</stp>
        <tr r="S62" s="3"/>
      </tp>
      <tp t="s">
        <v>#N/A N/A</v>
        <stp/>
        <stp>BDP|1841305063434880915</stp>
        <tr r="BG76" s="3"/>
      </tp>
      <tp t="s">
        <v>#N/A N/A</v>
        <stp/>
        <stp>BDP|9665618635444978190</stp>
        <tr r="AX60" s="3"/>
      </tp>
      <tp t="s">
        <v>#N/A N/A</v>
        <stp/>
        <stp>BDP|2231348729762437893</stp>
        <tr r="AL76" s="3"/>
      </tp>
      <tp t="s">
        <v>#N/A N/A</v>
        <stp/>
        <stp>BDP|1300541118145948947</stp>
        <tr r="BM73" s="3"/>
      </tp>
      <tp t="s">
        <v>#N/A N/A</v>
        <stp/>
        <stp>BDP|4845730556356828976</stp>
        <tr r="W58" s="3"/>
      </tp>
      <tp t="s">
        <v>#N/A N/A</v>
        <stp/>
        <stp>BDP|1657424082845667128</stp>
        <tr r="CA60" s="3"/>
      </tp>
      <tp t="s">
        <v>#N/A N/A</v>
        <stp/>
        <stp>BDP|8626301588592426899</stp>
        <tr r="AZ70" s="3"/>
      </tp>
      <tp t="s">
        <v>#N/A N/A</v>
        <stp/>
        <stp>BDP|8740865410988044021</stp>
        <tr r="BK75" s="3"/>
      </tp>
      <tp t="s">
        <v>#N/A N/A</v>
        <stp/>
        <stp>BDP|7473110053829441322</stp>
        <tr r="BF66" s="3"/>
      </tp>
      <tp t="s">
        <v>#N/A N/A</v>
        <stp/>
        <stp>BDP|8652702945901345302</stp>
        <tr r="BR62" s="3"/>
      </tp>
      <tp t="s">
        <v>#N/A N/A</v>
        <stp/>
        <stp>BDP|2069875751865082368</stp>
        <tr r="AX73" s="3"/>
      </tp>
      <tp t="s">
        <v>#N/A N/A</v>
        <stp/>
        <stp>BDP|6858489980270877388</stp>
        <tr r="L64" s="3"/>
      </tp>
      <tp t="s">
        <v>#N/A N/A</v>
        <stp/>
        <stp>BDP|8112388772036304392</stp>
        <tr r="BH62" s="3"/>
      </tp>
      <tp t="s">
        <v>#N/A N/A</v>
        <stp/>
        <stp>BDP|4922478903329820040</stp>
        <tr r="CC71" s="3"/>
      </tp>
      <tp t="s">
        <v>#N/A N/A</v>
        <stp/>
        <stp>BDP|1245149562727402814</stp>
        <tr r="Q69" s="3"/>
      </tp>
      <tp t="s">
        <v>#N/A N/A</v>
        <stp/>
        <stp>BDP|9256556432604513216</stp>
        <tr r="BW59" s="3"/>
      </tp>
      <tp t="s">
        <v>#N/A N/A</v>
        <stp/>
        <stp>BDP|8961642037240355485</stp>
        <tr r="I67" s="3"/>
      </tp>
      <tp t="s">
        <v>#N/A N/A</v>
        <stp/>
        <stp>BDP|8395745144461502308</stp>
        <tr r="I71" s="3"/>
      </tp>
      <tp t="s">
        <v>#N/A N/A</v>
        <stp/>
        <stp>BDP|5387643993731174238</stp>
        <tr r="R74" s="3"/>
      </tp>
      <tp t="s">
        <v>#N/A N/A</v>
        <stp/>
        <stp>BDP|2599815431515099532</stp>
        <tr r="Z62" s="3"/>
      </tp>
      <tp t="s">
        <v>#N/A N/A</v>
        <stp/>
        <stp>BDP|3311149314413428919</stp>
        <tr r="BJ76" s="3"/>
      </tp>
      <tp t="s">
        <v>#N/A N/A</v>
        <stp/>
        <stp>BDP|3098240383138316830</stp>
        <tr r="BZ62" s="3"/>
      </tp>
      <tp t="s">
        <v>#N/A N/A</v>
        <stp/>
        <stp>BDP|9708839395336229745</stp>
        <tr r="BI76" s="3"/>
      </tp>
      <tp t="s">
        <v>#N/A N/A</v>
        <stp/>
        <stp>BDP|7675036052042765979</stp>
        <tr r="J60" s="3"/>
      </tp>
      <tp t="s">
        <v>#N/A N/A</v>
        <stp/>
        <stp>BDP|4165128436279255609</stp>
        <tr r="BX66" s="3"/>
      </tp>
      <tp t="s">
        <v>#N/A N/A</v>
        <stp/>
        <stp>BDP|8771327513573410051</stp>
        <tr r="I63" s="3"/>
      </tp>
      <tp t="s">
        <v>#N/A N/A</v>
        <stp/>
        <stp>BDP|7825145998336481079</stp>
        <tr r="AM66" s="3"/>
      </tp>
      <tp t="s">
        <v>#N/A N/A</v>
        <stp/>
        <stp>BDP|1915398321898309168</stp>
        <tr r="CG72" s="3"/>
      </tp>
      <tp t="s">
        <v>#N/A N/A</v>
        <stp/>
        <stp>BDP|5040148011074156801</stp>
        <tr r="AG73" s="3"/>
      </tp>
      <tp t="s">
        <v>#N/A N/A</v>
        <stp/>
        <stp>BDP|1171918786659629043</stp>
        <tr r="AD69" s="3"/>
      </tp>
      <tp t="s">
        <v>#N/A N/A</v>
        <stp/>
        <stp>BDP|9504003437787480423</stp>
        <tr r="BD58" s="3"/>
      </tp>
      <tp t="s">
        <v>#N/A N/A</v>
        <stp/>
        <stp>BDP|9346938785872619374</stp>
        <tr r="AP70" s="3"/>
      </tp>
      <tp t="s">
        <v>#N/A N/A</v>
        <stp/>
        <stp>BDP|6560566880082479036</stp>
        <tr r="AC72" s="3"/>
      </tp>
      <tp t="s">
        <v>#N/A N/A</v>
        <stp/>
        <stp>BDP|5509185288590819592</stp>
        <tr r="BP67" s="3"/>
      </tp>
      <tp t="s">
        <v>#N/A N/A</v>
        <stp/>
        <stp>BDP|8551380028685611575</stp>
        <tr r="X72" s="3"/>
      </tp>
      <tp t="s">
        <v>#N/A N/A</v>
        <stp/>
        <stp>BDP|6674859467360891190</stp>
        <tr r="BV76" s="3"/>
      </tp>
      <tp t="s">
        <v>#N/A N/A</v>
        <stp/>
        <stp>BDP|4284364516916651917</stp>
        <tr r="BD55" s="3"/>
      </tp>
      <tp t="s">
        <v>#N/A N/A</v>
        <stp/>
        <stp>BDP|8166259987719046193</stp>
        <tr r="Q57" s="3"/>
      </tp>
      <tp t="s">
        <v>#N/A N/A</v>
        <stp/>
        <stp>BDP|6040953756629198989</stp>
        <tr r="CA76" s="3"/>
      </tp>
      <tp t="s">
        <v>#N/A N/A</v>
        <stp/>
        <stp>BDP|1970238224803009851</stp>
        <tr r="Y58" s="3"/>
      </tp>
      <tp t="s">
        <v>#N/A N/A</v>
        <stp/>
        <stp>BDP|6500308159199749336</stp>
        <tr r="AX56" s="3"/>
      </tp>
      <tp t="s">
        <v>#N/A N/A</v>
        <stp/>
        <stp>BDP|2678274519473833881</stp>
        <tr r="AV55" s="3"/>
      </tp>
      <tp t="s">
        <v>#N/A N/A</v>
        <stp/>
        <stp>BDP|6311587357218188459</stp>
        <tr r="AQ74" s="3"/>
      </tp>
      <tp t="s">
        <v>#N/A N/A</v>
        <stp/>
        <stp>BDP|8953112553376480065</stp>
        <tr r="BD76" s="3"/>
      </tp>
      <tp t="s">
        <v>#N/A N/A</v>
        <stp/>
        <stp>BDP|2253150292972450284</stp>
        <tr r="BM65" s="3"/>
      </tp>
      <tp t="s">
        <v>#N/A N/A</v>
        <stp/>
        <stp>BDP|3647683791930194679</stp>
        <tr r="L65" s="3"/>
      </tp>
      <tp t="s">
        <v>#N/A N/A</v>
        <stp/>
        <stp>BDP|2399904408901614046</stp>
        <tr r="BD64" s="3"/>
      </tp>
      <tp t="s">
        <v>#N/A N/A</v>
        <stp/>
        <stp>BDP|3907791394226969147</stp>
        <tr r="BQ58" s="3"/>
      </tp>
      <tp t="s">
        <v>#N/A N/A</v>
        <stp/>
        <stp>BDP|5997757529948574296</stp>
        <tr r="BE55" s="3"/>
      </tp>
      <tp t="s">
        <v>#N/A N/A</v>
        <stp/>
        <stp>BDP|2525015798832044320</stp>
        <tr r="AY66" s="3"/>
      </tp>
      <tp t="s">
        <v>#N/A N/A</v>
        <stp/>
        <stp>BDP|8974617018334689180</stp>
        <tr r="AX65" s="3"/>
      </tp>
      <tp t="s">
        <v>#N/A N/A</v>
        <stp/>
        <stp>BDP|1580417489544027335</stp>
        <tr r="AK70" s="3"/>
      </tp>
      <tp t="s">
        <v>#N/A N/A</v>
        <stp/>
        <stp>BDP|8861422236171368408</stp>
        <tr r="BN70" s="3"/>
      </tp>
      <tp t="s">
        <v>#N/A N/A</v>
        <stp/>
        <stp>BDP|2861816401576154661</stp>
        <tr r="V57" s="3"/>
      </tp>
      <tp t="s">
        <v>#N/A N/A</v>
        <stp/>
        <stp>BDP|8888062346370186661</stp>
        <tr r="CG57" s="3"/>
      </tp>
      <tp t="s">
        <v>#N/A N/A</v>
        <stp/>
        <stp>BDP|7773612857808882663</stp>
        <tr r="CF55" s="3"/>
      </tp>
      <tp t="s">
        <v>#N/A N/A</v>
        <stp/>
        <stp>BDP|2946620561950677808</stp>
        <tr r="CA70" s="3"/>
      </tp>
      <tp t="s">
        <v>#N/A N/A</v>
        <stp/>
        <stp>BDP|8520425818534597372</stp>
        <tr r="BE74" s="3"/>
      </tp>
      <tp t="s">
        <v>#N/A N/A</v>
        <stp/>
        <stp>BDP|1605461988670485716</stp>
        <tr r="AN56" s="3"/>
      </tp>
      <tp t="s">
        <v>#N/A N/A</v>
        <stp/>
        <stp>BDP|3637853670083914573</stp>
        <tr r="BG64" s="3"/>
      </tp>
      <tp t="s">
        <v>#N/A N/A</v>
        <stp/>
        <stp>BDP|8107030370787292226</stp>
        <tr r="T63" s="3"/>
      </tp>
      <tp t="s">
        <v>#N/A N/A</v>
        <stp/>
        <stp>BDP|9469601806303383636</stp>
        <tr r="CD60" s="3"/>
      </tp>
      <tp t="s">
        <v>#N/A N/A</v>
        <stp/>
        <stp>BDP|2299576641538081162</stp>
        <tr r="CH62" s="3"/>
      </tp>
      <tp t="s">
        <v>#N/A N/A</v>
        <stp/>
        <stp>BDP|3603317139751953857</stp>
        <tr r="BD68" s="3"/>
      </tp>
      <tp t="s">
        <v>#N/A N/A</v>
        <stp/>
        <stp>BDP|4590537572934203843</stp>
        <tr r="AQ71" s="3"/>
      </tp>
      <tp t="s">
        <v>#N/A N/A</v>
        <stp/>
        <stp>BDP|5941896044277742412</stp>
        <tr r="M69" s="3"/>
      </tp>
      <tp t="s">
        <v>#N/A N/A</v>
        <stp/>
        <stp>BDP|1698933980622747815</stp>
        <tr r="BM62" s="3"/>
      </tp>
      <tp t="s">
        <v>#N/A N/A</v>
        <stp/>
        <stp>BDP|5317612356125370946</stp>
        <tr r="AL67" s="3"/>
      </tp>
      <tp t="s">
        <v>#N/A N/A</v>
        <stp/>
        <stp>BDP|4667193933999428583</stp>
        <tr r="BO64" s="3"/>
      </tp>
      <tp t="s">
        <v>#N/A N/A</v>
        <stp/>
        <stp>BDP|2058825034542403127</stp>
        <tr r="BT68" s="3"/>
      </tp>
      <tp t="s">
        <v>#N/A N/A</v>
        <stp/>
        <stp>BDP|1954754459729541007</stp>
        <tr r="AD67" s="3"/>
      </tp>
      <tp t="s">
        <v>#N/A N/A</v>
        <stp/>
        <stp>BDP|2680706494110642656</stp>
        <tr r="BN68" s="3"/>
      </tp>
      <tp t="s">
        <v>#N/A N/A</v>
        <stp/>
        <stp>BDP|8119516380868133700</stp>
        <tr r="CE70" s="3"/>
      </tp>
      <tp t="s">
        <v>#N/A N/A</v>
        <stp/>
        <stp>BDP|1634774326787650905</stp>
        <tr r="CD73" s="3"/>
      </tp>
      <tp t="s">
        <v>#N/A N/A</v>
        <stp/>
        <stp>BDP|1418457309478928702</stp>
        <tr r="AA59" s="3"/>
      </tp>
      <tp t="s">
        <v>#N/A N/A</v>
        <stp/>
        <stp>BDP|3437108025732339846</stp>
        <tr r="AS66" s="3"/>
      </tp>
      <tp t="s">
        <v>#N/A N/A</v>
        <stp/>
        <stp>BDP|7921213692151884744</stp>
        <tr r="BG56" s="3"/>
      </tp>
      <tp t="s">
        <v>#N/A N/A</v>
        <stp/>
        <stp>BDP|9561643362680197346</stp>
        <tr r="CG70" s="3"/>
      </tp>
      <tp t="s">
        <v>#N/A N/A</v>
        <stp/>
        <stp>BDP|5107965607786345057</stp>
        <tr r="CJ70" s="3"/>
      </tp>
      <tp t="s">
        <v>#N/A N/A</v>
        <stp/>
        <stp>BDP|2859164258618548453</stp>
        <tr r="AS59" s="3"/>
      </tp>
      <tp t="s">
        <v>#N/A N/A</v>
        <stp/>
        <stp>BDP|4013552490185105721</stp>
        <tr r="AB74" s="3"/>
      </tp>
      <tp t="s">
        <v>#N/A N/A</v>
        <stp/>
        <stp>BDP|8923205015402802326</stp>
        <tr r="BG70" s="3"/>
      </tp>
      <tp t="s">
        <v>#N/A N/A</v>
        <stp/>
        <stp>BDP|9715919316663035878</stp>
        <tr r="AM62" s="3"/>
      </tp>
      <tp t="s">
        <v>#N/A N/A</v>
        <stp/>
        <stp>BDP|9921587547610016216</stp>
        <tr r="S55" s="3"/>
      </tp>
      <tp t="s">
        <v>#N/A N/A</v>
        <stp/>
        <stp>BDP|5905690520868435302</stp>
        <tr r="BA70" s="3"/>
      </tp>
      <tp t="s">
        <v>#N/A N/A</v>
        <stp/>
        <stp>BDP|5293370223099687742</stp>
        <tr r="AI60" s="3"/>
      </tp>
      <tp t="s">
        <v>#N/A N/A</v>
        <stp/>
        <stp>BDP|3537478977079370335</stp>
        <tr r="O58" s="3"/>
      </tp>
      <tp t="s">
        <v>#N/A N/A</v>
        <stp/>
        <stp>BDP|1612152947779454754</stp>
        <tr r="BG57" s="3"/>
      </tp>
      <tp t="s">
        <v>#N/A N/A</v>
        <stp/>
        <stp>BDP|2688236825948524002</stp>
        <tr r="Z75" s="3"/>
      </tp>
      <tp t="s">
        <v>#N/A N/A</v>
        <stp/>
        <stp>BDP|3357881265423380576</stp>
        <tr r="BT55" s="3"/>
      </tp>
      <tp t="s">
        <v>#N/A N/A</v>
        <stp/>
        <stp>BDP|2012870514801185185</stp>
        <tr r="U55" s="3"/>
      </tp>
      <tp t="s">
        <v>#N/A N/A</v>
        <stp/>
        <stp>BDP|8625284034830851291</stp>
        <tr r="BA58" s="3"/>
      </tp>
      <tp t="s">
        <v>#N/A N/A</v>
        <stp/>
        <stp>BDP|5566762182203372292</stp>
        <tr r="AT58" s="3"/>
      </tp>
      <tp t="s">
        <v>#N/A N/A</v>
        <stp/>
        <stp>BDP|8612496695418002615</stp>
        <tr r="BX75" s="3"/>
      </tp>
      <tp t="s">
        <v>#N/A N/A</v>
        <stp/>
        <stp>BDP|8870291802029364882</stp>
        <tr r="G69" s="3"/>
      </tp>
      <tp t="s">
        <v>#N/A N/A</v>
        <stp/>
        <stp>BDP|2785203562094892955</stp>
        <tr r="BH70" s="3"/>
      </tp>
      <tp t="s">
        <v>#N/A N/A</v>
        <stp/>
        <stp>BDP|1371289781660095038</stp>
        <tr r="AZ60" s="3"/>
      </tp>
      <tp t="s">
        <v>#N/A N/A</v>
        <stp/>
        <stp>BDP|2827341984604243638</stp>
        <tr r="H72" s="3"/>
      </tp>
      <tp t="s">
        <v>#N/A N/A</v>
        <stp/>
        <stp>BDP|8857600209966917311</stp>
        <tr r="CJ55" s="3"/>
      </tp>
      <tp t="s">
        <v>#N/A N/A</v>
        <stp/>
        <stp>BDP|2576052318660465851</stp>
        <tr r="AU71" s="3"/>
      </tp>
      <tp t="s">
        <v>#N/A N/A</v>
        <stp/>
        <stp>BDP|2034650463218741183</stp>
        <tr r="AB58" s="3"/>
      </tp>
      <tp t="s">
        <v>#N/A N/A</v>
        <stp/>
        <stp>BDP|9210141336863672386</stp>
        <tr r="AQ56" s="3"/>
      </tp>
      <tp t="s">
        <v>#N/A N/A</v>
        <stp/>
        <stp>BDP|2766385873985537876</stp>
        <tr r="AH64" s="3"/>
      </tp>
      <tp t="s">
        <v>#N/A N/A</v>
        <stp/>
        <stp>BDP|6371224763050521990</stp>
        <tr r="CI74" s="3"/>
      </tp>
      <tp t="s">
        <v>#N/A N/A</v>
        <stp/>
        <stp>BDP|1071172822618288198</stp>
        <tr r="AR73" s="3"/>
      </tp>
      <tp t="s">
        <v>#N/A N/A</v>
        <stp/>
        <stp>BDP|2766894442131472461</stp>
        <tr r="BX73" s="3"/>
      </tp>
      <tp t="s">
        <v>#N/A N/A</v>
        <stp/>
        <stp>BDP|4827132520784721838</stp>
        <tr r="AZ65" s="3"/>
      </tp>
      <tp t="s">
        <v>#N/A N/A</v>
        <stp/>
        <stp>BDP|9503145062141815445</stp>
        <tr r="BK71" s="3"/>
      </tp>
      <tp t="s">
        <v>#N/A N/A</v>
        <stp/>
        <stp>BDP|9578013959607300011</stp>
        <tr r="BA56" s="3"/>
      </tp>
      <tp t="s">
        <v>#N/A N/A</v>
        <stp/>
        <stp>BDP|4101254644539618097</stp>
        <tr r="AY75" s="3"/>
      </tp>
      <tp t="s">
        <v>#N/A N/A</v>
        <stp/>
        <stp>BDP|6905198501924594887</stp>
        <tr r="AW73" s="3"/>
      </tp>
      <tp t="s">
        <v>#N/A N/A</v>
        <stp/>
        <stp>BDP|9857568359473879131</stp>
        <tr r="AQ59" s="3"/>
      </tp>
      <tp t="s">
        <v>#N/A N/A</v>
        <stp/>
        <stp>BDP|2079967838217761454</stp>
        <tr r="AR64" s="3"/>
      </tp>
      <tp t="s">
        <v>#N/A N/A</v>
        <stp/>
        <stp>BDP|5947328897521852596</stp>
        <tr r="T57" s="3"/>
      </tp>
      <tp t="s">
        <v>#N/A N/A</v>
        <stp/>
        <stp>BDP|2563874479122000465</stp>
        <tr r="BJ64" s="3"/>
      </tp>
      <tp t="s">
        <v>#N/A N/A</v>
        <stp/>
        <stp>BDP|5780735266178474740</stp>
        <tr r="BN60" s="3"/>
      </tp>
      <tp t="s">
        <v>#N/A N/A</v>
        <stp/>
        <stp>BDP|6030879134156828096</stp>
        <tr r="F69" s="3"/>
      </tp>
      <tp t="s">
        <v>#N/A N/A</v>
        <stp/>
        <stp>BDP|9568757323092748564</stp>
        <tr r="BZ72" s="3"/>
      </tp>
      <tp t="s">
        <v>#N/A N/A</v>
        <stp/>
        <stp>BDP|9416266437147353446</stp>
        <tr r="CC57" s="3"/>
      </tp>
      <tp t="s">
        <v>#N/A N/A</v>
        <stp/>
        <stp>BDP|4943669892686728698</stp>
        <tr r="CJ56" s="3"/>
      </tp>
      <tp t="s">
        <v>#N/A N/A</v>
        <stp/>
        <stp>BDP|5602828589169577785</stp>
        <tr r="BH65" s="3"/>
      </tp>
      <tp t="s">
        <v>#N/A N/A</v>
        <stp/>
        <stp>BDP|4179849405510660766</stp>
        <tr r="AE62" s="3"/>
      </tp>
      <tp t="s">
        <v>#N/A N/A</v>
        <stp/>
        <stp>BDP|4311673771878707627</stp>
        <tr r="AR66" s="3"/>
      </tp>
      <tp t="s">
        <v>#N/A N/A</v>
        <stp/>
        <stp>BDP|1505670217729069453</stp>
        <tr r="BC70" s="3"/>
      </tp>
      <tp t="s">
        <v>#N/A N/A</v>
        <stp/>
        <stp>BDP|7322647725591044938</stp>
        <tr r="AA63" s="3"/>
      </tp>
      <tp t="s">
        <v>#N/A N/A</v>
        <stp/>
        <stp>BDP|3157112084822322315</stp>
        <tr r="BM57" s="3"/>
      </tp>
      <tp t="s">
        <v>#N/A N/A</v>
        <stp/>
        <stp>BDP|8091553000213489578</stp>
        <tr r="CF64" s="3"/>
      </tp>
      <tp t="s">
        <v>#N/A N/A</v>
        <stp/>
        <stp>BDP|6025822155664441454</stp>
        <tr r="Q62" s="3"/>
      </tp>
      <tp t="s">
        <v>#N/A N/A</v>
        <stp/>
        <stp>BDP|9839145755804912270</stp>
        <tr r="L76" s="3"/>
      </tp>
      <tp t="s">
        <v>#N/A N/A</v>
        <stp/>
        <stp>BDP|8247260913511269126</stp>
        <tr r="M55" s="3"/>
      </tp>
      <tp t="s">
        <v>#N/A N/A</v>
        <stp/>
        <stp>BDP|1789322190583807396</stp>
        <tr r="BG60" s="3"/>
      </tp>
      <tp t="s">
        <v>#N/A N/A</v>
        <stp/>
        <stp>BDP|9107392214410886006</stp>
        <tr r="U76" s="3"/>
      </tp>
      <tp t="s">
        <v>#N/A N/A</v>
        <stp/>
        <stp>BDP|9047242923183368109</stp>
        <tr r="BH68" s="3"/>
      </tp>
      <tp t="s">
        <v>#N/A N/A</v>
        <stp/>
        <stp>BDP|2494828486231685827</stp>
        <tr r="AI72" s="3"/>
      </tp>
      <tp t="s">
        <v>#N/A N/A</v>
        <stp/>
        <stp>BDP|4076071410976433870</stp>
        <tr r="BN62" s="3"/>
      </tp>
      <tp t="s">
        <v>#N/A N/A</v>
        <stp/>
        <stp>BDP|4077026103436143940</stp>
        <tr r="AG69" s="3"/>
      </tp>
      <tp t="s">
        <v>#N/A N/A</v>
        <stp/>
        <stp>BDP|3463041954385376836</stp>
        <tr r="BI63" s="3"/>
      </tp>
      <tp t="s">
        <v>#N/A N/A</v>
        <stp/>
        <stp>BDP|3987363842459986602</stp>
        <tr r="I74" s="3"/>
      </tp>
      <tp t="s">
        <v>#N/A N/A</v>
        <stp/>
        <stp>BDP|4480817329581066489</stp>
        <tr r="Y67" s="3"/>
      </tp>
      <tp t="s">
        <v>#N/A N/A</v>
        <stp/>
        <stp>BDP|4825614350239816551</stp>
        <tr r="AF74" s="3"/>
      </tp>
      <tp t="s">
        <v>#N/A N/A</v>
        <stp/>
        <stp>BDP|1314881810930802363</stp>
        <tr r="CH59" s="3"/>
      </tp>
      <tp t="s">
        <v>#N/A N/A</v>
        <stp/>
        <stp>BDP|7022894248342191250</stp>
        <tr r="BI75" s="3"/>
      </tp>
      <tp t="s">
        <v>#N/A N/A</v>
        <stp/>
        <stp>BDP|9352622038653486488</stp>
        <tr r="AC74" s="3"/>
      </tp>
      <tp t="s">
        <v>#N/A N/A</v>
        <stp/>
        <stp>BDP|3532172636932540849</stp>
        <tr r="I66" s="3"/>
      </tp>
      <tp t="s">
        <v>#N/A N/A</v>
        <stp/>
        <stp>BDP|5660956973759505900</stp>
        <tr r="BK55" s="3"/>
      </tp>
      <tp t="s">
        <v>#N/A N/A</v>
        <stp/>
        <stp>BDP|7365399160667294122</stp>
        <tr r="AV56" s="3"/>
      </tp>
      <tp t="s">
        <v>#N/A N/A</v>
        <stp/>
        <stp>BDP|9877612380122279115</stp>
        <tr r="U69" s="3"/>
      </tp>
      <tp t="s">
        <v>#N/A N/A</v>
        <stp/>
        <stp>BDP|7365659413094551083</stp>
        <tr r="AJ75" s="3"/>
      </tp>
      <tp t="s">
        <v>#N/A N/A</v>
        <stp/>
        <stp>BDP|7231953505893317991</stp>
        <tr r="BP63" s="3"/>
      </tp>
      <tp t="s">
        <v>#N/A N/A</v>
        <stp/>
        <stp>BDP|8220683562775501959</stp>
        <tr r="CH69" s="3"/>
      </tp>
      <tp t="s">
        <v>#N/A N/A</v>
        <stp/>
        <stp>BDP|6061346978152566416</stp>
        <tr r="X57" s="3"/>
      </tp>
      <tp t="s">
        <v>#N/A N/A</v>
        <stp/>
        <stp>BDP|6913768159468963863</stp>
        <tr r="AS58" s="3"/>
      </tp>
      <tp t="s">
        <v>#N/A N/A</v>
        <stp/>
        <stp>BDP|7678736335276094191</stp>
        <tr r="AU55" s="3"/>
      </tp>
      <tp t="s">
        <v>#N/A N/A</v>
        <stp/>
        <stp>BDP|1155381660298715870</stp>
        <tr r="AU63" s="3"/>
      </tp>
      <tp t="s">
        <v>#N/A N/A</v>
        <stp/>
        <stp>BDP|6344689176576277569</stp>
        <tr r="AH71" s="3"/>
      </tp>
      <tp t="s">
        <v>#N/A N/A</v>
        <stp/>
        <stp>BDP|9533257704246390996</stp>
        <tr r="BV57" s="3"/>
      </tp>
      <tp t="s">
        <v>#N/A N/A</v>
        <stp/>
        <stp>BDP|6187101748064718300</stp>
        <tr r="AN59" s="3"/>
      </tp>
      <tp t="s">
        <v>#N/A N/A</v>
        <stp/>
        <stp>BDP|8838655484594218659</stp>
        <tr r="CJ68" s="3"/>
      </tp>
      <tp t="s">
        <v>#N/A N/A</v>
        <stp/>
        <stp>BDP|5076096062417167049</stp>
        <tr r="BN64" s="3"/>
      </tp>
      <tp t="s">
        <v>#N/A N/A</v>
        <stp/>
        <stp>BDP|8134425398829766825</stp>
        <tr r="AD70" s="3"/>
      </tp>
      <tp t="s">
        <v>#N/A N/A</v>
        <stp/>
        <stp>BDP|1877672345510159759</stp>
        <tr r="BB56" s="3"/>
      </tp>
      <tp t="s">
        <v>#N/A N/A</v>
        <stp/>
        <stp>BDP|4123244404902722093</stp>
        <tr r="BJ62" s="3"/>
      </tp>
      <tp t="s">
        <v>#N/A N/A</v>
        <stp/>
        <stp>BDP|9802177203544027809</stp>
        <tr r="AS72" s="3"/>
      </tp>
      <tp t="s">
        <v>#N/A N/A</v>
        <stp/>
        <stp>BDP|4627141572082527499</stp>
        <tr r="Y75" s="3"/>
      </tp>
      <tp t="s">
        <v>#N/A N/A</v>
        <stp/>
        <stp>BDP|6045262619381694057</stp>
        <tr r="Y57" s="3"/>
      </tp>
      <tp t="s">
        <v>#N/A N/A</v>
        <stp/>
        <stp>BDP|2530289990408017506</stp>
        <tr r="BU74" s="3"/>
      </tp>
      <tp t="s">
        <v>#N/A N/A</v>
        <stp/>
        <stp>BDP|9957017490550792423</stp>
        <tr r="BM68" s="3"/>
      </tp>
      <tp t="s">
        <v>#N/A N/A</v>
        <stp/>
        <stp>BDP|6653781977413349179</stp>
        <tr r="AE70" s="3"/>
      </tp>
      <tp t="s">
        <v>#N/A N/A</v>
        <stp/>
        <stp>BDP|7825167899158269387</stp>
        <tr r="BL73" s="3"/>
      </tp>
      <tp t="s">
        <v>#N/A N/A</v>
        <stp/>
        <stp>BDP|1020618631219751956</stp>
        <tr r="BF55" s="3"/>
      </tp>
      <tp t="s">
        <v>#N/A N/A</v>
        <stp/>
        <stp>BDP|8128749827531539856</stp>
        <tr r="AI66" s="3"/>
      </tp>
      <tp t="s">
        <v>#N/A N/A</v>
        <stp/>
        <stp>BDP|4706262933617673669</stp>
        <tr r="BL55" s="3"/>
      </tp>
      <tp t="s">
        <v>#N/A N/A</v>
        <stp/>
        <stp>BDP|3484920898635545284</stp>
        <tr r="S71" s="3"/>
      </tp>
      <tp t="s">
        <v>#N/A N/A</v>
        <stp/>
        <stp>BDP|6403190707171196289</stp>
        <tr r="CC73" s="3"/>
      </tp>
      <tp t="s">
        <v>#N/A N/A</v>
        <stp/>
        <stp>BDP|1259661232583378367</stp>
        <tr r="AZ75" s="3"/>
      </tp>
      <tp t="s">
        <v>#N/A N/A</v>
        <stp/>
        <stp>BDP|4335452408037920340</stp>
        <tr r="BT64" s="3"/>
      </tp>
      <tp t="s">
        <v>#N/A N/A</v>
        <stp/>
        <stp>BDP|3617414581619731224</stp>
        <tr r="AM76" s="3"/>
      </tp>
      <tp t="s">
        <v>#N/A N/A</v>
        <stp/>
        <stp>BDP|1903724853797804034</stp>
        <tr r="AS75" s="3"/>
      </tp>
      <tp t="s">
        <v>#N/A N/A</v>
        <stp/>
        <stp>BDP|6930009368305817190</stp>
        <tr r="BZ66" s="3"/>
      </tp>
      <tp t="s">
        <v>#N/A N/A</v>
        <stp/>
        <stp>BDP|4098541629121417692</stp>
        <tr r="AD73" s="3"/>
      </tp>
      <tp t="s">
        <v>#N/A N/A</v>
        <stp/>
        <stp>BDP|7132021777476333276</stp>
        <tr r="AV62" s="3"/>
      </tp>
      <tp t="s">
        <v>#N/A N/A</v>
        <stp/>
        <stp>BDP|2586205049827567796</stp>
        <tr r="AW72" s="3"/>
      </tp>
      <tp t="s">
        <v>#N/A N/A</v>
        <stp/>
        <stp>BDP|5407726671731260051</stp>
        <tr r="BG65" s="3"/>
      </tp>
      <tp t="s">
        <v>#N/A N/A</v>
        <stp/>
        <stp>BDP|6597101024453350233</stp>
        <tr r="AJ72" s="3"/>
      </tp>
      <tp t="s">
        <v>#N/A N/A</v>
        <stp/>
        <stp>BDP|8614156482600502555</stp>
        <tr r="AB57" s="3"/>
      </tp>
      <tp t="s">
        <v>#N/A N/A</v>
        <stp/>
        <stp>BDP|4180540552188091867</stp>
        <tr r="AL56" s="3"/>
      </tp>
      <tp t="s">
        <v>#N/A N/A</v>
        <stp/>
        <stp>BDP|6594480274762715387</stp>
        <tr r="AJ68" s="3"/>
      </tp>
      <tp t="s">
        <v>#N/A N/A</v>
        <stp/>
        <stp>BDP|1523547562093563508</stp>
        <tr r="CA64" s="3"/>
      </tp>
      <tp t="s">
        <v>#N/A N/A</v>
        <stp/>
        <stp>BDP|8222435445938393419</stp>
        <tr r="AR70" s="3"/>
      </tp>
      <tp t="s">
        <v>#N/A N/A</v>
        <stp/>
        <stp>BDP|8766442826112625859</stp>
        <tr r="CE69" s="3"/>
      </tp>
      <tp t="s">
        <v>#N/A N/A</v>
        <stp/>
        <stp>BDP|4460275931900491102</stp>
        <tr r="CI76" s="3"/>
      </tp>
      <tp t="s">
        <v>#N/A N/A</v>
        <stp/>
        <stp>BDP|2472641534845656648</stp>
        <tr r="AZ68" s="3"/>
      </tp>
      <tp t="s">
        <v>#N/A N/A</v>
        <stp/>
        <stp>BDP|7544051596962711878</stp>
        <tr r="BE68" s="3"/>
      </tp>
      <tp t="s">
        <v>#N/A N/A</v>
        <stp/>
        <stp>BDP|2139341960747795451</stp>
        <tr r="CG67" s="3"/>
      </tp>
      <tp t="s">
        <v>#N/A N/A</v>
        <stp/>
        <stp>BDP|8371287489365657336</stp>
        <tr r="O59" s="3"/>
      </tp>
      <tp t="s">
        <v>#N/A N/A</v>
        <stp/>
        <stp>BDP|8452167510799039553</stp>
        <tr r="N63" s="3"/>
      </tp>
      <tp t="s">
        <v>#N/A N/A</v>
        <stp/>
        <stp>BDP|5214539723841764722</stp>
        <tr r="AG63" s="3"/>
      </tp>
      <tp t="s">
        <v>#N/A N/A</v>
        <stp/>
        <stp>BDP|3384034331973218740</stp>
        <tr r="AX55" s="3"/>
      </tp>
      <tp t="s">
        <v>#N/A N/A</v>
        <stp/>
        <stp>BDP|8707439845918590406</stp>
        <tr r="BJ58" s="3"/>
      </tp>
      <tp t="s">
        <v>#N/A N/A</v>
        <stp/>
        <stp>BDP|4898216852257791082</stp>
        <tr r="CK72" s="3"/>
      </tp>
      <tp t="s">
        <v>#N/A N/A</v>
        <stp/>
        <stp>BDP|3401505506260095268</stp>
        <tr r="BG69" s="3"/>
      </tp>
      <tp t="s">
        <v>#N/A N/A</v>
        <stp/>
        <stp>BDP|6189681276865869627</stp>
        <tr r="AG67" s="3"/>
      </tp>
      <tp t="s">
        <v>#N/A N/A</v>
        <stp/>
        <stp>BDP|7623331843083432682</stp>
        <tr r="T66" s="3"/>
      </tp>
      <tp t="s">
        <v>#N/A N/A</v>
        <stp/>
        <stp>BDP|8521686764258422573</stp>
        <tr r="AJ62" s="3"/>
      </tp>
      <tp t="s">
        <v>#N/A N/A</v>
        <stp/>
        <stp>BDP|3256901284940525785</stp>
        <tr r="I57" s="3"/>
      </tp>
      <tp t="s">
        <v>#N/A N/A</v>
        <stp/>
        <stp>BDP|7031684379702829122</stp>
        <tr r="BV55" s="3"/>
      </tp>
      <tp t="s">
        <v>#N/A N/A</v>
        <stp/>
        <stp>BDP|4640521909157570334</stp>
        <tr r="BI74" s="3"/>
      </tp>
      <tp t="s">
        <v>#N/A N/A</v>
        <stp/>
        <stp>BDP|3623280043325625505</stp>
        <tr r="CH56" s="3"/>
      </tp>
      <tp t="s">
        <v>#N/A N/A</v>
        <stp/>
        <stp>BDP|6786379401756084692</stp>
        <tr r="BT71" s="3"/>
      </tp>
      <tp t="s">
        <v>#N/A N/A</v>
        <stp/>
        <stp>BDP|4178294737316355642</stp>
        <tr r="G58" s="3"/>
      </tp>
      <tp t="s">
        <v>#N/A N/A</v>
        <stp/>
        <stp>BDP|2422612357366249296</stp>
        <tr r="CJ67" s="3"/>
      </tp>
      <tp t="s">
        <v>#N/A N/A</v>
        <stp/>
        <stp>BDP|3694022332695798080</stp>
        <tr r="BI55" s="3"/>
      </tp>
      <tp t="s">
        <v>#N/A N/A</v>
        <stp/>
        <stp>BDP|8185115799037310243</stp>
        <tr r="CI71" s="3"/>
      </tp>
      <tp t="s">
        <v>#N/A N/A</v>
        <stp/>
        <stp>BDP|1189763739810045017</stp>
        <tr r="BQ69" s="3"/>
      </tp>
      <tp t="s">
        <v>#N/A N/A</v>
        <stp/>
        <stp>BDP|4831036037130176224</stp>
        <tr r="Y65" s="3"/>
      </tp>
      <tp t="s">
        <v>#N/A N/A</v>
        <stp/>
        <stp>BDP|4331089767582945594</stp>
        <tr r="U68" s="3"/>
      </tp>
      <tp t="s">
        <v>#N/A N/A</v>
        <stp/>
        <stp>BDP|6532312852581823428</stp>
        <tr r="S64" s="3"/>
      </tp>
      <tp t="s">
        <v>#N/A N/A</v>
        <stp/>
        <stp>BDP|4128550550596960711</stp>
        <tr r="BL68" s="3"/>
      </tp>
      <tp t="s">
        <v>#N/A N/A</v>
        <stp/>
        <stp>BDP|5978665331595275000</stp>
        <tr r="CG71" s="3"/>
      </tp>
      <tp t="s">
        <v>#N/A N/A</v>
        <stp/>
        <stp>BDP|1138487666570167627</stp>
        <tr r="CH76" s="3"/>
      </tp>
      <tp t="s">
        <v>#N/A N/A</v>
        <stp/>
        <stp>BDP|2942606150990507408</stp>
        <tr r="AB76" s="3"/>
      </tp>
      <tp t="s">
        <v>#N/A N/A</v>
        <stp/>
        <stp>BDP|7554836187201435383</stp>
        <tr r="BU69" s="3"/>
      </tp>
      <tp t="s">
        <v>#N/A N/A</v>
        <stp/>
        <stp>BDP|6878644842359462889</stp>
        <tr r="Z72" s="3"/>
      </tp>
      <tp t="s">
        <v>#N/A N/A</v>
        <stp/>
        <stp>BDP|9338925993518704472</stp>
        <tr r="AF56" s="3"/>
      </tp>
      <tp t="s">
        <v>#N/A N/A</v>
        <stp/>
        <stp>BDP|2613531909073767195</stp>
        <tr r="AA64" s="3"/>
      </tp>
      <tp t="s">
        <v>#N/A N/A</v>
        <stp/>
        <stp>BDP|4973083192378299021</stp>
        <tr r="BA75" s="3"/>
      </tp>
      <tp t="s">
        <v>#N/A N/A</v>
        <stp/>
        <stp>BDP|4170362505063597142</stp>
        <tr r="AX58" s="3"/>
      </tp>
      <tp t="s">
        <v>#N/A N/A</v>
        <stp/>
        <stp>BDP|4348942071069637631</stp>
        <tr r="BX70" s="3"/>
      </tp>
      <tp t="s">
        <v>#N/A N/A</v>
        <stp/>
        <stp>BDP|1094856841749182159</stp>
        <tr r="BA69" s="3"/>
      </tp>
      <tp t="s">
        <v>#N/A N/A</v>
        <stp/>
        <stp>BDP|3522341934732599406</stp>
        <tr r="BI66" s="3"/>
      </tp>
      <tp t="s">
        <v>#N/A N/A</v>
        <stp/>
        <stp>BDP|1306527413781370116</stp>
        <tr r="BE66" s="3"/>
      </tp>
      <tp t="s">
        <v>#N/A N/A</v>
        <stp/>
        <stp>BDP|4469868949808335585</stp>
        <tr r="BS55" s="3"/>
      </tp>
      <tp t="s">
        <v>#N/A N/A</v>
        <stp/>
        <stp>BDP|2471759504336076658</stp>
        <tr r="AE76" s="3"/>
      </tp>
      <tp t="s">
        <v>#N/A N/A</v>
        <stp/>
        <stp>BDP|6526075629730930127</stp>
        <tr r="AN64" s="3"/>
      </tp>
      <tp t="s">
        <v>#N/A N/A</v>
        <stp/>
        <stp>BDP|2212551657547755077</stp>
        <tr r="AY58" s="3"/>
      </tp>
      <tp t="s">
        <v>#N/A N/A</v>
        <stp/>
        <stp>BDP|8307546796885089411</stp>
        <tr r="P63" s="3"/>
      </tp>
      <tp t="s">
        <v>#N/A N/A</v>
        <stp/>
        <stp>BDP|7247406508024220298</stp>
        <tr r="J65" s="3"/>
      </tp>
      <tp t="s">
        <v>#N/A N/A</v>
        <stp/>
        <stp>BDP|2911374427797068188</stp>
        <tr r="AH66" s="3"/>
      </tp>
      <tp t="s">
        <v>#N/A N/A</v>
        <stp/>
        <stp>BDP|3991274079332556137</stp>
        <tr r="F66" s="3"/>
      </tp>
      <tp t="s">
        <v>#N/A N/A</v>
        <stp/>
        <stp>BDP|2964647319331277172</stp>
        <tr r="CA57" s="3"/>
      </tp>
      <tp t="s">
        <v>#N/A N/A</v>
        <stp/>
        <stp>BDP|7118015488889655388</stp>
        <tr r="BD66" s="3"/>
      </tp>
      <tp t="s">
        <v>#N/A N/A</v>
        <stp/>
        <stp>BDP|6575954743388347665</stp>
        <tr r="AD72" s="3"/>
      </tp>
      <tp t="s">
        <v>#N/A N/A</v>
        <stp/>
        <stp>BDP|8199591903971514984</stp>
        <tr r="U75" s="3"/>
      </tp>
      <tp t="s">
        <v>#N/A N/A</v>
        <stp/>
        <stp>BDP|1134526993381131973</stp>
        <tr r="AP65" s="3"/>
      </tp>
      <tp t="s">
        <v>#N/A N/A</v>
        <stp/>
        <stp>BDP|2505675807963345218</stp>
        <tr r="AO73" s="3"/>
      </tp>
      <tp t="s">
        <v>#N/A N/A</v>
        <stp/>
        <stp>BDP|2407252777914184600</stp>
        <tr r="BV73" s="3"/>
      </tp>
      <tp t="s">
        <v>#N/A N/A</v>
        <stp/>
        <stp>BDP|4160809034258182237</stp>
        <tr r="BL57" s="3"/>
      </tp>
      <tp t="s">
        <v>#N/A N/A</v>
        <stp/>
        <stp>BDP|9814661454216529982</stp>
        <tr r="BP57" s="3"/>
      </tp>
      <tp t="s">
        <v>#N/A N/A</v>
        <stp/>
        <stp>BDP|4449664592428089679</stp>
        <tr r="BD57" s="3"/>
      </tp>
      <tp t="s">
        <v>#N/A N/A</v>
        <stp/>
        <stp>BDP|8794766268188901445</stp>
        <tr r="BK64" s="3"/>
      </tp>
      <tp t="s">
        <v>#N/A N/A</v>
        <stp/>
        <stp>BDP|6620200904842205352</stp>
        <tr r="AL64" s="3"/>
      </tp>
      <tp t="s">
        <v>#N/A N/A</v>
        <stp/>
        <stp>BDP|8468818110770655466</stp>
        <tr r="BI65" s="3"/>
      </tp>
      <tp t="s">
        <v>#N/A N/A</v>
        <stp/>
        <stp>BDP|7444489335993505564</stp>
        <tr r="V58" s="3"/>
      </tp>
      <tp t="s">
        <v>#N/A N/A</v>
        <stp/>
        <stp>BDP|7319730819807126033</stp>
        <tr r="U72" s="3"/>
      </tp>
      <tp t="s">
        <v>#N/A N/A</v>
        <stp/>
        <stp>BDP|2874305943212609163</stp>
        <tr r="W56" s="3"/>
      </tp>
      <tp t="s">
        <v>#N/A N/A</v>
        <stp/>
        <stp>BDP|7888477025583069419</stp>
        <tr r="G70" s="3"/>
      </tp>
      <tp t="s">
        <v>#N/A N/A</v>
        <stp/>
        <stp>BDP|8678162459468530276</stp>
        <tr r="BR69" s="3"/>
      </tp>
      <tp t="s">
        <v>#N/A N/A</v>
        <stp/>
        <stp>BDP|4857906393945393709</stp>
        <tr r="BH55" s="3"/>
      </tp>
      <tp t="s">
        <v>#N/A N/A</v>
        <stp/>
        <stp>BDP|9887877166514856593</stp>
        <tr r="V71" s="3"/>
      </tp>
      <tp t="s">
        <v>#N/A N/A</v>
        <stp/>
        <stp>BDP|2740064738280330721</stp>
        <tr r="AP74" s="3"/>
      </tp>
      <tp t="s">
        <v>#N/A N/A</v>
        <stp/>
        <stp>BDP|9168853519797134144</stp>
        <tr r="BP72" s="3"/>
      </tp>
      <tp t="s">
        <v>#N/A N/A</v>
        <stp/>
        <stp>BDP|4973078035712595365</stp>
        <tr r="AB67" s="3"/>
      </tp>
      <tp t="s">
        <v>#N/A N/A</v>
        <stp/>
        <stp>BDP|5641676928173967483</stp>
        <tr r="CE73" s="3"/>
      </tp>
      <tp t="s">
        <v>#N/A N/A</v>
        <stp/>
        <stp>BDP|6894585929417115014</stp>
        <tr r="I64" s="3"/>
      </tp>
      <tp t="s">
        <v>#N/A N/A</v>
        <stp/>
        <stp>BDP|2797618417030166392</stp>
        <tr r="H60" s="3"/>
      </tp>
      <tp t="s">
        <v>#N/A N/A</v>
        <stp/>
        <stp>BDP|7826127254380789572</stp>
        <tr r="W63" s="3"/>
      </tp>
      <tp t="s">
        <v>#N/A N/A</v>
        <stp/>
        <stp>BDP|6925604384438621652</stp>
        <tr r="F68" s="3"/>
      </tp>
      <tp t="s">
        <v>#N/A N/A</v>
        <stp/>
        <stp>BDP|3573981381107355314</stp>
        <tr r="BB62" s="3"/>
      </tp>
      <tp t="s">
        <v>#N/A N/A</v>
        <stp/>
        <stp>BDP|2940145579931208391</stp>
        <tr r="V69" s="3"/>
      </tp>
      <tp t="s">
        <v>#N/A N/A</v>
        <stp/>
        <stp>BDP|1463239787488617594</stp>
        <tr r="CF73" s="3"/>
      </tp>
      <tp t="s">
        <v>#N/A N/A</v>
        <stp/>
        <stp>BDP|6613262969460629400</stp>
        <tr r="BW58" s="3"/>
      </tp>
      <tp t="s">
        <v>#N/A N/A</v>
        <stp/>
        <stp>BDP|1824073617512710401</stp>
        <tr r="AE74" s="3"/>
      </tp>
      <tp t="s">
        <v>#N/A N/A</v>
        <stp/>
        <stp>BDP|8275324353011993971</stp>
        <tr r="BH66" s="3"/>
      </tp>
      <tp t="s">
        <v>#N/A N/A</v>
        <stp/>
        <stp>BDP|6882267294459172261</stp>
        <tr r="BK69" s="3"/>
      </tp>
      <tp t="s">
        <v>#N/A N/A</v>
        <stp/>
        <stp>BDP|9815104888244471293</stp>
        <tr r="CG75" s="3"/>
      </tp>
      <tp t="s">
        <v>#N/A N/A</v>
        <stp/>
        <stp>BDP|7628804963997335844</stp>
        <tr r="BV68" s="3"/>
      </tp>
      <tp t="s">
        <v>#N/A N/A</v>
        <stp/>
        <stp>BDP|4687507152221463324</stp>
        <tr r="BE62" s="3"/>
      </tp>
      <tp t="s">
        <v>#N/A N/A</v>
        <stp/>
        <stp>BDP|3181304363781956191</stp>
        <tr r="BZ74" s="3"/>
      </tp>
      <tp t="s">
        <v>#N/A N/A</v>
        <stp/>
        <stp>BDP|2166938281055448059</stp>
        <tr r="AM69" s="3"/>
      </tp>
      <tp t="s">
        <v>#N/A N/A</v>
        <stp/>
        <stp>BDP|5237705822683067524</stp>
        <tr r="AO60" s="3"/>
      </tp>
      <tp t="s">
        <v>#N/A N/A</v>
        <stp/>
        <stp>BDP|9265054334505089904</stp>
        <tr r="AW63" s="3"/>
      </tp>
      <tp t="s">
        <v>#N/A N/A</v>
        <stp/>
        <stp>BDP|3987093031811181738</stp>
        <tr r="CF57" s="3"/>
      </tp>
      <tp t="s">
        <v>#N/A N/A</v>
        <stp/>
        <stp>BDP|5541854971488010420</stp>
        <tr r="R65" s="3"/>
      </tp>
      <tp t="s">
        <v>#N/A N/A</v>
        <stp/>
        <stp>BDP|2263133504317628235</stp>
        <tr r="BV72" s="3"/>
      </tp>
      <tp t="s">
        <v>#N/A N/A</v>
        <stp/>
        <stp>BDP|3765636825046529742</stp>
        <tr r="AZ56" s="3"/>
      </tp>
      <tp t="s">
        <v>#N/A N/A</v>
        <stp/>
        <stp>BDP|7295745128081688587</stp>
        <tr r="BU66" s="3"/>
      </tp>
      <tp t="s">
        <v>#N/A N/A</v>
        <stp/>
        <stp>BDP|7971784084526600834</stp>
        <tr r="BN69" s="3"/>
      </tp>
      <tp t="s">
        <v>#N/A N/A</v>
        <stp/>
        <stp>BDP|5219737702275275102</stp>
        <tr r="AX71" s="3"/>
      </tp>
      <tp t="s">
        <v>#N/A N/A</v>
        <stp/>
        <stp>BDP|1461503552275116265</stp>
        <tr r="M63" s="3"/>
      </tp>
      <tp t="s">
        <v>#N/A N/A</v>
        <stp/>
        <stp>BDP|5913481542762761155</stp>
        <tr r="BD71" s="3"/>
      </tp>
      <tp t="s">
        <v>#N/A N/A</v>
        <stp/>
        <stp>BDP|2316248432850584564</stp>
        <tr r="BP66" s="3"/>
      </tp>
      <tp t="s">
        <v>#N/A N/A</v>
        <stp/>
        <stp>BDP|7078457234785428338</stp>
        <tr r="CJ69" s="3"/>
      </tp>
      <tp t="s">
        <v>#N/A N/A</v>
        <stp/>
        <stp>BDP|4880260299069200034</stp>
        <tr r="R76" s="3"/>
      </tp>
      <tp t="s">
        <v>#N/A N/A</v>
        <stp/>
        <stp>BDP|4543249051453255640</stp>
        <tr r="AK58" s="3"/>
      </tp>
      <tp t="s">
        <v>#N/A N/A</v>
        <stp/>
        <stp>BDP|5579105649197325191</stp>
        <tr r="X76" s="3"/>
      </tp>
      <tp t="s">
        <v>#N/A N/A</v>
        <stp/>
        <stp>BDP|9249329798872707796</stp>
        <tr r="BA59" s="3"/>
      </tp>
      <tp t="s">
        <v>#N/A N/A</v>
        <stp/>
        <stp>BDP|6561504426850308774</stp>
        <tr r="BN66" s="3"/>
      </tp>
      <tp t="s">
        <v>#N/A N/A</v>
        <stp/>
        <stp>BDP|3943418667980816707</stp>
        <tr r="BV64" s="3"/>
      </tp>
      <tp t="s">
        <v>#N/A N/A</v>
        <stp/>
        <stp>BDP|1892749811081840022</stp>
        <tr r="BY63" s="3"/>
      </tp>
      <tp t="s">
        <v>#N/A N/A</v>
        <stp/>
        <stp>BDP|1671811690580900695</stp>
        <tr r="AN66" s="3"/>
      </tp>
      <tp t="s">
        <v>#N/A N/A</v>
        <stp/>
        <stp>BDP|2497434775517581039</stp>
        <tr r="AS63" s="3"/>
      </tp>
      <tp t="s">
        <v>#N/A N/A</v>
        <stp/>
        <stp>BDP|4675430903065262308</stp>
        <tr r="AY62" s="3"/>
      </tp>
      <tp t="s">
        <v>#N/A N/A</v>
        <stp/>
        <stp>BDP|2221358839512241686</stp>
        <tr r="BQ64" s="3"/>
      </tp>
      <tp t="s">
        <v>#N/A N/A</v>
        <stp/>
        <stp>BDP|2105212616965277203</stp>
        <tr r="BM59" s="3"/>
      </tp>
      <tp t="s">
        <v>#N/A N/A</v>
        <stp/>
        <stp>BDP|1288008654547431565</stp>
        <tr r="Z58" s="3"/>
      </tp>
      <tp t="s">
        <v>#N/A N/A</v>
        <stp/>
        <stp>BDP|9442181038008341522</stp>
        <tr r="BB59" s="3"/>
      </tp>
      <tp t="s">
        <v>#N/A N/A</v>
        <stp/>
        <stp>BDP|9436085619227236923</stp>
        <tr r="W55" s="3"/>
      </tp>
      <tp t="s">
        <v>#N/A N/A</v>
        <stp/>
        <stp>BDP|9033910016897500187</stp>
        <tr r="P74" s="3"/>
      </tp>
      <tp t="s">
        <v>#N/A N/A</v>
        <stp/>
        <stp>BDP|9821454977025226827</stp>
        <tr r="BD74" s="3"/>
      </tp>
      <tp t="s">
        <v>#N/A N/A</v>
        <stp/>
        <stp>BDP|6192698037520346478</stp>
        <tr r="BO68" s="3"/>
      </tp>
      <tp t="s">
        <v>#N/A N/A</v>
        <stp/>
        <stp>BDP|5652621665920816221</stp>
        <tr r="H66" s="3"/>
      </tp>
      <tp t="s">
        <v>#N/A N/A</v>
        <stp/>
        <stp>BDP|7844530627211119668</stp>
        <tr r="CH60" s="3"/>
      </tp>
      <tp t="s">
        <v>#N/A N/A</v>
        <stp/>
        <stp>BDP|3440921348340631934</stp>
        <tr r="O63" s="3"/>
      </tp>
      <tp t="s">
        <v>#N/A N/A</v>
        <stp/>
        <stp>BDP|2886982849831345917</stp>
        <tr r="AH58" s="3"/>
      </tp>
      <tp t="s">
        <v>#N/A N/A</v>
        <stp/>
        <stp>BDP|7036534080375018882</stp>
        <tr r="BX60" s="3"/>
      </tp>
      <tp t="s">
        <v>#N/A N/A</v>
        <stp/>
        <stp>BDP|3694828859429610039</stp>
        <tr r="BW71" s="3"/>
      </tp>
      <tp t="s">
        <v>#N/A N/A</v>
        <stp/>
        <stp>BDP|7304987125179673203</stp>
        <tr r="AB65" s="3"/>
      </tp>
      <tp t="s">
        <v>#N/A N/A</v>
        <stp/>
        <stp>BDP|2345386751891684240</stp>
        <tr r="AF57" s="3"/>
      </tp>
      <tp t="s">
        <v>#N/A N/A</v>
        <stp/>
        <stp>BDP|9750791227989255225</stp>
        <tr r="BJ69" s="3"/>
      </tp>
      <tp t="s">
        <v>#N/A N/A</v>
        <stp/>
        <stp>BDP|1842071440204782613</stp>
        <tr r="Y73" s="3"/>
      </tp>
      <tp t="s">
        <v>#N/A N/A</v>
        <stp/>
        <stp>BDP|9017592249909136688</stp>
        <tr r="AU65" s="3"/>
      </tp>
      <tp t="s">
        <v>#N/A N/A</v>
        <stp/>
        <stp>BDP|6861413353163539366</stp>
        <tr r="N62" s="3"/>
      </tp>
      <tp t="s">
        <v>#N/A N/A</v>
        <stp/>
        <stp>BDP|8655949706090945649</stp>
        <tr r="BI67" s="3"/>
      </tp>
      <tp t="s">
        <v>#N/A N/A</v>
        <stp/>
        <stp>BDP|7231846886249148981</stp>
        <tr r="AO57" s="3"/>
      </tp>
      <tp t="s">
        <v>#N/A N/A</v>
        <stp/>
        <stp>BDP|7169247686009511389</stp>
        <tr r="CK70" s="3"/>
      </tp>
      <tp t="s">
        <v>#N/A N/A</v>
        <stp/>
        <stp>BDP|5963608089199809565</stp>
        <tr r="AK57" s="3"/>
      </tp>
      <tp t="s">
        <v>#N/A N/A</v>
        <stp/>
        <stp>BDP|2300176227712856457</stp>
        <tr r="AM74" s="3"/>
      </tp>
      <tp t="s">
        <v>#N/A N/A</v>
        <stp/>
        <stp>BDP|6585011557281884555</stp>
        <tr r="U57" s="3"/>
      </tp>
      <tp t="s">
        <v>#N/A N/A</v>
        <stp/>
        <stp>BDP|5619069338299404830</stp>
        <tr r="K65" s="3"/>
      </tp>
      <tp t="s">
        <v>#N/A N/A</v>
        <stp/>
        <stp>BDP|7177438082649969560</stp>
        <tr r="CB60" s="3"/>
      </tp>
      <tp t="s">
        <v>#N/A N/A</v>
        <stp/>
        <stp>BDP|5255462656515466694</stp>
        <tr r="G76" s="3"/>
      </tp>
      <tp t="s">
        <v>#N/A N/A</v>
        <stp/>
        <stp>BDP|2046324333395942074</stp>
        <tr r="BW66" s="3"/>
      </tp>
      <tp t="s">
        <v>#N/A N/A</v>
        <stp/>
        <stp>BDP|4856951993284168706</stp>
        <tr r="AO75" s="3"/>
      </tp>
      <tp t="s">
        <v>#N/A N/A</v>
        <stp/>
        <stp>BDP|4905363692811876899</stp>
        <tr r="BF62" s="3"/>
      </tp>
      <tp t="s">
        <v>#N/A N/A</v>
        <stp/>
        <stp>BDP|1465641038013204060</stp>
        <tr r="BZ55" s="3"/>
      </tp>
      <tp t="s">
        <v>#N/A N/A</v>
        <stp/>
        <stp>BDP|8481879909817286059</stp>
        <tr r="BD60" s="3"/>
      </tp>
      <tp t="s">
        <v>#N/A N/A</v>
        <stp/>
        <stp>BDP|4902368455760355547</stp>
        <tr r="BQ56" s="3"/>
      </tp>
      <tp t="s">
        <v>#N/A N/A</v>
        <stp/>
        <stp>BDP|5915979063634490946</stp>
        <tr r="BJ55" s="3"/>
      </tp>
      <tp t="s">
        <v>#N/A N/A</v>
        <stp/>
        <stp>BDP|7768576637423336592</stp>
        <tr r="BD73" s="3"/>
      </tp>
      <tp t="s">
        <v>#N/A N/A</v>
        <stp/>
        <stp>BDP|3569488199740158988</stp>
        <tr r="X73" s="3"/>
      </tp>
      <tp t="s">
        <v>#N/A N/A</v>
        <stp/>
        <stp>BDP|8023623140848699597</stp>
        <tr r="BO57" s="3"/>
      </tp>
      <tp t="s">
        <v>#N/A N/A</v>
        <stp/>
        <stp>BDP|4216507986087786914</stp>
        <tr r="AL73" s="3"/>
      </tp>
      <tp t="s">
        <v>#N/A N/A</v>
        <stp/>
        <stp>BDP|7404494209252125679</stp>
        <tr r="AK72" s="3"/>
      </tp>
      <tp t="s">
        <v>#N/A N/A</v>
        <stp/>
        <stp>BDP|3596316866235063406</stp>
        <tr r="CC58" s="3"/>
      </tp>
      <tp t="s">
        <v>#N/A N/A</v>
        <stp/>
        <stp>BDP|2856416262555117288</stp>
        <tr r="AQ58" s="3"/>
      </tp>
      <tp t="s">
        <v>#N/A N/A</v>
        <stp/>
        <stp>BDP|1108230333407207012</stp>
        <tr r="R66" s="3"/>
      </tp>
      <tp t="s">
        <v>#N/A N/A</v>
        <stp/>
        <stp>BDP|1385617536192210152</stp>
        <tr r="AW59" s="3"/>
      </tp>
      <tp t="s">
        <v>#N/A N/A</v>
        <stp/>
        <stp>BDP|7216657246531352318</stp>
        <tr r="N73" s="3"/>
      </tp>
      <tp t="s">
        <v>#N/A N/A</v>
        <stp/>
        <stp>BDP|7019484562583865117</stp>
        <tr r="AJ58" s="3"/>
      </tp>
      <tp t="s">
        <v>#N/A N/A</v>
        <stp/>
        <stp>BDP|7435192213565501586</stp>
        <tr r="S74" s="3"/>
      </tp>
      <tp t="s">
        <v>#N/A N/A</v>
        <stp/>
        <stp>BDP|1902777649804595113</stp>
        <tr r="G56" s="3"/>
      </tp>
      <tp t="s">
        <v>#N/A N/A</v>
        <stp/>
        <stp>BDP|4146519997997455839</stp>
        <tr r="AQ55" s="3"/>
      </tp>
      <tp t="s">
        <v>#N/A N/A</v>
        <stp/>
        <stp>BDP|4328514842831200322</stp>
        <tr r="AX57" s="3"/>
      </tp>
      <tp t="s">
        <v>#N/A N/A</v>
        <stp/>
        <stp>BDP|9106262727697832988</stp>
        <tr r="AX76" s="3"/>
      </tp>
      <tp t="s">
        <v>#N/A N/A</v>
        <stp/>
        <stp>BDP|2232036650717628770</stp>
        <tr r="G64" s="3"/>
      </tp>
      <tp t="s">
        <v>#N/A N/A</v>
        <stp/>
        <stp>BDP|9634934739703815759</stp>
        <tr r="AO65" s="3"/>
      </tp>
      <tp t="s">
        <v>#N/A N/A</v>
        <stp/>
        <stp>BDP|8357851509996841163</stp>
        <tr r="R67" s="3"/>
      </tp>
      <tp t="s">
        <v>#N/A N/A</v>
        <stp/>
        <stp>BDP|4389262433813745106</stp>
        <tr r="CF76" s="3"/>
      </tp>
      <tp t="s">
        <v>#N/A N/A</v>
        <stp/>
        <stp>BDP|2547110041129647922</stp>
        <tr r="AW57" s="3"/>
      </tp>
      <tp t="s">
        <v>#N/A N/A</v>
        <stp/>
        <stp>BDP|2534134831026606102</stp>
        <tr r="BZ75" s="3"/>
      </tp>
      <tp t="s">
        <v>#N/A N/A</v>
        <stp/>
        <stp>BDP|4064482553137206581</stp>
        <tr r="BE59" s="3"/>
      </tp>
      <tp t="s">
        <v>#N/A N/A</v>
        <stp/>
        <stp>BDP|6004203706111079272</stp>
        <tr r="X66" s="3"/>
      </tp>
      <tp t="s">
        <v>#N/A N/A</v>
        <stp/>
        <stp>BDP|3130039842095746517</stp>
        <tr r="M66" s="3"/>
      </tp>
      <tp t="s">
        <v>#N/A N/A</v>
        <stp/>
        <stp>BDP|8070159004078314647</stp>
        <tr r="BP65" s="3"/>
      </tp>
      <tp t="s">
        <v>#N/A N/A</v>
        <stp/>
        <stp>BDP|4292343143014210017</stp>
        <tr r="W64" s="3"/>
      </tp>
      <tp t="s">
        <v>#N/A N/A</v>
        <stp/>
        <stp>BDP|2999039162227953475</stp>
        <tr r="BK58" s="3"/>
      </tp>
      <tp t="s">
        <v>#N/A N/A</v>
        <stp/>
        <stp>BDP|6327980669347403907</stp>
        <tr r="J76" s="3"/>
      </tp>
      <tp t="s">
        <v>#N/A N/A</v>
        <stp/>
        <stp>BDP|2358304944895704771</stp>
        <tr r="BA55" s="3"/>
      </tp>
      <tp t="s">
        <v>#N/A N/A</v>
        <stp/>
        <stp>BDP|1380063906714110252</stp>
        <tr r="AY76" s="3"/>
      </tp>
      <tp t="s">
        <v>#N/A N/A</v>
        <stp/>
        <stp>BDP|6044637216976066028</stp>
        <tr r="CB63" s="3"/>
      </tp>
      <tp t="s">
        <v>#N/A N/A</v>
        <stp/>
        <stp>BDP|2848029864234950737</stp>
        <tr r="BM72" s="3"/>
      </tp>
      <tp t="s">
        <v>#N/A N/A</v>
        <stp/>
        <stp>BDP|7497633597258035748</stp>
        <tr r="K68" s="3"/>
      </tp>
      <tp t="s">
        <v>#N/A N/A</v>
        <stp/>
        <stp>BDP|3769321013434365210</stp>
        <tr r="AZ66" s="3"/>
      </tp>
      <tp t="s">
        <v>#N/A N/A</v>
        <stp/>
        <stp>BDP|3206161920397601065</stp>
        <tr r="AX70" s="3"/>
      </tp>
      <tp t="s">
        <v>#N/A N/A</v>
        <stp/>
        <stp>BDP|8417442974299776571</stp>
        <tr r="BH75" s="3"/>
      </tp>
      <tp t="s">
        <v>#N/A N/A</v>
        <stp/>
        <stp>BDP|6820595203420677418</stp>
        <tr r="P56" s="3"/>
      </tp>
      <tp t="s">
        <v>#N/A N/A</v>
        <stp/>
        <stp>BDP|7093547913853014727</stp>
        <tr r="AL57" s="3"/>
      </tp>
      <tp t="s">
        <v>#N/A N/A</v>
        <stp/>
        <stp>BDP|8737308890682603748</stp>
        <tr r="L66" s="3"/>
      </tp>
      <tp t="s">
        <v>#N/A N/A</v>
        <stp/>
        <stp>BDP|8686300287513932026</stp>
        <tr r="G74" s="3"/>
      </tp>
      <tp t="s">
        <v>#N/A N/A</v>
        <stp/>
        <stp>BDP|7971572635824157500</stp>
        <tr r="AE72" s="3"/>
      </tp>
      <tp t="s">
        <v>#N/A N/A</v>
        <stp/>
        <stp>BDP|5374981151568878188</stp>
        <tr r="AD59" s="3"/>
      </tp>
      <tp t="s">
        <v>#N/A N/A</v>
        <stp/>
        <stp>BDP|6223565173575595184</stp>
        <tr r="G65" s="3"/>
      </tp>
      <tp t="s">
        <v>#N/A N/A</v>
        <stp/>
        <stp>BDP|4984559561790261757</stp>
        <tr r="P58" s="3"/>
      </tp>
      <tp t="s">
        <v>#N/A N/A</v>
        <stp/>
        <stp>BDP|2181505259476417472</stp>
        <tr r="CB64" s="3"/>
      </tp>
      <tp t="s">
        <v>#N/A N/A</v>
        <stp/>
        <stp>BDP|4435277653234220797</stp>
        <tr r="BJ67" s="3"/>
      </tp>
      <tp t="s">
        <v>#N/A N/A</v>
        <stp/>
        <stp>BDP|8046778871649819160</stp>
        <tr r="AY63" s="3"/>
      </tp>
      <tp t="s">
        <v>#N/A N/A</v>
        <stp/>
        <stp>BDP|3530531669966784609</stp>
        <tr r="BA66" s="3"/>
      </tp>
      <tp t="s">
        <v>#N/A N/A</v>
        <stp/>
        <stp>BDP|5097316229637507356</stp>
        <tr r="BM66" s="3"/>
      </tp>
      <tp t="s">
        <v>#N/A N/A</v>
        <stp/>
        <stp>BDP|6923668240202028679</stp>
        <tr r="J71" s="3"/>
      </tp>
      <tp t="s">
        <v>#N/A N/A</v>
        <stp/>
        <stp>BDP|2406286944170126417</stp>
        <tr r="CJ64" s="3"/>
      </tp>
      <tp t="s">
        <v>#N/A N/A</v>
        <stp/>
        <stp>BDP|2762756196428479487</stp>
        <tr r="BN73" s="3"/>
      </tp>
      <tp t="s">
        <v>#N/A N/A</v>
        <stp/>
        <stp>BDP|4864062092264182959</stp>
        <tr r="BJ56" s="3"/>
      </tp>
      <tp t="s">
        <v>#N/A N/A</v>
        <stp/>
        <stp>BDP|6054187050313847197</stp>
        <tr r="AS56" s="3"/>
      </tp>
      <tp t="s">
        <v>#N/A N/A</v>
        <stp/>
        <stp>BDP|1039601387327947877</stp>
        <tr r="AM60" s="3"/>
      </tp>
      <tp t="s">
        <v>#N/A N/A</v>
        <stp/>
        <stp>BDP|8713907200588832967</stp>
        <tr r="CC64" s="3"/>
      </tp>
      <tp t="s">
        <v>#N/A N/A</v>
        <stp/>
        <stp>BDP|1475891081849361813</stp>
        <tr r="AU76" s="3"/>
      </tp>
      <tp t="s">
        <v>#N/A N/A</v>
        <stp/>
        <stp>BDP|3261448751235134784</stp>
        <tr r="M60" s="3"/>
      </tp>
      <tp t="s">
        <v>#N/A N/A</v>
        <stp/>
        <stp>BDP|5968071553153334301</stp>
        <tr r="CE65" s="3"/>
      </tp>
      <tp t="s">
        <v>#N/A N/A</v>
        <stp/>
        <stp>BDP|5637251362228949975</stp>
        <tr r="M71" s="3"/>
      </tp>
      <tp t="s">
        <v>#N/A N/A</v>
        <stp/>
        <stp>BDP|8675398734339573118</stp>
        <tr r="AT71" s="3"/>
      </tp>
      <tp t="s">
        <v>#N/A N/A</v>
        <stp/>
        <stp>BDP|7963816523039312445</stp>
        <tr r="AI76" s="3"/>
      </tp>
      <tp t="s">
        <v>#N/A N/A</v>
        <stp/>
        <stp>BDP|3758634729154526358</stp>
        <tr r="R63" s="3"/>
      </tp>
      <tp t="s">
        <v>#N/A N/A</v>
        <stp/>
        <stp>BDP|2781584401491946654</stp>
        <tr r="CC63" s="3"/>
      </tp>
      <tp t="s">
        <v>#N/A N/A</v>
        <stp/>
        <stp>BDP|3588101810375064670</stp>
        <tr r="BO70" s="3"/>
      </tp>
      <tp t="s">
        <v>#N/A N/A</v>
        <stp/>
        <stp>BDP|2540010671330492531</stp>
        <tr r="AM67" s="3"/>
      </tp>
      <tp t="s">
        <v>#N/A N/A</v>
        <stp/>
        <stp>BDP|6713302035707936187</stp>
        <tr r="F63" s="3"/>
      </tp>
      <tp t="s">
        <v>#N/A N/A</v>
        <stp/>
        <stp>BDP|9094498736346813845</stp>
        <tr r="BV56" s="3"/>
      </tp>
      <tp t="s">
        <v>#N/A N/A</v>
        <stp/>
        <stp>BDP|3514886415909303388</stp>
        <tr r="CB70" s="3"/>
      </tp>
      <tp t="s">
        <v>#N/A N/A</v>
        <stp/>
        <stp>BDP|6693723759920987441</stp>
        <tr r="AW60" s="3"/>
      </tp>
      <tp t="s">
        <v>#N/A N/A</v>
        <stp/>
        <stp>BDP|3095606785845779822</stp>
        <tr r="BW57" s="3"/>
      </tp>
      <tp t="s">
        <v>#N/A N/A</v>
        <stp/>
        <stp>BDP|8324572134016821887</stp>
        <tr r="AW67" s="3"/>
      </tp>
      <tp t="s">
        <v>#N/A N/A</v>
        <stp/>
        <stp>BDP|7570440205321752228</stp>
        <tr r="AR55" s="3"/>
      </tp>
      <tp t="s">
        <v>#N/A N/A</v>
        <stp/>
        <stp>BDP|6880418352722808526</stp>
        <tr r="BU58" s="3"/>
      </tp>
      <tp t="s">
        <v>#N/A N/A</v>
        <stp/>
        <stp>BDP|6372235116895080072</stp>
        <tr r="AP58" s="3"/>
      </tp>
      <tp t="s">
        <v>#N/A N/A</v>
        <stp/>
        <stp>BDP|4603488829775387755</stp>
        <tr r="AF68" s="3"/>
      </tp>
      <tp t="s">
        <v>#N/A N/A</v>
        <stp/>
        <stp>BDP|9045724532005309826</stp>
        <tr r="AG70" s="3"/>
      </tp>
      <tp t="s">
        <v>#N/A N/A</v>
        <stp/>
        <stp>BDP|6151993176959871103</stp>
        <tr r="BC55" s="3"/>
      </tp>
      <tp t="s">
        <v>#N/A N/A</v>
        <stp/>
        <stp>BDP|9440991062267884112</stp>
        <tr r="BE76" s="3"/>
      </tp>
      <tp t="s">
        <v>#N/A N/A</v>
        <stp/>
        <stp>BDP|6366517599709592381</stp>
        <tr r="N67" s="3"/>
      </tp>
      <tp t="s">
        <v>#N/A N/A</v>
        <stp/>
        <stp>BDP|2593712971244199638</stp>
        <tr r="BN57" s="3"/>
      </tp>
      <tp t="s">
        <v>#N/A N/A</v>
        <stp/>
        <stp>BDP|1184098309565799411</stp>
        <tr r="CI69" s="3"/>
      </tp>
      <tp t="s">
        <v>#N/A N/A</v>
        <stp/>
        <stp>BDP|6221350223212151525</stp>
        <tr r="W60" s="3"/>
      </tp>
      <tp t="s">
        <v>#N/A N/A</v>
        <stp/>
        <stp>BDP|9477962223722703021</stp>
        <tr r="BX65" s="3"/>
      </tp>
      <tp t="s">
        <v>#N/A N/A</v>
        <stp/>
        <stp>BDP|2268393557620019487</stp>
        <tr r="T56" s="3"/>
      </tp>
      <tp t="s">
        <v>#N/A N/A</v>
        <stp/>
        <stp>BDP|5082549307645698505</stp>
        <tr r="BC59" s="3"/>
      </tp>
      <tp t="s">
        <v>#N/A N/A</v>
        <stp/>
        <stp>BDP|4079134777993876192</stp>
        <tr r="BW69" s="3"/>
      </tp>
      <tp t="s">
        <v>#N/A N/A</v>
        <stp/>
        <stp>BDP|7712443436438588851</stp>
        <tr r="Y63" s="3"/>
      </tp>
      <tp t="s">
        <v>#N/A N/A</v>
        <stp/>
        <stp>BDP|9819480599373502796</stp>
        <tr r="AY72" s="3"/>
      </tp>
      <tp t="s">
        <v>#N/A N/A</v>
        <stp/>
        <stp>BDP|2980017123662558347</stp>
        <tr r="BM63" s="3"/>
      </tp>
      <tp t="s">
        <v>#N/A N/A</v>
        <stp/>
        <stp>BDP|5896762933301446131</stp>
        <tr r="BZ70" s="3"/>
      </tp>
      <tp t="s">
        <v>#N/A N/A</v>
        <stp/>
        <stp>BDP|6961037770178004819</stp>
        <tr r="X70" s="3"/>
      </tp>
      <tp t="s">
        <v>#N/A N/A</v>
        <stp/>
        <stp>BDP|1998045077071563640</stp>
        <tr r="CC70" s="3"/>
      </tp>
      <tp t="s">
        <v>#N/A N/A</v>
        <stp/>
        <stp>BDP|2335335516099817856</stp>
        <tr r="CH63" s="3"/>
      </tp>
      <tp t="s">
        <v>#N/A N/A</v>
        <stp/>
        <stp>BDP|3975629873057970490</stp>
        <tr r="J67" s="3"/>
      </tp>
      <tp t="s">
        <v>#N/A N/A</v>
        <stp/>
        <stp>BDP|1852156297468665049</stp>
        <tr r="AT63" s="3"/>
      </tp>
      <tp t="s">
        <v>#N/A N/A</v>
        <stp/>
        <stp>BDP|7460641009947850790</stp>
        <tr r="U64" s="3"/>
      </tp>
      <tp t="s">
        <v>#N/A N/A</v>
        <stp/>
        <stp>BDP|2298274156521947526</stp>
        <tr r="AR60" s="3"/>
      </tp>
      <tp t="s">
        <v>#N/A N/A</v>
        <stp/>
        <stp>BDP|8158649440562471990</stp>
        <tr r="BT75" s="3"/>
      </tp>
      <tp t="s">
        <v>#N/A N/A</v>
        <stp/>
        <stp>BDP|5917194755301507183</stp>
        <tr r="BB60" s="3"/>
      </tp>
      <tp t="s">
        <v>#N/A N/A</v>
        <stp/>
        <stp>BDP|4837324759332811130</stp>
        <tr r="P71" s="3"/>
      </tp>
      <tp t="s">
        <v>#N/A N/A</v>
        <stp/>
        <stp>BDP|1156124985630844966</stp>
        <tr r="AS68" s="3"/>
      </tp>
      <tp t="s">
        <v>#N/A N/A</v>
        <stp/>
        <stp>BDP|9057370783870429388</stp>
        <tr r="Y76" s="3"/>
      </tp>
      <tp t="s">
        <v>#N/A N/A</v>
        <stp/>
        <stp>BDP|4925844961508369373</stp>
        <tr r="AF60" s="3"/>
      </tp>
      <tp t="s">
        <v>#N/A N/A</v>
        <stp/>
        <stp>BDP|2721726056232285381</stp>
        <tr r="AS60" s="3"/>
      </tp>
      <tp t="s">
        <v>#N/A N/A</v>
        <stp/>
        <stp>BDP|5853279410972630506</stp>
        <tr r="BK63" s="3"/>
      </tp>
      <tp t="s">
        <v>#N/A N/A</v>
        <stp/>
        <stp>BDP|9244418359150108928</stp>
        <tr r="BO74" s="3"/>
      </tp>
      <tp t="s">
        <v>#N/A N/A</v>
        <stp/>
        <stp>BDP|3511315023185825661</stp>
        <tr r="X68" s="3"/>
      </tp>
      <tp t="s">
        <v>#N/A N/A</v>
        <stp/>
        <stp>BDP|4235796235821544056</stp>
        <tr r="BK56" s="3"/>
      </tp>
      <tp t="s">
        <v>#N/A N/A</v>
        <stp/>
        <stp>BDP|3537984981367300416</stp>
        <tr r="AC62" s="3"/>
      </tp>
      <tp t="s">
        <v>#N/A N/A</v>
        <stp/>
        <stp>BDP|3350611199189695424</stp>
        <tr r="CJ73" s="3"/>
      </tp>
      <tp t="s">
        <v>#N/A N/A</v>
        <stp/>
        <stp>BDP|4684219972701228184</stp>
        <tr r="AN68" s="3"/>
      </tp>
      <tp t="s">
        <v>#N/A N/A</v>
        <stp/>
        <stp>BDP|4198027428137408035</stp>
        <tr r="AT72" s="3"/>
      </tp>
      <tp t="s">
        <v>#N/A N/A</v>
        <stp/>
        <stp>BDP|1283302719892468035</stp>
        <tr r="CC59" s="3"/>
      </tp>
      <tp t="s">
        <v>#N/A N/A</v>
        <stp/>
        <stp>BDP|1652244948215238340</stp>
        <tr r="AG60" s="3"/>
      </tp>
      <tp t="s">
        <v>#N/A N/A</v>
        <stp/>
        <stp>BDP|6913555310926764568</stp>
        <tr r="BN65" s="3"/>
      </tp>
      <tp t="s">
        <v>#N/A N/A</v>
        <stp/>
        <stp>BDP|9889944568425151275</stp>
        <tr r="AI71" s="3"/>
      </tp>
      <tp t="s">
        <v>#N/A N/A</v>
        <stp/>
        <stp>BDP|5394265569413940379</stp>
        <tr r="AC68" s="3"/>
      </tp>
      <tp t="s">
        <v>#N/A N/A</v>
        <stp/>
        <stp>BDP|5676357920190508544</stp>
        <tr r="AQ66" s="3"/>
      </tp>
      <tp t="s">
        <v>#N/A N/A</v>
        <stp/>
        <stp>BDP|6599041609465805234</stp>
        <tr r="T59" s="3"/>
      </tp>
      <tp t="s">
        <v>#N/A N/A</v>
        <stp/>
        <stp>BDP|2284407770354568442</stp>
        <tr r="AV75" s="3"/>
      </tp>
      <tp t="s">
        <v>#N/A N/A</v>
        <stp/>
        <stp>BDP|6603184935070381584</stp>
        <tr r="BO55" s="3"/>
      </tp>
      <tp t="s">
        <v>#N/A N/A</v>
        <stp/>
        <stp>BDP|7551508837967383711</stp>
        <tr r="CB57" s="3"/>
      </tp>
      <tp t="s">
        <v>#N/A N/A</v>
        <stp/>
        <stp>BDP|8590953987979676119</stp>
        <tr r="AZ74" s="3"/>
      </tp>
      <tp t="s">
        <v>#N/A N/A</v>
        <stp/>
        <stp>BDP|6160712233353357006</stp>
        <tr r="BH63" s="3"/>
      </tp>
      <tp t="s">
        <v>#N/A N/A</v>
        <stp/>
        <stp>BDP|4235126577035573639</stp>
        <tr r="X71" s="3"/>
      </tp>
      <tp t="s">
        <v>#N/A N/A</v>
        <stp/>
        <stp>BDP|3332662223197693112</stp>
        <tr r="AT74" s="3"/>
      </tp>
      <tp t="s">
        <v>#N/A N/A</v>
        <stp/>
        <stp>BDP|9763837803221240136</stp>
        <tr r="S69" s="3"/>
      </tp>
      <tp t="s">
        <v>#N/A N/A</v>
        <stp/>
        <stp>BDP|1617905390456306632</stp>
        <tr r="R71" s="3"/>
      </tp>
      <tp t="s">
        <v>#N/A N/A</v>
        <stp/>
        <stp>BDP|8807934430553929046</stp>
        <tr r="BO62" s="3"/>
      </tp>
      <tp t="s">
        <v>#N/A N/A</v>
        <stp/>
        <stp>BDP|8861978259845422040</stp>
        <tr r="X67" s="3"/>
      </tp>
      <tp t="s">
        <v>#N/A N/A</v>
        <stp/>
        <stp>BDP|3588711902106066317</stp>
        <tr r="Y70" s="3"/>
      </tp>
      <tp t="s">
        <v>#N/A N/A</v>
        <stp/>
        <stp>BDP|3713207627970642214</stp>
        <tr r="BM56" s="3"/>
      </tp>
      <tp t="s">
        <v>#N/A N/A</v>
        <stp/>
        <stp>BDP|6404260467477669462</stp>
        <tr r="BB66" s="3"/>
      </tp>
      <tp t="s">
        <v>#N/A N/A</v>
        <stp/>
        <stp>BDP|4941781837000131125</stp>
        <tr r="N76" s="3"/>
      </tp>
      <tp t="s">
        <v>#N/A N/A</v>
        <stp/>
        <stp>BDP|7750114557180288190</stp>
        <tr r="AF55" s="3"/>
      </tp>
      <tp t="s">
        <v>#N/A N/A</v>
        <stp/>
        <stp>BDP|6708191201770137542</stp>
        <tr r="BY62" s="3"/>
      </tp>
      <tp t="s">
        <v>#N/A N/A</v>
        <stp/>
        <stp>BDP|8297319200959976017</stp>
        <tr r="W70" s="3"/>
      </tp>
      <tp t="s">
        <v>#N/A N/A</v>
        <stp/>
        <stp>BDP|6845630726654127478</stp>
        <tr r="BF74" s="3"/>
      </tp>
      <tp t="s">
        <v>#N/A N/A</v>
        <stp/>
        <stp>BDP|8997850690742677913</stp>
        <tr r="BX63" s="3"/>
      </tp>
      <tp t="s">
        <v>#N/A N/A</v>
        <stp/>
        <stp>BDP|2963470296859230427</stp>
        <tr r="AW55" s="3"/>
      </tp>
      <tp t="s">
        <v>#N/A N/A</v>
        <stp/>
        <stp>BDP|7756489312665334572</stp>
        <tr r="BH59" s="3"/>
      </tp>
      <tp t="s">
        <v>#N/A N/A</v>
        <stp/>
        <stp>BDP|2712239051491554698</stp>
        <tr r="BV75" s="3"/>
      </tp>
      <tp t="s">
        <v>#N/A N/A</v>
        <stp/>
        <stp>BDP|7113996453590479962</stp>
        <tr r="BP76" s="3"/>
      </tp>
      <tp t="s">
        <v>#N/A N/A</v>
        <stp/>
        <stp>BDP|3714551932497926075</stp>
        <tr r="BF72" s="3"/>
      </tp>
      <tp t="s">
        <v>#N/A N/A</v>
        <stp/>
        <stp>BDP|3739036506754933555</stp>
        <tr r="Q70" s="3"/>
      </tp>
      <tp t="s">
        <v>#N/A N/A</v>
        <stp/>
        <stp>BDP|8527507596770946657</stp>
        <tr r="F62" s="3"/>
      </tp>
      <tp t="s">
        <v>#N/A N/A</v>
        <stp/>
        <stp>BDP|2829863911958725145</stp>
        <tr r="BH76" s="3"/>
      </tp>
      <tp t="s">
        <v>#N/A N/A</v>
        <stp/>
        <stp>BDP|7020588745492088617</stp>
        <tr r="CK76" s="3"/>
      </tp>
      <tp t="s">
        <v>#N/A N/A</v>
        <stp/>
        <stp>BDP|7291117393749881441</stp>
        <tr r="AS70" s="3"/>
      </tp>
      <tp t="s">
        <v>#N/A N/A</v>
        <stp/>
        <stp>BDP|8208899286578884294</stp>
        <tr r="BE57" s="3"/>
      </tp>
      <tp t="s">
        <v>#N/A N/A</v>
        <stp/>
        <stp>BDP|3852990429619156347</stp>
        <tr r="CB75" s="3"/>
      </tp>
      <tp t="s">
        <v>#N/A N/A</v>
        <stp/>
        <stp>BDP|3081307165053093785</stp>
        <tr r="AT65" s="3"/>
      </tp>
      <tp t="s">
        <v>#N/A N/A</v>
        <stp/>
        <stp>BDP|6628092012400462540</stp>
        <tr r="BC62" s="3"/>
      </tp>
      <tp t="s">
        <v>#N/A N/A</v>
        <stp/>
        <stp>BDP|9132864847585228209</stp>
        <tr r="BI59" s="3"/>
      </tp>
      <tp t="s">
        <v>#N/A N/A</v>
        <stp/>
        <stp>BDP|3892847190030647080</stp>
        <tr r="AN65" s="3"/>
      </tp>
      <tp t="s">
        <v>#N/A N/A</v>
        <stp/>
        <stp>BDP|5197671301606114745</stp>
        <tr r="CE66" s="3"/>
      </tp>
      <tp t="s">
        <v>#N/A N/A</v>
        <stp/>
        <stp>BDP|8370255515229494055</stp>
        <tr r="BX76" s="3"/>
      </tp>
      <tp t="s">
        <v>#N/A N/A</v>
        <stp/>
        <stp>BDP|2135311051684258209</stp>
        <tr r="BZ76" s="3"/>
      </tp>
      <tp t="s">
        <v>#N/A N/A</v>
        <stp/>
        <stp>BDP|7432159637543156440</stp>
        <tr r="BK66" s="3"/>
      </tp>
      <tp t="s">
        <v>#N/A N/A</v>
        <stp/>
        <stp>BDP|1678095668841298469</stp>
        <tr r="AB56" s="3"/>
      </tp>
      <tp t="s">
        <v>#N/A N/A</v>
        <stp/>
        <stp>BDP|3076959295264622551</stp>
        <tr r="AY70" s="3"/>
      </tp>
      <tp t="s">
        <v>#N/A N/A</v>
        <stp/>
        <stp>BDP|5750519213717548431</stp>
        <tr r="Y74" s="3"/>
      </tp>
      <tp t="s">
        <v>#N/A N/A</v>
        <stp/>
        <stp>BDP|9134155207319474343</stp>
        <tr r="AT55" s="3"/>
      </tp>
      <tp t="s">
        <v>#N/A N/A</v>
        <stp/>
        <stp>BDP|7507386060392703296</stp>
        <tr r="AX75" s="3"/>
      </tp>
      <tp t="s">
        <v>#N/A N/A</v>
        <stp/>
        <stp>BDP|9204616529717054892</stp>
        <tr r="BN56" s="3"/>
      </tp>
      <tp t="s">
        <v>#N/A N/A</v>
        <stp/>
        <stp>BDP|3263810784672289356</stp>
        <tr r="AE58" s="3"/>
      </tp>
      <tp t="s">
        <v>#N/A N/A</v>
        <stp/>
        <stp>BDP|3252686978846397613</stp>
        <tr r="AL69" s="3"/>
      </tp>
      <tp t="s">
        <v>#N/A N/A</v>
        <stp/>
        <stp>BDP|8641046082402009006</stp>
        <tr r="AA57" s="3"/>
      </tp>
      <tp t="s">
        <v>#N/A N/A</v>
        <stp/>
        <stp>BDP|3392860336542088836</stp>
        <tr r="CI57" s="3"/>
      </tp>
      <tp t="s">
        <v>#N/A N/A</v>
        <stp/>
        <stp>BDP|7357930475459689223</stp>
        <tr r="J59" s="3"/>
      </tp>
      <tp t="s">
        <v>#N/A N/A</v>
        <stp/>
        <stp>BDP|6793677614415332666</stp>
        <tr r="BJ72" s="3"/>
      </tp>
      <tp t="s">
        <v>#N/A N/A</v>
        <stp/>
        <stp>BDP|9621615087605748066</stp>
        <tr r="BI57" s="3"/>
      </tp>
      <tp t="s">
        <v>#N/A N/A</v>
        <stp/>
        <stp>BDP|4700423960827036337</stp>
        <tr r="BE73" s="3"/>
      </tp>
      <tp t="s">
        <v>#N/A N/A</v>
        <stp/>
        <stp>BDP|4545646135473767050</stp>
        <tr r="BR59" s="3"/>
      </tp>
      <tp t="s">
        <v>#N/A N/A</v>
        <stp/>
        <stp>BDP|3909188122976648435</stp>
        <tr r="CC66" s="3"/>
      </tp>
      <tp t="s">
        <v>#N/A N/A</v>
        <stp/>
        <stp>BDP|4307841778010918900</stp>
        <tr r="BA72" s="3"/>
      </tp>
      <tp t="s">
        <v>#N/A N/A</v>
        <stp/>
        <stp>BDP|5027108406974574256</stp>
        <tr r="BZ57" s="3"/>
      </tp>
      <tp t="s">
        <v>#N/A N/A</v>
        <stp/>
        <stp>BDP|3707808143715337806</stp>
        <tr r="BY59" s="3"/>
      </tp>
      <tp t="s">
        <v>#N/A N/A</v>
        <stp/>
        <stp>BDP|5789670657825969198</stp>
        <tr r="AS62" s="3"/>
      </tp>
      <tp t="s">
        <v>#N/A N/A</v>
        <stp/>
        <stp>BDP|6821880977143651868</stp>
        <tr r="BM76" s="3"/>
      </tp>
      <tp t="s">
        <v>#N/A N/A</v>
        <stp/>
        <stp>BDP|6803201938630224551</stp>
        <tr r="BY75" s="3"/>
      </tp>
      <tp t="s">
        <v>#N/A N/A</v>
        <stp/>
        <stp>BDP|2930568071996918432</stp>
        <tr r="AU59" s="3"/>
      </tp>
      <tp t="s">
        <v>#N/A N/A</v>
        <stp/>
        <stp>BDP|5492318930315562241</stp>
        <tr r="BV74" s="3"/>
      </tp>
      <tp t="s">
        <v>#N/A N/A</v>
        <stp/>
        <stp>BDP|5533217845094642527</stp>
        <tr r="U63" s="3"/>
      </tp>
      <tp t="s">
        <v>#N/A N/A</v>
        <stp/>
        <stp>BDP|3536386721044188573</stp>
        <tr r="AM57" s="3"/>
      </tp>
      <tp t="s">
        <v>#N/A N/A</v>
        <stp/>
        <stp>BDP|3569405125404809225</stp>
        <tr r="AO64" s="3"/>
      </tp>
      <tp t="s">
        <v>#N/A N/A</v>
        <stp/>
        <stp>BDP|7703214924132956616</stp>
        <tr r="BQ63" s="3"/>
      </tp>
      <tp t="s">
        <v>#N/A N/A</v>
        <stp/>
        <stp>BDP|4324587450503350435</stp>
        <tr r="R72" s="3"/>
      </tp>
      <tp t="s">
        <v>#N/A N/A</v>
        <stp/>
        <stp>BDP|3560995402191191879</stp>
        <tr r="BP64" s="3"/>
      </tp>
      <tp t="s">
        <v>#N/A N/A</v>
        <stp/>
        <stp>BDP|1922231645043377743</stp>
        <tr r="BR55" s="3"/>
      </tp>
      <tp t="s">
        <v>#N/A N/A</v>
        <stp/>
        <stp>BDP|5671653917933400295</stp>
        <tr r="AV70" s="3"/>
      </tp>
      <tp t="s">
        <v>#N/A N/A</v>
        <stp/>
        <stp>BDP|3952699153901343297</stp>
        <tr r="H57" s="3"/>
      </tp>
      <tp t="s">
        <v>#N/A N/A</v>
        <stp/>
        <stp>BDP|8670985963854138025</stp>
        <tr r="AO71" s="3"/>
      </tp>
      <tp t="s">
        <v>#N/A N/A</v>
        <stp/>
        <stp>BDP|1252440509531599748</stp>
        <tr r="BU68" s="3"/>
      </tp>
      <tp t="s">
        <v>#N/A N/A</v>
        <stp/>
        <stp>BDP|5675702328062954194</stp>
        <tr r="O62" s="3"/>
      </tp>
      <tp t="s">
        <v>#N/A N/A</v>
        <stp/>
        <stp>BDP|5929419854624077334</stp>
        <tr r="BC60" s="3"/>
      </tp>
      <tp t="s">
        <v>#N/A N/A</v>
        <stp/>
        <stp>BDP|8385345999465558448</stp>
        <tr r="CA75" s="3"/>
      </tp>
      <tp t="s">
        <v>#N/A N/A</v>
        <stp/>
        <stp>BDP|4948677404003798211</stp>
        <tr r="AZ57" s="3"/>
      </tp>
      <tp t="s">
        <v>#N/A N/A</v>
        <stp/>
        <stp>BDP|2074761805827860177</stp>
        <tr r="BZ71" s="3"/>
      </tp>
      <tp t="s">
        <v>#N/A N/A</v>
        <stp/>
        <stp>BDP|2007243118526817486</stp>
        <tr r="AC75" s="3"/>
      </tp>
      <tp t="s">
        <v>#N/A N/A</v>
        <stp/>
        <stp>BDP|2101691739493584795</stp>
        <tr r="AC76" s="3"/>
      </tp>
      <tp t="s">
        <v>#N/A N/A</v>
        <stp/>
        <stp>BDP|1884286275613514426</stp>
        <tr r="AP59" s="3"/>
      </tp>
      <tp t="s">
        <v>#N/A N/A</v>
        <stp/>
        <stp>BDP|4678784174471142691</stp>
        <tr r="BE64" s="3"/>
      </tp>
      <tp t="s">
        <v>#N/A N/A</v>
        <stp/>
        <stp>BDP|9692840443284699257</stp>
        <tr r="AU74" s="3"/>
      </tp>
      <tp t="s">
        <v>#N/A N/A</v>
        <stp/>
        <stp>BDP|5240474462496771226</stp>
        <tr r="W71" s="3"/>
      </tp>
      <tp t="s">
        <v>#N/A N/A</v>
        <stp/>
        <stp>BDP|6730478735404523629</stp>
        <tr r="AW68" s="3"/>
      </tp>
      <tp t="s">
        <v>#N/A N/A</v>
        <stp/>
        <stp>BDP|3769454332553479479</stp>
        <tr r="CH72" s="3"/>
      </tp>
      <tp t="s">
        <v>#N/A N/A</v>
        <stp/>
        <stp>BDP|3952474060857843555</stp>
        <tr r="CE67" s="3"/>
      </tp>
      <tp t="s">
        <v>#N/A N/A</v>
        <stp/>
        <stp>BDP|1232229150452579761</stp>
        <tr r="AE66" s="3"/>
      </tp>
      <tp t="s">
        <v>#N/A N/A</v>
        <stp/>
        <stp>BDP|6738093026523284497</stp>
        <tr r="AY73" s="3"/>
      </tp>
      <tp t="s">
        <v>#N/A N/A</v>
        <stp/>
        <stp>BDP|5927119227662456788</stp>
        <tr r="I65" s="3"/>
      </tp>
      <tp t="s">
        <v>#N/A N/A</v>
        <stp/>
        <stp>BDP|8718540890211873680</stp>
        <tr r="BV70" s="3"/>
      </tp>
      <tp t="s">
        <v>#N/A N/A</v>
        <stp/>
        <stp>BDP|3065152041327048274</stp>
        <tr r="N56" s="3"/>
      </tp>
      <tp t="s">
        <v>#N/A N/A</v>
        <stp/>
        <stp>BDP|9465938050164300246</stp>
        <tr r="BO76" s="3"/>
      </tp>
      <tp t="s">
        <v>#N/A N/A</v>
        <stp/>
        <stp>BDP|7308040273761418205</stp>
        <tr r="CK74" s="3"/>
      </tp>
      <tp t="s">
        <v>#N/A N/A</v>
        <stp/>
        <stp>BDP|3380378826482656352</stp>
        <tr r="CJ74" s="3"/>
      </tp>
      <tp t="s">
        <v>#N/A N/A</v>
        <stp/>
        <stp>BDP|6519457374510520672</stp>
        <tr r="R70" s="3"/>
      </tp>
      <tp t="s">
        <v>#N/A N/A</v>
        <stp/>
        <stp>BDP|3882648108707372115</stp>
        <tr r="BE56" s="3"/>
      </tp>
      <tp t="s">
        <v>#N/A N/A</v>
        <stp/>
        <stp>BDP|6482900694200378540</stp>
        <tr r="BS72" s="3"/>
      </tp>
      <tp t="s">
        <v>#N/A N/A</v>
        <stp/>
        <stp>BDP|7920689111043157057</stp>
        <tr r="J75" s="3"/>
      </tp>
      <tp t="s">
        <v>#N/A N/A</v>
        <stp/>
        <stp>BDP|7501205229927044393</stp>
        <tr r="AK75" s="3"/>
      </tp>
      <tp t="s">
        <v>#N/A N/A</v>
        <stp/>
        <stp>BDP|9086957547870756709</stp>
        <tr r="BF76" s="3"/>
      </tp>
      <tp t="s">
        <v>#N/A N/A</v>
        <stp/>
        <stp>BDP|1199304240642330772</stp>
        <tr r="CD69" s="3"/>
      </tp>
      <tp t="s">
        <v>#N/A N/A</v>
        <stp/>
        <stp>BDP|41282890686020412</stp>
        <tr r="BC74" s="3"/>
      </tp>
      <tp t="s">
        <v>#N/A N/A</v>
        <stp/>
        <stp>BDP|60798093883105537</stp>
        <tr r="AB62" s="3"/>
      </tp>
      <tp t="s">
        <v>#N/A N/A</v>
        <stp/>
        <stp>BDP|40400915488452612</stp>
        <tr r="G73" s="3"/>
      </tp>
      <tp t="s">
        <v>#N/A N/A</v>
        <stp/>
        <stp>BDP|70250881898975885</stp>
        <tr r="AC59" s="3"/>
      </tp>
      <tp t="s">
        <v>#N/A N/A</v>
        <stp/>
        <stp>BDP|65143865078490068</stp>
        <tr r="AO72" s="3"/>
      </tp>
      <tp t="s">
        <v>#N/A N/A</v>
        <stp/>
        <stp>BDP|83419364325512965</stp>
        <tr r="BJ68" s="3"/>
      </tp>
      <tp t="s">
        <v>#N/A N/A</v>
        <stp/>
        <stp>BDP|11114369607131146</stp>
        <tr r="BX55" s="3"/>
      </tp>
      <tp t="s">
        <v>#N/A N/A</v>
        <stp/>
        <stp>BDP|23762452226456180</stp>
        <tr r="L72" s="3"/>
      </tp>
      <tp t="s">
        <v>#N/A N/A</v>
        <stp/>
        <stp>BDP|38457116858874946</stp>
        <tr r="AS73" s="3"/>
      </tp>
      <tp t="s">
        <v>#N/A N/A</v>
        <stp/>
        <stp>BDP|227271073772397287</stp>
        <tr r="BL72" s="3"/>
      </tp>
      <tp t="s">
        <v>#N/A N/A</v>
        <stp/>
        <stp>BDP|249692534192877210</stp>
        <tr r="AT76" s="3"/>
      </tp>
      <tp t="s">
        <v>#N/A N/A</v>
        <stp/>
        <stp>BDP|776808059780234929</stp>
        <tr r="AP64" s="3"/>
      </tp>
      <tp t="s">
        <v>#N/A N/A</v>
        <stp/>
        <stp>BDP|932481367850546689</stp>
        <tr r="BC65" s="3"/>
      </tp>
      <tp t="s">
        <v>#N/A N/A</v>
        <stp/>
        <stp>BDP|418818255630179947</stp>
        <tr r="J70" s="3"/>
      </tp>
      <tp t="s">
        <v>#N/A N/A</v>
        <stp/>
        <stp>BDP|405553441941037401</stp>
        <tr r="CK58" s="3"/>
      </tp>
      <tp t="s">
        <v>#N/A N/A</v>
        <stp/>
        <stp>BDP|242488866937478220</stp>
        <tr r="Z66" s="3"/>
      </tp>
      <tp t="s">
        <v>#N/A N/A</v>
        <stp/>
        <stp>BDP|629125879725542422</stp>
        <tr r="AH74" s="3"/>
      </tp>
      <tp t="s">
        <v>#N/A N/A</v>
        <stp/>
        <stp>BDP|771846626268717561</stp>
        <tr r="AJ59" s="3"/>
      </tp>
      <tp t="s">
        <v>#N/A N/A</v>
        <stp/>
        <stp>BDP|650144752833777029</stp>
        <tr r="BN72" s="3"/>
      </tp>
      <tp t="s">
        <v>#N/A N/A</v>
        <stp/>
        <stp>BDP|702661549184539184</stp>
        <tr r="CF59" s="3"/>
      </tp>
      <tp t="s">
        <v>#N/A N/A</v>
        <stp/>
        <stp>BDP|949257537946976044</stp>
        <tr r="CF67" s="3"/>
      </tp>
      <tp t="s">
        <v>#N/A N/A</v>
        <stp/>
        <stp>BDP|486570422700714050</stp>
        <tr r="BR60" s="3"/>
      </tp>
      <tp t="s">
        <v>#N/A N/A</v>
        <stp/>
        <stp>BDP|470633745993771665</stp>
        <tr r="W65" s="3"/>
      </tp>
      <tp t="s">
        <v>#N/A N/A</v>
        <stp/>
        <stp>BDP|803010047663504133</stp>
        <tr r="W66" s="3"/>
      </tp>
      <tp t="s">
        <v>#N/A N/A</v>
        <stp/>
        <stp>BDP|516334155729915938</stp>
        <tr r="CF68" s="3"/>
      </tp>
      <tp t="s">
        <v>#N/A N/A</v>
        <stp/>
        <stp>BDP|977221432270211719</stp>
        <tr r="BI73" s="3"/>
      </tp>
      <tp t="s">
        <v>#N/A N/A</v>
        <stp/>
        <stp>BDP|234186741105069605</stp>
        <tr r="G66" s="3"/>
      </tp>
      <tp t="s">
        <v>#N/A N/A</v>
        <stp/>
        <stp>BDP|747477139689922804</stp>
        <tr r="AL66" s="3"/>
      </tp>
      <tp t="s">
        <v>#N/A N/A</v>
        <stp/>
        <stp>BDP|835585504694564721</stp>
        <tr r="AL55" s="3"/>
      </tp>
      <tp t="s">
        <v>#N/A N/A</v>
        <stp/>
        <stp>BDP|567362473294884148</stp>
        <tr r="BR68" s="3"/>
      </tp>
      <tp t="s">
        <v>#N/A N/A</v>
        <stp/>
        <stp>BDP|860008338191413392</stp>
        <tr r="CD58" s="3"/>
      </tp>
      <tp t="s">
        <v>#N/A N/A</v>
        <stp/>
        <stp>BDP|642524276987998449</stp>
        <tr r="BP74" s="3"/>
      </tp>
      <tp t="s">
        <v>#N/A N/A</v>
        <stp/>
        <stp>BDP|430486838030705682</stp>
        <tr r="AD63" s="3"/>
      </tp>
      <tp t="s">
        <v>#N/A N/A</v>
        <stp/>
        <stp>BDP|671956513551099858</stp>
        <tr r="AF76" s="3"/>
      </tp>
      <tp t="s">
        <v>#N/A N/A</v>
        <stp/>
        <stp>BDP|142341710123532012</stp>
        <tr r="CE62" s="3"/>
      </tp>
      <tp t="s">
        <v>#N/A N/A</v>
        <stp/>
        <stp>BDP|715285322722544241</stp>
        <tr r="BA57" s="3"/>
      </tp>
      <tp t="s">
        <v>#N/A N/A</v>
        <stp/>
        <stp>BDP|798949898533242348</stp>
        <tr r="BV65" s="3"/>
      </tp>
      <tp t="s">
        <v>#N/A N/A</v>
        <stp/>
        <stp>BDP|368289342080630670</stp>
        <tr r="BI68" s="3"/>
      </tp>
      <tp t="s">
        <v>#N/A N/A</v>
        <stp/>
        <stp>BDP|143987763028505790</stp>
        <tr r="AW65" s="3"/>
      </tp>
      <tp t="s">
        <v>#N/A N/A</v>
        <stp/>
        <stp>BDP|826260034957439697</stp>
        <tr r="U70" s="3"/>
      </tp>
      <tp t="s">
        <v>#N/A N/A</v>
        <stp/>
        <stp>BDP|450191633695801777</stp>
        <tr r="CC60" s="3"/>
      </tp>
      <tp t="s">
        <v>#N/A N/A</v>
        <stp/>
        <stp>BDP|896702115393533613</stp>
        <tr r="BW63" s="3"/>
      </tp>
      <tp t="s">
        <v>#N/A N/A</v>
        <stp/>
        <stp>BDP|745236946946039383</stp>
        <tr r="CB71" s="3"/>
      </tp>
      <tp t="s">
        <v>#N/A N/A</v>
        <stp/>
        <stp>BDP|145354576502073581</stp>
        <tr r="X69" s="3"/>
      </tp>
      <tp t="s">
        <v>#N/A N/A</v>
        <stp/>
        <stp>BDP|324130042221754719</stp>
        <tr r="BQ62" s="3"/>
      </tp>
      <tp t="s">
        <v>#N/A N/A</v>
        <stp/>
        <stp>BDP|213244062865998289</stp>
        <tr r="BB57" s="3"/>
      </tp>
      <tp t="s">
        <v>#N/A N/A</v>
        <stp/>
        <stp>BDP|486273213676137674</stp>
        <tr r="AU68" s="3"/>
      </tp>
      <tp t="s">
        <v>#N/A N/A</v>
        <stp/>
        <stp>BDP|518412373688004812</stp>
        <tr r="CE59" s="3"/>
      </tp>
      <tp t="s">
        <v>#N/A N/A</v>
        <stp/>
        <stp>BDP|753041408417510490</stp>
        <tr r="BP58" s="3"/>
      </tp>
      <tp t="s">
        <v>#N/A N/A</v>
        <stp/>
        <stp>BDP|689703732117890107</stp>
        <tr r="AR56" s="3"/>
      </tp>
      <tp t="s">
        <v>#N/A N/A</v>
        <stp/>
        <stp>BDP|167340376800964652</stp>
        <tr r="AR62" s="3"/>
      </tp>
      <tp t="s">
        <v>#N/A N/A</v>
        <stp/>
        <stp>BDP|657956646448234719</stp>
        <tr r="AZ63" s="3"/>
      </tp>
      <tp t="s">
        <v>#N/A N/A</v>
        <stp/>
        <stp>BDP|176540253725545735</stp>
        <tr r="BM69" s="3"/>
      </tp>
      <tp t="s">
        <v>#N/A N/A</v>
        <stp/>
        <stp>BDP|291279925595562757</stp>
        <tr r="BC73" s="3"/>
      </tp>
      <tp t="s">
        <v>#N/A N/A</v>
        <stp/>
        <stp>BDP|352268709697654855</stp>
        <tr r="AK66" s="3"/>
      </tp>
      <tp t="s">
        <v>#N/A N/A</v>
        <stp/>
        <stp>BDP|995963220912610466</stp>
        <tr r="U56" s="3"/>
      </tp>
      <tp t="s">
        <v>#N/A N/A</v>
        <stp/>
        <stp>BDP|821107905284049846</stp>
        <tr r="AK62" s="3"/>
      </tp>
      <tp t="s">
        <v>#N/A N/A</v>
        <stp/>
        <stp>BDP|812176336929774649</stp>
        <tr r="T55" s="3"/>
      </tp>
      <tp t="s">
        <v>#N/A N/A</v>
        <stp/>
        <stp>BDP|740801868772765134</stp>
        <tr r="BK60" s="3"/>
      </tp>
      <tp t="s">
        <v>#N/A N/A</v>
        <stp/>
        <stp>BDP|608585891762986370</stp>
        <tr r="CC55" s="3"/>
      </tp>
      <tp t="s">
        <v>#N/A N/A</v>
        <stp/>
        <stp>BDP|112347714108227725</stp>
        <tr r="AT70" s="3"/>
      </tp>
      <tp t="s">
        <v>#N/A N/A</v>
        <stp/>
        <stp>BDP|749550323789883221</stp>
        <tr r="AV57" s="3"/>
      </tp>
      <tp t="s">
        <v>#N/A N/A</v>
        <stp/>
        <stp>BDP|343204594807896092</stp>
        <tr r="BS65" s="3"/>
      </tp>
      <tp t="s">
        <v>#N/A N/A</v>
        <stp/>
        <stp>BDP|501806749334344738</stp>
        <tr r="AW70" s="3"/>
      </tp>
      <tp t="s">
        <v>#N/A N/A</v>
        <stp/>
        <stp>BDP|661573557506854919</stp>
        <tr r="BP71" s="3"/>
      </tp>
      <tp t="s">
        <v>#N/A N/A</v>
        <stp/>
        <stp>BDP|738834536452310647</stp>
        <tr r="BL65" s="3"/>
      </tp>
      <tp t="s">
        <v>#N/A N/A</v>
        <stp/>
        <stp>BDP|321412017652412814</stp>
        <tr r="BT67" s="3"/>
      </tp>
      <tp t="s">
        <v>#N/A N/A</v>
        <stp/>
        <stp>BDP|520493383707941582</stp>
        <tr r="O74" s="3"/>
      </tp>
      <tp t="s">
        <v>#N/A N/A</v>
        <stp/>
        <stp>BDP|443591454048223626</stp>
        <tr r="AV74" s="3"/>
      </tp>
      <tp t="s">
        <v>#N/A N/A</v>
        <stp/>
        <stp>BDP|964934020716063335</stp>
        <tr r="AK59" s="3"/>
      </tp>
      <tp t="s">
        <v>#N/A N/A</v>
        <stp/>
        <stp>BDP|878399930278484631</stp>
        <tr r="BC64" s="3"/>
      </tp>
      <tp t="s">
        <v>#N/A N/A</v>
        <stp/>
        <stp>BDP|586174295114278277</stp>
        <tr r="P60" s="3"/>
      </tp>
      <tp t="s">
        <v>#N/A N/A</v>
        <stp/>
        <stp>BDP|308896926732427143</stp>
        <tr r="AR57" s="3"/>
      </tp>
      <tp t="s">
        <v>#N/A N/A</v>
        <stp/>
        <stp>BDP|948951873994887393</stp>
        <tr r="BE67" s="3"/>
      </tp>
      <tp t="s">
        <v>#N/A N/A</v>
        <stp/>
        <stp>BDP|163797694500105744</stp>
        <tr r="AA65" s="3"/>
      </tp>
      <tp t="s">
        <v>#N/A N/A</v>
        <stp/>
        <stp>BDP|818000033199086316</stp>
        <tr r="AU62" s="3"/>
      </tp>
      <tp t="s">
        <v>#N/A N/A</v>
        <stp/>
        <stp>BDP|859912876884656329</stp>
        <tr r="BT63" s="3"/>
      </tp>
      <tp t="s">
        <v>#N/A N/A</v>
        <stp/>
        <stp>BDP|656476630469386759</stp>
        <tr r="AD66" s="3"/>
      </tp>
      <tp t="s">
        <v>#N/A N/A</v>
        <stp/>
        <stp>BDP|772145170076687946</stp>
        <tr r="AP66" s="3"/>
      </tp>
      <tp t="s">
        <v>#N/A N/A</v>
        <stp/>
        <stp>BDP|130945325107214509</stp>
        <tr r="BG73" s="3"/>
      </tp>
      <tp t="s">
        <v>#N/A N/A</v>
        <stp/>
        <stp>BDP|600182659435845978</stp>
        <tr r="CE68" s="3"/>
      </tp>
      <tp t="s">
        <v>#N/A N/A</v>
        <stp/>
        <stp>BDP|937511887500279576</stp>
        <tr r="BR74" s="3"/>
      </tp>
      <tp t="s">
        <v>#N/A N/A</v>
        <stp/>
        <stp>BDP|715867355304647144</stp>
        <tr r="BD59" s="3"/>
      </tp>
      <tp t="s">
        <v>#N/A N/A</v>
        <stp/>
        <stp>BDP|469631586603675542</stp>
        <tr r="AS64" s="3"/>
      </tp>
      <tp t="s">
        <v>#N/A N/A</v>
        <stp/>
        <stp>BDP|192062089580012321</stp>
        <tr r="BN67" s="3"/>
      </tp>
      <tp t="s">
        <v>#N/A N/A</v>
        <stp/>
        <stp>BDP|920980228944649428</stp>
        <tr r="BZ56" s="3"/>
      </tp>
      <tp t="s">
        <v>#N/A N/A</v>
        <stp/>
        <stp>BDP|672951174562803724</stp>
        <tr r="BT62" s="3"/>
      </tp>
      <tp t="s">
        <v>#N/A N/A</v>
        <stp/>
        <stp>BDP|572496888087942050</stp>
        <tr r="AT67" s="3"/>
      </tp>
      <tp t="s">
        <v>#N/A N/A</v>
        <stp/>
        <stp>BDP|493519365571646905</stp>
        <tr r="AZ55" s="3"/>
      </tp>
      <tp t="s">
        <v>#N/A N/A</v>
        <stp/>
        <stp>BDP|761589919326031953</stp>
        <tr r="BW76" s="3"/>
      </tp>
      <tp t="s">
        <v>#N/A N/A</v>
        <stp/>
        <stp>BDP|754835625027410782</stp>
        <tr r="T70" s="3"/>
      </tp>
      <tp t="s">
        <v>#N/A N/A</v>
        <stp/>
        <stp>BDP|678992673602405653</stp>
        <tr r="BF58" s="3"/>
      </tp>
      <tp t="s">
        <v>#N/A N/A</v>
        <stp/>
        <stp>BDP|180190192142129010</stp>
        <tr r="U59" s="3"/>
      </tp>
      <tp t="s">
        <v>#N/A N/A</v>
        <stp/>
        <stp>BDP|467896382503163942</stp>
        <tr r="BM64" s="3"/>
      </tp>
      <tp t="s">
        <v>#N/A N/A</v>
        <stp/>
        <stp>BDP|554212768258990628</stp>
        <tr r="AI67" s="3"/>
      </tp>
      <tp t="s">
        <v>#N/A N/A</v>
        <stp/>
        <stp>BDP|137969303601089275</stp>
        <tr r="BC71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5"/>
  <sheetViews>
    <sheetView tabSelected="1" workbookViewId="0"/>
  </sheetViews>
  <sheetFormatPr defaultRowHeight="15" x14ac:dyDescent="0.25"/>
  <cols>
    <col min="1" max="1" width="56.28515625" customWidth="1"/>
    <col min="2" max="2" width="15.85546875" customWidth="1"/>
    <col min="3" max="89" width="9.140625" bestFit="1" customWidth="1"/>
  </cols>
  <sheetData>
    <row r="1" spans="1:8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</row>
    <row r="2" spans="1:89" x14ac:dyDescent="0.25">
      <c r="A2" t="str">
        <f>IFERROR(IF(0=LEN(ReferenceData!$A$2),"",ReferenceData!$A$2),"")</f>
        <v>Description</v>
      </c>
      <c r="B2" t="str">
        <f>IFERROR(IF(0=LEN(ReferenceData!$B$2),"",ReferenceData!$B$2),"")</f>
        <v>Ticker</v>
      </c>
      <c r="C2" t="str">
        <f>IFERROR(IF(0=LEN(ReferenceData!$C$2),"",ReferenceData!$C$2),"")</f>
        <v>Field ID</v>
      </c>
      <c r="D2" t="str">
        <f>IFERROR(IF(0=LEN(ReferenceData!$D$2),"",ReferenceData!$D$2),"")</f>
        <v>Field Mnemonic</v>
      </c>
      <c r="E2" t="str">
        <f>IFERROR(IF(0=LEN(ReferenceData!$E$2),"",ReferenceData!$E$2),"")</f>
        <v>Data State</v>
      </c>
      <c r="F2" t="str">
        <f>IFERROR(IF(0=LEN(ReferenceData!$F$2),"",ReferenceData!$F$2),"")</f>
        <v>9/2023</v>
      </c>
      <c r="G2" t="str">
        <f>IFERROR(IF(0=LEN(ReferenceData!$G$2),"",ReferenceData!$G$2),"")</f>
        <v>8/2023</v>
      </c>
      <c r="H2" t="str">
        <f>IFERROR(IF(0=LEN(ReferenceData!$H$2),"",ReferenceData!$H$2),"")</f>
        <v>7/2023</v>
      </c>
      <c r="I2" t="str">
        <f>IFERROR(IF(0=LEN(ReferenceData!$I$2),"",ReferenceData!$I$2),"")</f>
        <v>6/2023</v>
      </c>
      <c r="J2" t="str">
        <f>IFERROR(IF(0=LEN(ReferenceData!$J$2),"",ReferenceData!$J$2),"")</f>
        <v>5/2023</v>
      </c>
      <c r="K2" t="str">
        <f>IFERROR(IF(0=LEN(ReferenceData!$K$2),"",ReferenceData!$K$2),"")</f>
        <v>4/2023</v>
      </c>
      <c r="L2" t="str">
        <f>IFERROR(IF(0=LEN(ReferenceData!$L$2),"",ReferenceData!$L$2),"")</f>
        <v>3/2023</v>
      </c>
      <c r="M2" t="str">
        <f>IFERROR(IF(0=LEN(ReferenceData!$M$2),"",ReferenceData!$M$2),"")</f>
        <v>2/2023</v>
      </c>
      <c r="N2" t="str">
        <f>IFERROR(IF(0=LEN(ReferenceData!$N$2),"",ReferenceData!$N$2),"")</f>
        <v>1/2023</v>
      </c>
      <c r="O2" t="str">
        <f>IFERROR(IF(0=LEN(ReferenceData!$O$2),"",ReferenceData!$O$2),"")</f>
        <v>12/2022</v>
      </c>
      <c r="P2" t="str">
        <f>IFERROR(IF(0=LEN(ReferenceData!$P$2),"",ReferenceData!$P$2),"")</f>
        <v>11/2022</v>
      </c>
      <c r="Q2" t="str">
        <f>IFERROR(IF(0=LEN(ReferenceData!$Q$2),"",ReferenceData!$Q$2),"")</f>
        <v>10/2022</v>
      </c>
      <c r="R2" t="str">
        <f>IFERROR(IF(0=LEN(ReferenceData!$R$2),"",ReferenceData!$R$2),"")</f>
        <v>9/2022</v>
      </c>
      <c r="S2" t="str">
        <f>IFERROR(IF(0=LEN(ReferenceData!$S$2),"",ReferenceData!$S$2),"")</f>
        <v>8/2022</v>
      </c>
      <c r="T2" t="str">
        <f>IFERROR(IF(0=LEN(ReferenceData!$T$2),"",ReferenceData!$T$2),"")</f>
        <v>7/2022</v>
      </c>
      <c r="U2" t="str">
        <f>IFERROR(IF(0=LEN(ReferenceData!$U$2),"",ReferenceData!$U$2),"")</f>
        <v>6/2022</v>
      </c>
      <c r="V2" t="str">
        <f>IFERROR(IF(0=LEN(ReferenceData!$V$2),"",ReferenceData!$V$2),"")</f>
        <v>5/2022</v>
      </c>
      <c r="W2" t="str">
        <f>IFERROR(IF(0=LEN(ReferenceData!$W$2),"",ReferenceData!$W$2),"")</f>
        <v>4/2022</v>
      </c>
      <c r="X2" t="str">
        <f>IFERROR(IF(0=LEN(ReferenceData!$X$2),"",ReferenceData!$X$2),"")</f>
        <v>3/2022</v>
      </c>
      <c r="Y2" t="str">
        <f>IFERROR(IF(0=LEN(ReferenceData!$Y$2),"",ReferenceData!$Y$2),"")</f>
        <v>2/2022</v>
      </c>
      <c r="Z2" t="str">
        <f>IFERROR(IF(0=LEN(ReferenceData!$Z$2),"",ReferenceData!$Z$2),"")</f>
        <v>1/2022</v>
      </c>
      <c r="AA2" t="str">
        <f>IFERROR(IF(0=LEN(ReferenceData!$AA$2),"",ReferenceData!$AA$2),"")</f>
        <v>12/2021</v>
      </c>
      <c r="AB2" t="str">
        <f>IFERROR(IF(0=LEN(ReferenceData!$AB$2),"",ReferenceData!$AB$2),"")</f>
        <v>11/2021</v>
      </c>
      <c r="AC2" t="str">
        <f>IFERROR(IF(0=LEN(ReferenceData!$AC$2),"",ReferenceData!$AC$2),"")</f>
        <v>10/2021</v>
      </c>
      <c r="AD2" t="str">
        <f>IFERROR(IF(0=LEN(ReferenceData!$AD$2),"",ReferenceData!$AD$2),"")</f>
        <v>9/2021</v>
      </c>
      <c r="AE2" t="str">
        <f>IFERROR(IF(0=LEN(ReferenceData!$AE$2),"",ReferenceData!$AE$2),"")</f>
        <v>8/2021</v>
      </c>
      <c r="AF2" t="str">
        <f>IFERROR(IF(0=LEN(ReferenceData!$AF$2),"",ReferenceData!$AF$2),"")</f>
        <v>7/2021</v>
      </c>
      <c r="AG2" t="str">
        <f>IFERROR(IF(0=LEN(ReferenceData!$AG$2),"",ReferenceData!$AG$2),"")</f>
        <v>6/2021</v>
      </c>
      <c r="AH2" t="str">
        <f>IFERROR(IF(0=LEN(ReferenceData!$AH$2),"",ReferenceData!$AH$2),"")</f>
        <v>5/2021</v>
      </c>
      <c r="AI2" t="str">
        <f>IFERROR(IF(0=LEN(ReferenceData!$AI$2),"",ReferenceData!$AI$2),"")</f>
        <v>4/2021</v>
      </c>
      <c r="AJ2" t="str">
        <f>IFERROR(IF(0=LEN(ReferenceData!$AJ$2),"",ReferenceData!$AJ$2),"")</f>
        <v>3/2021</v>
      </c>
      <c r="AK2" t="str">
        <f>IFERROR(IF(0=LEN(ReferenceData!$AK$2),"",ReferenceData!$AK$2),"")</f>
        <v>2/2021</v>
      </c>
      <c r="AL2" t="str">
        <f>IFERROR(IF(0=LEN(ReferenceData!$AL$2),"",ReferenceData!$AL$2),"")</f>
        <v>1/2021</v>
      </c>
      <c r="AM2" t="str">
        <f>IFERROR(IF(0=LEN(ReferenceData!$AM$2),"",ReferenceData!$AM$2),"")</f>
        <v>12/2020</v>
      </c>
      <c r="AN2" t="str">
        <f>IFERROR(IF(0=LEN(ReferenceData!$AN$2),"",ReferenceData!$AN$2),"")</f>
        <v>11/2020</v>
      </c>
      <c r="AO2" t="str">
        <f>IFERROR(IF(0=LEN(ReferenceData!$AO$2),"",ReferenceData!$AO$2),"")</f>
        <v>10/2020</v>
      </c>
      <c r="AP2" t="str">
        <f>IFERROR(IF(0=LEN(ReferenceData!$AP$2),"",ReferenceData!$AP$2),"")</f>
        <v>9/2020</v>
      </c>
      <c r="AQ2" t="str">
        <f>IFERROR(IF(0=LEN(ReferenceData!$AQ$2),"",ReferenceData!$AQ$2),"")</f>
        <v>8/2020</v>
      </c>
      <c r="AR2" t="str">
        <f>IFERROR(IF(0=LEN(ReferenceData!$AR$2),"",ReferenceData!$AR$2),"")</f>
        <v>7/2020</v>
      </c>
      <c r="AS2" t="str">
        <f>IFERROR(IF(0=LEN(ReferenceData!$AS$2),"",ReferenceData!$AS$2),"")</f>
        <v>6/2020</v>
      </c>
      <c r="AT2" t="str">
        <f>IFERROR(IF(0=LEN(ReferenceData!$AT$2),"",ReferenceData!$AT$2),"")</f>
        <v>5/2020</v>
      </c>
      <c r="AU2" t="str">
        <f>IFERROR(IF(0=LEN(ReferenceData!$AU$2),"",ReferenceData!$AU$2),"")</f>
        <v>4/2020</v>
      </c>
      <c r="AV2" t="str">
        <f>IFERROR(IF(0=LEN(ReferenceData!$AV$2),"",ReferenceData!$AV$2),"")</f>
        <v>3/2020</v>
      </c>
      <c r="AW2" t="str">
        <f>IFERROR(IF(0=LEN(ReferenceData!$AW$2),"",ReferenceData!$AW$2),"")</f>
        <v>2/2020</v>
      </c>
      <c r="AX2" t="str">
        <f>IFERROR(IF(0=LEN(ReferenceData!$AX$2),"",ReferenceData!$AX$2),"")</f>
        <v>1/2020</v>
      </c>
      <c r="AY2" t="str">
        <f>IFERROR(IF(0=LEN(ReferenceData!$AY$2),"",ReferenceData!$AY$2),"")</f>
        <v>12/2019</v>
      </c>
      <c r="AZ2" t="str">
        <f>IFERROR(IF(0=LEN(ReferenceData!$AZ$2),"",ReferenceData!$AZ$2),"")</f>
        <v>11/2019</v>
      </c>
      <c r="BA2" t="str">
        <f>IFERROR(IF(0=LEN(ReferenceData!$BA$2),"",ReferenceData!$BA$2),"")</f>
        <v>10/2019</v>
      </c>
      <c r="BB2" t="str">
        <f>IFERROR(IF(0=LEN(ReferenceData!$BB$2),"",ReferenceData!$BB$2),"")</f>
        <v>9/2019</v>
      </c>
      <c r="BC2" t="str">
        <f>IFERROR(IF(0=LEN(ReferenceData!$BC$2),"",ReferenceData!$BC$2),"")</f>
        <v>8/2019</v>
      </c>
      <c r="BD2" t="str">
        <f>IFERROR(IF(0=LEN(ReferenceData!$BD$2),"",ReferenceData!$BD$2),"")</f>
        <v>7/2019</v>
      </c>
      <c r="BE2" t="str">
        <f>IFERROR(IF(0=LEN(ReferenceData!$BE$2),"",ReferenceData!$BE$2),"")</f>
        <v>6/2019</v>
      </c>
      <c r="BF2" t="str">
        <f>IFERROR(IF(0=LEN(ReferenceData!$BF$2),"",ReferenceData!$BF$2),"")</f>
        <v>5/2019</v>
      </c>
      <c r="BG2" t="str">
        <f>IFERROR(IF(0=LEN(ReferenceData!$BG$2),"",ReferenceData!$BG$2),"")</f>
        <v>4/2019</v>
      </c>
      <c r="BH2" t="str">
        <f>IFERROR(IF(0=LEN(ReferenceData!$BH$2),"",ReferenceData!$BH$2),"")</f>
        <v>3/2019</v>
      </c>
      <c r="BI2" t="str">
        <f>IFERROR(IF(0=LEN(ReferenceData!$BI$2),"",ReferenceData!$BI$2),"")</f>
        <v>2/2019</v>
      </c>
      <c r="BJ2" t="str">
        <f>IFERROR(IF(0=LEN(ReferenceData!$BJ$2),"",ReferenceData!$BJ$2),"")</f>
        <v>1/2019</v>
      </c>
      <c r="BK2" t="str">
        <f>IFERROR(IF(0=LEN(ReferenceData!$BK$2),"",ReferenceData!$BK$2),"")</f>
        <v>12/2018</v>
      </c>
      <c r="BL2" t="str">
        <f>IFERROR(IF(0=LEN(ReferenceData!$BL$2),"",ReferenceData!$BL$2),"")</f>
        <v>11/2018</v>
      </c>
      <c r="BM2" t="str">
        <f>IFERROR(IF(0=LEN(ReferenceData!$BM$2),"",ReferenceData!$BM$2),"")</f>
        <v>10/2018</v>
      </c>
      <c r="BN2" t="str">
        <f>IFERROR(IF(0=LEN(ReferenceData!$BN$2),"",ReferenceData!$BN$2),"")</f>
        <v>9/2018</v>
      </c>
      <c r="BO2" t="str">
        <f>IFERROR(IF(0=LEN(ReferenceData!$BO$2),"",ReferenceData!$BO$2),"")</f>
        <v>8/2018</v>
      </c>
      <c r="BP2" t="str">
        <f>IFERROR(IF(0=LEN(ReferenceData!$BP$2),"",ReferenceData!$BP$2),"")</f>
        <v>7/2018</v>
      </c>
      <c r="BQ2" t="str">
        <f>IFERROR(IF(0=LEN(ReferenceData!$BQ$2),"",ReferenceData!$BQ$2),"")</f>
        <v>6/2018</v>
      </c>
      <c r="BR2" t="str">
        <f>IFERROR(IF(0=LEN(ReferenceData!$BR$2),"",ReferenceData!$BR$2),"")</f>
        <v>5/2018</v>
      </c>
      <c r="BS2" t="str">
        <f>IFERROR(IF(0=LEN(ReferenceData!$BS$2),"",ReferenceData!$BS$2),"")</f>
        <v>4/2018</v>
      </c>
      <c r="BT2" t="str">
        <f>IFERROR(IF(0=LEN(ReferenceData!$BT$2),"",ReferenceData!$BT$2),"")</f>
        <v>3/2018</v>
      </c>
      <c r="BU2" t="str">
        <f>IFERROR(IF(0=LEN(ReferenceData!$BU$2),"",ReferenceData!$BU$2),"")</f>
        <v>2/2018</v>
      </c>
      <c r="BV2" t="str">
        <f>IFERROR(IF(0=LEN(ReferenceData!$BV$2),"",ReferenceData!$BV$2),"")</f>
        <v>1/2018</v>
      </c>
      <c r="BW2" t="str">
        <f>IFERROR(IF(0=LEN(ReferenceData!$BW$2),"",ReferenceData!$BW$2),"")</f>
        <v>12/2017</v>
      </c>
      <c r="BX2" t="str">
        <f>IFERROR(IF(0=LEN(ReferenceData!$BX$2),"",ReferenceData!$BX$2),"")</f>
        <v>11/2017</v>
      </c>
      <c r="BY2" t="str">
        <f>IFERROR(IF(0=LEN(ReferenceData!$BY$2),"",ReferenceData!$BY$2),"")</f>
        <v>10/2017</v>
      </c>
      <c r="BZ2" t="str">
        <f>IFERROR(IF(0=LEN(ReferenceData!$BZ$2),"",ReferenceData!$BZ$2),"")</f>
        <v>9/2017</v>
      </c>
      <c r="CA2" t="str">
        <f>IFERROR(IF(0=LEN(ReferenceData!$CA$2),"",ReferenceData!$CA$2),"")</f>
        <v>8/2017</v>
      </c>
      <c r="CB2" t="str">
        <f>IFERROR(IF(0=LEN(ReferenceData!$CB$2),"",ReferenceData!$CB$2),"")</f>
        <v>7/2017</v>
      </c>
      <c r="CC2" t="str">
        <f>IFERROR(IF(0=LEN(ReferenceData!$CC$2),"",ReferenceData!$CC$2),"")</f>
        <v>6/2017</v>
      </c>
      <c r="CD2" t="str">
        <f>IFERROR(IF(0=LEN(ReferenceData!$CD$2),"",ReferenceData!$CD$2),"")</f>
        <v>5/2017</v>
      </c>
      <c r="CE2" t="str">
        <f>IFERROR(IF(0=LEN(ReferenceData!$CE$2),"",ReferenceData!$CE$2),"")</f>
        <v>4/2017</v>
      </c>
      <c r="CF2" t="str">
        <f>IFERROR(IF(0=LEN(ReferenceData!$CF$2),"",ReferenceData!$CF$2),"")</f>
        <v>3/2017</v>
      </c>
      <c r="CG2" t="str">
        <f>IFERROR(IF(0=LEN(ReferenceData!$CG$2),"",ReferenceData!$CG$2),"")</f>
        <v>2/2017</v>
      </c>
      <c r="CH2" t="str">
        <f>IFERROR(IF(0=LEN(ReferenceData!$CH$2),"",ReferenceData!$CH$2),"")</f>
        <v>1/2017</v>
      </c>
      <c r="CI2" t="str">
        <f>IFERROR(IF(0=LEN(ReferenceData!$CI$2),"",ReferenceData!$CI$2),"")</f>
        <v>12/2016</v>
      </c>
      <c r="CJ2" t="str">
        <f>IFERROR(IF(0=LEN(ReferenceData!$CJ$2),"",ReferenceData!$CJ$2),"")</f>
        <v>11/2016</v>
      </c>
      <c r="CK2" t="str">
        <f>IFERROR(IF(0=LEN(ReferenceData!$CK$2),"",ReferenceData!$CK$2),"")</f>
        <v>10/2016</v>
      </c>
    </row>
    <row r="3" spans="1:89" x14ac:dyDescent="0.25">
      <c r="A3" t="str">
        <f>IFERROR(IF(0=LEN(ReferenceData!$A$3),"",ReferenceData!$A$3),"")</f>
        <v>Singapore Port Statistics</v>
      </c>
      <c r="B3" t="str">
        <f>IFERROR(IF(0=LEN(ReferenceData!$B$3),"",ReferenceData!$B$3),"")</f>
        <v/>
      </c>
      <c r="C3" t="str">
        <f>IFERROR(IF(0=LEN(ReferenceData!$C$3),"",ReferenceData!$C$3),"")</f>
        <v/>
      </c>
      <c r="D3" t="str">
        <f>IFERROR(IF(0=LEN(ReferenceData!$D$3),"",ReferenceData!$D$3),"")</f>
        <v/>
      </c>
      <c r="E3" t="str">
        <f>IFERROR(IF(0=LEN(ReferenceData!$E$3),"",ReferenceData!$E$3),"")</f>
        <v>Heading</v>
      </c>
      <c r="F3" t="str">
        <f>IFERROR(IF(0=LEN(ReferenceData!$F$3),"",ReferenceData!$F$3),"")</f>
        <v/>
      </c>
      <c r="G3" t="str">
        <f>IFERROR(IF(0=LEN(ReferenceData!$G$3),"",ReferenceData!$G$3),"")</f>
        <v/>
      </c>
      <c r="H3" t="str">
        <f>IFERROR(IF(0=LEN(ReferenceData!$H$3),"",ReferenceData!$H$3),"")</f>
        <v/>
      </c>
      <c r="I3" t="str">
        <f>IFERROR(IF(0=LEN(ReferenceData!$I$3),"",ReferenceData!$I$3),"")</f>
        <v/>
      </c>
      <c r="J3" t="str">
        <f>IFERROR(IF(0=LEN(ReferenceData!$J$3),"",ReferenceData!$J$3),"")</f>
        <v/>
      </c>
      <c r="K3" t="str">
        <f>IFERROR(IF(0=LEN(ReferenceData!$K$3),"",ReferenceData!$K$3),"")</f>
        <v/>
      </c>
      <c r="L3" t="str">
        <f>IFERROR(IF(0=LEN(ReferenceData!$L$3),"",ReferenceData!$L$3),"")</f>
        <v/>
      </c>
      <c r="M3" t="str">
        <f>IFERROR(IF(0=LEN(ReferenceData!$M$3),"",ReferenceData!$M$3),"")</f>
        <v/>
      </c>
      <c r="N3" t="str">
        <f>IFERROR(IF(0=LEN(ReferenceData!$N$3),"",ReferenceData!$N$3),"")</f>
        <v/>
      </c>
      <c r="O3" t="str">
        <f>IFERROR(IF(0=LEN(ReferenceData!$O$3),"",ReferenceData!$O$3),"")</f>
        <v/>
      </c>
      <c r="P3" t="str">
        <f>IFERROR(IF(0=LEN(ReferenceData!$P$3),"",ReferenceData!$P$3),"")</f>
        <v/>
      </c>
      <c r="Q3" t="str">
        <f>IFERROR(IF(0=LEN(ReferenceData!$Q$3),"",ReferenceData!$Q$3),"")</f>
        <v/>
      </c>
      <c r="R3" t="str">
        <f>IFERROR(IF(0=LEN(ReferenceData!$R$3),"",ReferenceData!$R$3),"")</f>
        <v/>
      </c>
      <c r="S3" t="str">
        <f>IFERROR(IF(0=LEN(ReferenceData!$S$3),"",ReferenceData!$S$3),"")</f>
        <v/>
      </c>
      <c r="T3" t="str">
        <f>IFERROR(IF(0=LEN(ReferenceData!$T$3),"",ReferenceData!$T$3),"")</f>
        <v/>
      </c>
      <c r="U3" t="str">
        <f>IFERROR(IF(0=LEN(ReferenceData!$U$3),"",ReferenceData!$U$3),"")</f>
        <v/>
      </c>
      <c r="V3" t="str">
        <f>IFERROR(IF(0=LEN(ReferenceData!$V$3),"",ReferenceData!$V$3),"")</f>
        <v/>
      </c>
      <c r="W3" t="str">
        <f>IFERROR(IF(0=LEN(ReferenceData!$W$3),"",ReferenceData!$W$3),"")</f>
        <v/>
      </c>
      <c r="X3" t="str">
        <f>IFERROR(IF(0=LEN(ReferenceData!$X$3),"",ReferenceData!$X$3),"")</f>
        <v/>
      </c>
      <c r="Y3" t="str">
        <f>IFERROR(IF(0=LEN(ReferenceData!$Y$3),"",ReferenceData!$Y$3),"")</f>
        <v/>
      </c>
      <c r="Z3" t="str">
        <f>IFERROR(IF(0=LEN(ReferenceData!$Z$3),"",ReferenceData!$Z$3),"")</f>
        <v/>
      </c>
      <c r="AA3" t="str">
        <f>IFERROR(IF(0=LEN(ReferenceData!$AA$3),"",ReferenceData!$AA$3),"")</f>
        <v/>
      </c>
      <c r="AB3" t="str">
        <f>IFERROR(IF(0=LEN(ReferenceData!$AB$3),"",ReferenceData!$AB$3),"")</f>
        <v/>
      </c>
      <c r="AC3" t="str">
        <f>IFERROR(IF(0=LEN(ReferenceData!$AC$3),"",ReferenceData!$AC$3),"")</f>
        <v/>
      </c>
      <c r="AD3" t="str">
        <f>IFERROR(IF(0=LEN(ReferenceData!$AD$3),"",ReferenceData!$AD$3),"")</f>
        <v/>
      </c>
      <c r="AE3" t="str">
        <f>IFERROR(IF(0=LEN(ReferenceData!$AE$3),"",ReferenceData!$AE$3),"")</f>
        <v/>
      </c>
      <c r="AF3" t="str">
        <f>IFERROR(IF(0=LEN(ReferenceData!$AF$3),"",ReferenceData!$AF$3),"")</f>
        <v/>
      </c>
      <c r="AG3" t="str">
        <f>IFERROR(IF(0=LEN(ReferenceData!$AG$3),"",ReferenceData!$AG$3),"")</f>
        <v/>
      </c>
      <c r="AH3" t="str">
        <f>IFERROR(IF(0=LEN(ReferenceData!$AH$3),"",ReferenceData!$AH$3),"")</f>
        <v/>
      </c>
      <c r="AI3" t="str">
        <f>IFERROR(IF(0=LEN(ReferenceData!$AI$3),"",ReferenceData!$AI$3),"")</f>
        <v/>
      </c>
      <c r="AJ3" t="str">
        <f>IFERROR(IF(0=LEN(ReferenceData!$AJ$3),"",ReferenceData!$AJ$3),"")</f>
        <v/>
      </c>
      <c r="AK3" t="str">
        <f>IFERROR(IF(0=LEN(ReferenceData!$AK$3),"",ReferenceData!$AK$3),"")</f>
        <v/>
      </c>
      <c r="AL3" t="str">
        <f>IFERROR(IF(0=LEN(ReferenceData!$AL$3),"",ReferenceData!$AL$3),"")</f>
        <v/>
      </c>
      <c r="AM3" t="str">
        <f>IFERROR(IF(0=LEN(ReferenceData!$AM$3),"",ReferenceData!$AM$3),"")</f>
        <v/>
      </c>
      <c r="AN3" t="str">
        <f>IFERROR(IF(0=LEN(ReferenceData!$AN$3),"",ReferenceData!$AN$3),"")</f>
        <v/>
      </c>
      <c r="AO3" t="str">
        <f>IFERROR(IF(0=LEN(ReferenceData!$AO$3),"",ReferenceData!$AO$3),"")</f>
        <v/>
      </c>
      <c r="AP3" t="str">
        <f>IFERROR(IF(0=LEN(ReferenceData!$AP$3),"",ReferenceData!$AP$3),"")</f>
        <v/>
      </c>
      <c r="AQ3" t="str">
        <f>IFERROR(IF(0=LEN(ReferenceData!$AQ$3),"",ReferenceData!$AQ$3),"")</f>
        <v/>
      </c>
      <c r="AR3" t="str">
        <f>IFERROR(IF(0=LEN(ReferenceData!$AR$3),"",ReferenceData!$AR$3),"")</f>
        <v/>
      </c>
      <c r="AS3" t="str">
        <f>IFERROR(IF(0=LEN(ReferenceData!$AS$3),"",ReferenceData!$AS$3),"")</f>
        <v/>
      </c>
      <c r="AT3" t="str">
        <f>IFERROR(IF(0=LEN(ReferenceData!$AT$3),"",ReferenceData!$AT$3),"")</f>
        <v/>
      </c>
      <c r="AU3" t="str">
        <f>IFERROR(IF(0=LEN(ReferenceData!$AU$3),"",ReferenceData!$AU$3),"")</f>
        <v/>
      </c>
      <c r="AV3" t="str">
        <f>IFERROR(IF(0=LEN(ReferenceData!$AV$3),"",ReferenceData!$AV$3),"")</f>
        <v/>
      </c>
      <c r="AW3" t="str">
        <f>IFERROR(IF(0=LEN(ReferenceData!$AW$3),"",ReferenceData!$AW$3),"")</f>
        <v/>
      </c>
      <c r="AX3" t="str">
        <f>IFERROR(IF(0=LEN(ReferenceData!$AX$3),"",ReferenceData!$AX$3),"")</f>
        <v/>
      </c>
      <c r="AY3" t="str">
        <f>IFERROR(IF(0=LEN(ReferenceData!$AY$3),"",ReferenceData!$AY$3),"")</f>
        <v/>
      </c>
      <c r="AZ3" t="str">
        <f>IFERROR(IF(0=LEN(ReferenceData!$AZ$3),"",ReferenceData!$AZ$3),"")</f>
        <v/>
      </c>
      <c r="BA3" t="str">
        <f>IFERROR(IF(0=LEN(ReferenceData!$BA$3),"",ReferenceData!$BA$3),"")</f>
        <v/>
      </c>
      <c r="BB3" t="str">
        <f>IFERROR(IF(0=LEN(ReferenceData!$BB$3),"",ReferenceData!$BB$3),"")</f>
        <v/>
      </c>
      <c r="BC3" t="str">
        <f>IFERROR(IF(0=LEN(ReferenceData!$BC$3),"",ReferenceData!$BC$3),"")</f>
        <v/>
      </c>
      <c r="BD3" t="str">
        <f>IFERROR(IF(0=LEN(ReferenceData!$BD$3),"",ReferenceData!$BD$3),"")</f>
        <v/>
      </c>
      <c r="BE3" t="str">
        <f>IFERROR(IF(0=LEN(ReferenceData!$BE$3),"",ReferenceData!$BE$3),"")</f>
        <v/>
      </c>
      <c r="BF3" t="str">
        <f>IFERROR(IF(0=LEN(ReferenceData!$BF$3),"",ReferenceData!$BF$3),"")</f>
        <v/>
      </c>
      <c r="BG3" t="str">
        <f>IFERROR(IF(0=LEN(ReferenceData!$BG$3),"",ReferenceData!$BG$3),"")</f>
        <v/>
      </c>
      <c r="BH3" t="str">
        <f>IFERROR(IF(0=LEN(ReferenceData!$BH$3),"",ReferenceData!$BH$3),"")</f>
        <v/>
      </c>
      <c r="BI3" t="str">
        <f>IFERROR(IF(0=LEN(ReferenceData!$BI$3),"",ReferenceData!$BI$3),"")</f>
        <v/>
      </c>
      <c r="BJ3" t="str">
        <f>IFERROR(IF(0=LEN(ReferenceData!$BJ$3),"",ReferenceData!$BJ$3),"")</f>
        <v/>
      </c>
      <c r="BK3" t="str">
        <f>IFERROR(IF(0=LEN(ReferenceData!$BK$3),"",ReferenceData!$BK$3),"")</f>
        <v/>
      </c>
      <c r="BL3" t="str">
        <f>IFERROR(IF(0=LEN(ReferenceData!$BL$3),"",ReferenceData!$BL$3),"")</f>
        <v/>
      </c>
      <c r="BM3" t="str">
        <f>IFERROR(IF(0=LEN(ReferenceData!$BM$3),"",ReferenceData!$BM$3),"")</f>
        <v/>
      </c>
      <c r="BN3" t="str">
        <f>IFERROR(IF(0=LEN(ReferenceData!$BN$3),"",ReferenceData!$BN$3),"")</f>
        <v/>
      </c>
      <c r="BO3" t="str">
        <f>IFERROR(IF(0=LEN(ReferenceData!$BO$3),"",ReferenceData!$BO$3),"")</f>
        <v/>
      </c>
      <c r="BP3" t="str">
        <f>IFERROR(IF(0=LEN(ReferenceData!$BP$3),"",ReferenceData!$BP$3),"")</f>
        <v/>
      </c>
      <c r="BQ3" t="str">
        <f>IFERROR(IF(0=LEN(ReferenceData!$BQ$3),"",ReferenceData!$BQ$3),"")</f>
        <v/>
      </c>
      <c r="BR3" t="str">
        <f>IFERROR(IF(0=LEN(ReferenceData!$BR$3),"",ReferenceData!$BR$3),"")</f>
        <v/>
      </c>
      <c r="BS3" t="str">
        <f>IFERROR(IF(0=LEN(ReferenceData!$BS$3),"",ReferenceData!$BS$3),"")</f>
        <v/>
      </c>
      <c r="BT3" t="str">
        <f>IFERROR(IF(0=LEN(ReferenceData!$BT$3),"",ReferenceData!$BT$3),"")</f>
        <v/>
      </c>
      <c r="BU3" t="str">
        <f>IFERROR(IF(0=LEN(ReferenceData!$BU$3),"",ReferenceData!$BU$3),"")</f>
        <v/>
      </c>
      <c r="BV3" t="str">
        <f>IFERROR(IF(0=LEN(ReferenceData!$BV$3),"",ReferenceData!$BV$3),"")</f>
        <v/>
      </c>
      <c r="BW3" t="str">
        <f>IFERROR(IF(0=LEN(ReferenceData!$BW$3),"",ReferenceData!$BW$3),"")</f>
        <v/>
      </c>
      <c r="BX3" t="str">
        <f>IFERROR(IF(0=LEN(ReferenceData!$BX$3),"",ReferenceData!$BX$3),"")</f>
        <v/>
      </c>
      <c r="BY3" t="str">
        <f>IFERROR(IF(0=LEN(ReferenceData!$BY$3),"",ReferenceData!$BY$3),"")</f>
        <v/>
      </c>
      <c r="BZ3" t="str">
        <f>IFERROR(IF(0=LEN(ReferenceData!$BZ$3),"",ReferenceData!$BZ$3),"")</f>
        <v/>
      </c>
      <c r="CA3" t="str">
        <f>IFERROR(IF(0=LEN(ReferenceData!$CA$3),"",ReferenceData!$CA$3),"")</f>
        <v/>
      </c>
      <c r="CB3" t="str">
        <f>IFERROR(IF(0=LEN(ReferenceData!$CB$3),"",ReferenceData!$CB$3),"")</f>
        <v/>
      </c>
      <c r="CC3" t="str">
        <f>IFERROR(IF(0=LEN(ReferenceData!$CC$3),"",ReferenceData!$CC$3),"")</f>
        <v/>
      </c>
      <c r="CD3" t="str">
        <f>IFERROR(IF(0=LEN(ReferenceData!$CD$3),"",ReferenceData!$CD$3),"")</f>
        <v/>
      </c>
      <c r="CE3" t="str">
        <f>IFERROR(IF(0=LEN(ReferenceData!$CE$3),"",ReferenceData!$CE$3),"")</f>
        <v/>
      </c>
      <c r="CF3" t="str">
        <f>IFERROR(IF(0=LEN(ReferenceData!$CF$3),"",ReferenceData!$CF$3),"")</f>
        <v/>
      </c>
      <c r="CG3" t="str">
        <f>IFERROR(IF(0=LEN(ReferenceData!$CG$3),"",ReferenceData!$CG$3),"")</f>
        <v/>
      </c>
      <c r="CH3" t="str">
        <f>IFERROR(IF(0=LEN(ReferenceData!$CH$3),"",ReferenceData!$CH$3),"")</f>
        <v/>
      </c>
      <c r="CI3" t="str">
        <f>IFERROR(IF(0=LEN(ReferenceData!$CI$3),"",ReferenceData!$CI$3),"")</f>
        <v/>
      </c>
      <c r="CJ3" t="str">
        <f>IFERROR(IF(0=LEN(ReferenceData!$CJ$3),"",ReferenceData!$CJ$3),"")</f>
        <v/>
      </c>
      <c r="CK3" t="str">
        <f>IFERROR(IF(0=LEN(ReferenceData!$CK$3),"",ReferenceData!$CK$3),"")</f>
        <v/>
      </c>
    </row>
    <row r="4" spans="1:89" x14ac:dyDescent="0.25">
      <c r="A4" t="str">
        <f>IFERROR(IF(0=LEN(ReferenceData!$A$4),"",ReferenceData!$A$4),"")</f>
        <v xml:space="preserve">    Singapore Port Container Throughput (000 TEU)</v>
      </c>
      <c r="B4" t="str">
        <f>IFERROR(IF(0=LEN(ReferenceData!$B$4),"",ReferenceData!$B$4),"")</f>
        <v>SICTTOTL Index</v>
      </c>
      <c r="C4" t="str">
        <f>IFERROR(IF(0=LEN(ReferenceData!$C$4),"",ReferenceData!$C$4),"")</f>
        <v>PX385</v>
      </c>
      <c r="D4" t="str">
        <f>IFERROR(IF(0=LEN(ReferenceData!$D$4),"",ReferenceData!$D$4),"")</f>
        <v>INTERVAL_SUM</v>
      </c>
      <c r="E4" t="str">
        <f>IFERROR(IF(0=LEN(ReferenceData!$E$4),"",ReferenceData!$E$4),"")</f>
        <v>Dynamic</v>
      </c>
      <c r="F4">
        <f ca="1">IFERROR(IF(0=LEN(ReferenceData!$F$4),"",ReferenceData!$F$4),"")</f>
        <v>3206.65</v>
      </c>
      <c r="G4">
        <f ca="1">IFERROR(IF(0=LEN(ReferenceData!$G$4),"",ReferenceData!$G$4),"")</f>
        <v>3328.44</v>
      </c>
      <c r="H4">
        <f ca="1">IFERROR(IF(0=LEN(ReferenceData!$H$4),"",ReferenceData!$H$4),"")</f>
        <v>3431.27</v>
      </c>
      <c r="I4">
        <f ca="1">IFERROR(IF(0=LEN(ReferenceData!$I$4),"",ReferenceData!$I$4),"")</f>
        <v>3345.55</v>
      </c>
      <c r="J4">
        <f ca="1">IFERROR(IF(0=LEN(ReferenceData!$J$4),"",ReferenceData!$J$4),"")</f>
        <v>3409.7</v>
      </c>
      <c r="K4">
        <f ca="1">IFERROR(IF(0=LEN(ReferenceData!$K$4),"",ReferenceData!$K$4),"")</f>
        <v>3264.67</v>
      </c>
      <c r="L4">
        <f ca="1">IFERROR(IF(0=LEN(ReferenceData!$L$4),"",ReferenceData!$L$4),"")</f>
        <v>3335.46</v>
      </c>
      <c r="M4">
        <f ca="1">IFERROR(IF(0=LEN(ReferenceData!$M$4),"",ReferenceData!$M$4),"")</f>
        <v>2684.43</v>
      </c>
      <c r="N4">
        <f ca="1">IFERROR(IF(0=LEN(ReferenceData!$N$4),"",ReferenceData!$N$4),"")</f>
        <v>2989.5</v>
      </c>
      <c r="O4">
        <f ca="1">IFERROR(IF(0=LEN(ReferenceData!$O$4),"",ReferenceData!$O$4),"")</f>
        <v>3252.9</v>
      </c>
      <c r="P4">
        <f ca="1">IFERROR(IF(0=LEN(ReferenceData!$P$4),"",ReferenceData!$P$4),"")</f>
        <v>2955.47</v>
      </c>
      <c r="Q4">
        <f ca="1">IFERROR(IF(0=LEN(ReferenceData!$Q$4),"",ReferenceData!$Q$4),"")</f>
        <v>3061.84</v>
      </c>
      <c r="R4">
        <f ca="1">IFERROR(IF(0=LEN(ReferenceData!$R$4),"",ReferenceData!$R$4),"")</f>
        <v>3063.77</v>
      </c>
      <c r="S4">
        <f ca="1">IFERROR(IF(0=LEN(ReferenceData!$S$4),"",ReferenceData!$S$4),"")</f>
        <v>3262.31</v>
      </c>
      <c r="T4">
        <f ca="1">IFERROR(IF(0=LEN(ReferenceData!$T$4),"",ReferenceData!$T$4),"")</f>
        <v>3286.33</v>
      </c>
      <c r="U4">
        <f ca="1">IFERROR(IF(0=LEN(ReferenceData!$U$4),"",ReferenceData!$U$4),"")</f>
        <v>3166.22975</v>
      </c>
      <c r="V4">
        <f ca="1">IFERROR(IF(0=LEN(ReferenceData!$V$4),"",ReferenceData!$V$4),"")</f>
        <v>3122.0102499999998</v>
      </c>
      <c r="W4">
        <f ca="1">IFERROR(IF(0=LEN(ReferenceData!$W$4),"",ReferenceData!$W$4),"")</f>
        <v>3042.01</v>
      </c>
      <c r="X4">
        <f ca="1">IFERROR(IF(0=LEN(ReferenceData!$X$4),"",ReferenceData!$X$4),"")</f>
        <v>3089.48</v>
      </c>
      <c r="Y4">
        <f ca="1">IFERROR(IF(0=LEN(ReferenceData!$Y$4),"",ReferenceData!$Y$4),"")</f>
        <v>2843.53</v>
      </c>
      <c r="Z4">
        <f ca="1">IFERROR(IF(0=LEN(ReferenceData!$Z$4),"",ReferenceData!$Z$4),"")</f>
        <v>3143.71</v>
      </c>
      <c r="AA4">
        <f ca="1">IFERROR(IF(0=LEN(ReferenceData!$AA$4),"",ReferenceData!$AA$4),"")</f>
        <v>3292.21875</v>
      </c>
      <c r="AB4">
        <f ca="1">IFERROR(IF(0=LEN(ReferenceData!$AB$4),"",ReferenceData!$AB$4),"")</f>
        <v>3149.9814999999999</v>
      </c>
      <c r="AC4">
        <f ca="1">IFERROR(IF(0=LEN(ReferenceData!$AC$4),"",ReferenceData!$AC$4),"")</f>
        <v>2974.931</v>
      </c>
      <c r="AD4">
        <f ca="1">IFERROR(IF(0=LEN(ReferenceData!$AD$4),"",ReferenceData!$AD$4),"")</f>
        <v>3117.3595</v>
      </c>
      <c r="AE4">
        <f ca="1">IFERROR(IF(0=LEN(ReferenceData!$AE$4),"",ReferenceData!$AE$4),"")</f>
        <v>3182.2809999999999</v>
      </c>
      <c r="AF4">
        <f ca="1">IFERROR(IF(0=LEN(ReferenceData!$AF$4),"",ReferenceData!$AF$4),"")</f>
        <v>3123.5594999999998</v>
      </c>
      <c r="AG4">
        <f ca="1">IFERROR(IF(0=LEN(ReferenceData!$AG$4),"",ReferenceData!$AG$4),"")</f>
        <v>3114.5065</v>
      </c>
      <c r="AH4">
        <f ca="1">IFERROR(IF(0=LEN(ReferenceData!$AH$4),"",ReferenceData!$AH$4),"")</f>
        <v>3216.90425</v>
      </c>
      <c r="AI4">
        <f ca="1">IFERROR(IF(0=LEN(ReferenceData!$AI$4),"",ReferenceData!$AI$4),"")</f>
        <v>3091.2807499999999</v>
      </c>
      <c r="AJ4">
        <f ca="1">IFERROR(IF(0=LEN(ReferenceData!$AJ$4),"",ReferenceData!$AJ$4),"")</f>
        <v>3270.5747500000002</v>
      </c>
      <c r="AK4">
        <f ca="1">IFERROR(IF(0=LEN(ReferenceData!$AK$4),"",ReferenceData!$AK$4),"")</f>
        <v>2881.5867499999999</v>
      </c>
      <c r="AL4">
        <f ca="1">IFERROR(IF(0=LEN(ReferenceData!$AL$4),"",ReferenceData!$AL$4),"")</f>
        <v>3156.0217499999999</v>
      </c>
      <c r="AM4">
        <f ca="1">IFERROR(IF(0=LEN(ReferenceData!$AM$4),"",ReferenceData!$AM$4),"")</f>
        <v>3261.8344999999999</v>
      </c>
      <c r="AN4">
        <f ca="1">IFERROR(IF(0=LEN(ReferenceData!$AN$4),"",ReferenceData!$AN$4),"")</f>
        <v>3134.6464999999998</v>
      </c>
      <c r="AO4">
        <f ca="1">IFERROR(IF(0=LEN(ReferenceData!$AO$4),"",ReferenceData!$AO$4),"")</f>
        <v>3238.6937499999999</v>
      </c>
      <c r="AP4">
        <f ca="1">IFERROR(IF(0=LEN(ReferenceData!$AP$4),"",ReferenceData!$AP$4),"")</f>
        <v>3207.67175</v>
      </c>
      <c r="AQ4">
        <f ca="1">IFERROR(IF(0=LEN(ReferenceData!$AQ$4),"",ReferenceData!$AQ$4),"")</f>
        <v>3174.6954999999998</v>
      </c>
      <c r="AR4">
        <f ca="1">IFERROR(IF(0=LEN(ReferenceData!$AR$4),"",ReferenceData!$AR$4),"")</f>
        <v>3016.32</v>
      </c>
      <c r="AS4">
        <f ca="1">IFERROR(IF(0=LEN(ReferenceData!$AS$4),"",ReferenceData!$AS$4),"")</f>
        <v>2907.67175</v>
      </c>
      <c r="AT4">
        <f ca="1">IFERROR(IF(0=LEN(ReferenceData!$AT$4),"",ReferenceData!$AT$4),"")</f>
        <v>2806.7204999999999</v>
      </c>
      <c r="AU4">
        <f ca="1">IFERROR(IF(0=LEN(ReferenceData!$AU$4),"",ReferenceData!$AU$4),"")</f>
        <v>2843.48425</v>
      </c>
      <c r="AV4">
        <f ca="1">IFERROR(IF(0=LEN(ReferenceData!$AV$4),"",ReferenceData!$AV$4),"")</f>
        <v>3197.87925</v>
      </c>
      <c r="AW4">
        <f ca="1">IFERROR(IF(0=LEN(ReferenceData!$AW$4),"",ReferenceData!$AW$4),"")</f>
        <v>2898.6867499999998</v>
      </c>
      <c r="AX4">
        <f ca="1">IFERROR(IF(0=LEN(ReferenceData!$AX$4),"",ReferenceData!$AX$4),"")</f>
        <v>3182.5992500000002</v>
      </c>
      <c r="AY4">
        <f ca="1">IFERROR(IF(0=LEN(ReferenceData!$AY$4),"",ReferenceData!$AY$4),"")</f>
        <v>3200.1662500000002</v>
      </c>
      <c r="AZ4">
        <f ca="1">IFERROR(IF(0=LEN(ReferenceData!$AZ$4),"",ReferenceData!$AZ$4),"")</f>
        <v>3267.6979999999999</v>
      </c>
      <c r="BA4">
        <f ca="1">IFERROR(IF(0=LEN(ReferenceData!$BA$4),"",ReferenceData!$BA$4),"")</f>
        <v>3234.3984999999998</v>
      </c>
      <c r="BB4">
        <f ca="1">IFERROR(IF(0=LEN(ReferenceData!$BB$4),"",ReferenceData!$BB$4),"")</f>
        <v>3093.8562499999998</v>
      </c>
      <c r="BC4">
        <f ca="1">IFERROR(IF(0=LEN(ReferenceData!$BC$4),"",ReferenceData!$BC$4),"")</f>
        <v>3133.7402499999998</v>
      </c>
      <c r="BD4">
        <f ca="1">IFERROR(IF(0=LEN(ReferenceData!$BD$4),"",ReferenceData!$BD$4),"")</f>
        <v>3235.3522499999999</v>
      </c>
      <c r="BE4">
        <f ca="1">IFERROR(IF(0=LEN(ReferenceData!$BE$4),"",ReferenceData!$BE$4),"")</f>
        <v>2996.9879999999998</v>
      </c>
      <c r="BF4">
        <f ca="1">IFERROR(IF(0=LEN(ReferenceData!$BF$4),"",ReferenceData!$BF$4),"")</f>
        <v>3137.7637500000001</v>
      </c>
      <c r="BG4">
        <f ca="1">IFERROR(IF(0=LEN(ReferenceData!$BG$4),"",ReferenceData!$BG$4),"")</f>
        <v>2992.1289999999999</v>
      </c>
      <c r="BH4">
        <f ca="1">IFERROR(IF(0=LEN(ReferenceData!$BH$4),"",ReferenceData!$BH$4),"")</f>
        <v>3163.9034999999999</v>
      </c>
      <c r="BI4">
        <f ca="1">IFERROR(IF(0=LEN(ReferenceData!$BI$4),"",ReferenceData!$BI$4),"")</f>
        <v>2740.5304999999998</v>
      </c>
      <c r="BJ4">
        <f ca="1">IFERROR(IF(0=LEN(ReferenceData!$BJ$4),"",ReferenceData!$BJ$4),"")</f>
        <v>2999.11</v>
      </c>
      <c r="BK4">
        <f ca="1">IFERROR(IF(0=LEN(ReferenceData!$BK$4),"",ReferenceData!$BK$4),"")</f>
        <v>3131.34575</v>
      </c>
      <c r="BL4">
        <f ca="1">IFERROR(IF(0=LEN(ReferenceData!$BL$4),"",ReferenceData!$BL$4),"")</f>
        <v>3014.70975</v>
      </c>
      <c r="BM4">
        <f ca="1">IFERROR(IF(0=LEN(ReferenceData!$BM$4),"",ReferenceData!$BM$4),"")</f>
        <v>3153.0627500000001</v>
      </c>
      <c r="BN4">
        <f ca="1">IFERROR(IF(0=LEN(ReferenceData!$BN$4),"",ReferenceData!$BN$4),"")</f>
        <v>2988.9324999999999</v>
      </c>
      <c r="BO4">
        <f ca="1">IFERROR(IF(0=LEN(ReferenceData!$BO$4),"",ReferenceData!$BO$4),"")</f>
        <v>3156.3420000000001</v>
      </c>
      <c r="BP4">
        <f ca="1">IFERROR(IF(0=LEN(ReferenceData!$BP$4),"",ReferenceData!$BP$4),"")</f>
        <v>3133.5387500000002</v>
      </c>
      <c r="BQ4">
        <f ca="1">IFERROR(IF(0=LEN(ReferenceData!$BQ$4),"",ReferenceData!$BQ$4),"")</f>
        <v>3058.6529999999998</v>
      </c>
      <c r="BR4">
        <f ca="1">IFERROR(IF(0=LEN(ReferenceData!$BR$4),"",ReferenceData!$BR$4),"")</f>
        <v>3182.8115499999999</v>
      </c>
      <c r="BS4">
        <f ca="1">IFERROR(IF(0=LEN(ReferenceData!$BS$4),"",ReferenceData!$BS$4),"")</f>
        <v>2915.2597999999998</v>
      </c>
      <c r="BT4">
        <f ca="1">IFERROR(IF(0=LEN(ReferenceData!$BT$4),"",ReferenceData!$BT$4),"")</f>
        <v>3048.8145</v>
      </c>
      <c r="BU4">
        <f ca="1">IFERROR(IF(0=LEN(ReferenceData!$BU$4),"",ReferenceData!$BU$4),"")</f>
        <v>2822.93</v>
      </c>
      <c r="BV4">
        <f ca="1">IFERROR(IF(0=LEN(ReferenceData!$BV$4),"",ReferenceData!$BV$4),"")</f>
        <v>2992.8809999999999</v>
      </c>
      <c r="BW4">
        <f ca="1">IFERROR(IF(0=LEN(ReferenceData!$BW$4),"",ReferenceData!$BW$4),"")</f>
        <v>2958.1412500000001</v>
      </c>
      <c r="BX4">
        <f ca="1">IFERROR(IF(0=LEN(ReferenceData!$BX$4),"",ReferenceData!$BX$4),"")</f>
        <v>2977.0702500000002</v>
      </c>
      <c r="BY4">
        <f ca="1">IFERROR(IF(0=LEN(ReferenceData!$BY$4),"",ReferenceData!$BY$4),"")</f>
        <v>2957.1462499999998</v>
      </c>
      <c r="BZ4">
        <f ca="1">IFERROR(IF(0=LEN(ReferenceData!$BZ$4),"",ReferenceData!$BZ$4),"")</f>
        <v>2800.0115000000001</v>
      </c>
      <c r="CA4">
        <f ca="1">IFERROR(IF(0=LEN(ReferenceData!$CA$4),"",ReferenceData!$CA$4),"")</f>
        <v>2947.3722499999999</v>
      </c>
      <c r="CB4">
        <f ca="1">IFERROR(IF(0=LEN(ReferenceData!$CB$4),"",ReferenceData!$CB$4),"")</f>
        <v>2876.9760000000001</v>
      </c>
      <c r="CC4">
        <f ca="1">IFERROR(IF(0=LEN(ReferenceData!$CC$4),"",ReferenceData!$CC$4),"")</f>
        <v>2822.4290000000001</v>
      </c>
      <c r="CD4">
        <f ca="1">IFERROR(IF(0=LEN(ReferenceData!$CD$4),"",ReferenceData!$CD$4),"")</f>
        <v>2990.915</v>
      </c>
      <c r="CE4">
        <f ca="1">IFERROR(IF(0=LEN(ReferenceData!$CE$4),"",ReferenceData!$CE$4),"")</f>
        <v>2724.4180000000001</v>
      </c>
      <c r="CF4">
        <f ca="1">IFERROR(IF(0=LEN(ReferenceData!$CF$4),"",ReferenceData!$CF$4),"")</f>
        <v>2691.61375</v>
      </c>
      <c r="CG4">
        <f ca="1">IFERROR(IF(0=LEN(ReferenceData!$CG$4),"",ReferenceData!$CG$4),"")</f>
        <v>2297.1932499999998</v>
      </c>
      <c r="CH4">
        <f ca="1">IFERROR(IF(0=LEN(ReferenceData!$CH$4),"",ReferenceData!$CH$4),"")</f>
        <v>2623.2694999999999</v>
      </c>
      <c r="CI4">
        <f ca="1">IFERROR(IF(0=LEN(ReferenceData!$CI$4),"",ReferenceData!$CI$4),"")</f>
        <v>2765.4637499999999</v>
      </c>
      <c r="CJ4">
        <f ca="1">IFERROR(IF(0=LEN(ReferenceData!$CJ$4),"",ReferenceData!$CJ$4),"")</f>
        <v>2573.0637499999998</v>
      </c>
      <c r="CK4">
        <f ca="1">IFERROR(IF(0=LEN(ReferenceData!$CK$4),"",ReferenceData!$CK$4),"")</f>
        <v>2533.0645</v>
      </c>
    </row>
    <row r="5" spans="1:89" x14ac:dyDescent="0.25">
      <c r="A5" t="str">
        <f>IFERROR(IF(0=LEN(ReferenceData!$A$5),"",ReferenceData!$A$5),"")</f>
        <v>Hong Kong Port Container Throughput (000 TEU)</v>
      </c>
      <c r="B5" t="str">
        <f>IFERROR(IF(0=LEN(ReferenceData!$B$5),"",ReferenceData!$B$5),"")</f>
        <v>HKCCTTL Index</v>
      </c>
      <c r="C5" t="str">
        <f>IFERROR(IF(0=LEN(ReferenceData!$C$5),"",ReferenceData!$C$5),"")</f>
        <v>PX385</v>
      </c>
      <c r="D5" t="str">
        <f>IFERROR(IF(0=LEN(ReferenceData!$D$5),"",ReferenceData!$D$5),"")</f>
        <v>INTERVAL_SUM</v>
      </c>
      <c r="E5" t="str">
        <f>IFERROR(IF(0=LEN(ReferenceData!$E$5),"",ReferenceData!$E$5),"")</f>
        <v>Dynamic</v>
      </c>
      <c r="F5">
        <f ca="1">IFERROR(IF(0=LEN(ReferenceData!$F$5),"",ReferenceData!$F$5),"")</f>
        <v>1197</v>
      </c>
      <c r="G5">
        <f ca="1">IFERROR(IF(0=LEN(ReferenceData!$G$5),"",ReferenceData!$G$5),"")</f>
        <v>1231</v>
      </c>
      <c r="H5">
        <f ca="1">IFERROR(IF(0=LEN(ReferenceData!$H$5),"",ReferenceData!$H$5),"")</f>
        <v>1217</v>
      </c>
      <c r="I5">
        <f ca="1">IFERROR(IF(0=LEN(ReferenceData!$I$5),"",ReferenceData!$I$5),"")</f>
        <v>1207</v>
      </c>
      <c r="J5">
        <f ca="1">IFERROR(IF(0=LEN(ReferenceData!$J$5),"",ReferenceData!$J$5),"")</f>
        <v>1236</v>
      </c>
      <c r="K5">
        <f ca="1">IFERROR(IF(0=LEN(ReferenceData!$K$5),"",ReferenceData!$K$5),"")</f>
        <v>1246</v>
      </c>
      <c r="L5">
        <f ca="1">IFERROR(IF(0=LEN(ReferenceData!$L$5),"",ReferenceData!$L$5),"")</f>
        <v>1307</v>
      </c>
      <c r="M5">
        <f ca="1">IFERROR(IF(0=LEN(ReferenceData!$M$5),"",ReferenceData!$M$5),"")</f>
        <v>1058</v>
      </c>
      <c r="N5">
        <f ca="1">IFERROR(IF(0=LEN(ReferenceData!$N$5),"",ReferenceData!$N$5),"")</f>
        <v>1067</v>
      </c>
      <c r="O5">
        <f ca="1">IFERROR(IF(0=LEN(ReferenceData!$O$5),"",ReferenceData!$O$5),"")</f>
        <v>1410</v>
      </c>
      <c r="P5">
        <f ca="1">IFERROR(IF(0=LEN(ReferenceData!$P$5),"",ReferenceData!$P$5),"")</f>
        <v>1359</v>
      </c>
      <c r="Q5">
        <f ca="1">IFERROR(IF(0=LEN(ReferenceData!$Q$5),"",ReferenceData!$Q$5),"")</f>
        <v>1280</v>
      </c>
      <c r="R5">
        <f ca="1">IFERROR(IF(0=LEN(ReferenceData!$R$5),"",ReferenceData!$R$5),"")</f>
        <v>1392</v>
      </c>
      <c r="S5">
        <f ca="1">IFERROR(IF(0=LEN(ReferenceData!$S$5),"",ReferenceData!$S$5),"")</f>
        <v>1359</v>
      </c>
      <c r="T5">
        <f ca="1">IFERROR(IF(0=LEN(ReferenceData!$T$5),"",ReferenceData!$T$5),"")</f>
        <v>1458</v>
      </c>
      <c r="U5">
        <f ca="1">IFERROR(IF(0=LEN(ReferenceData!$U$5),"",ReferenceData!$U$5),"")</f>
        <v>1588</v>
      </c>
      <c r="V5">
        <f ca="1">IFERROR(IF(0=LEN(ReferenceData!$V$5),"",ReferenceData!$V$5),"")</f>
        <v>1519</v>
      </c>
      <c r="W5">
        <f ca="1">IFERROR(IF(0=LEN(ReferenceData!$W$5),"",ReferenceData!$W$5),"")</f>
        <v>1616</v>
      </c>
      <c r="X5">
        <f ca="1">IFERROR(IF(0=LEN(ReferenceData!$X$5),"",ReferenceData!$X$5),"")</f>
        <v>1434</v>
      </c>
      <c r="Y5">
        <f ca="1">IFERROR(IF(0=LEN(ReferenceData!$Y$5),"",ReferenceData!$Y$5),"")</f>
        <v>1051</v>
      </c>
      <c r="Z5">
        <f ca="1">IFERROR(IF(0=LEN(ReferenceData!$Z$5),"",ReferenceData!$Z$5),"")</f>
        <v>1221</v>
      </c>
      <c r="AA5">
        <f ca="1">IFERROR(IF(0=LEN(ReferenceData!$AA$5),"",ReferenceData!$AA$5),"")</f>
        <v>1485</v>
      </c>
      <c r="AB5">
        <f ca="1">IFERROR(IF(0=LEN(ReferenceData!$AB$5),"",ReferenceData!$AB$5),"")</f>
        <v>1546</v>
      </c>
      <c r="AC5">
        <f ca="1">IFERROR(IF(0=LEN(ReferenceData!$AC$5),"",ReferenceData!$AC$5),"")</f>
        <v>1420</v>
      </c>
      <c r="AD5">
        <f ca="1">IFERROR(IF(0=LEN(ReferenceData!$AD$5),"",ReferenceData!$AD$5),"")</f>
        <v>1534</v>
      </c>
      <c r="AE5">
        <f ca="1">IFERROR(IF(0=LEN(ReferenceData!$AE$5),"",ReferenceData!$AE$5),"")</f>
        <v>1526</v>
      </c>
      <c r="AF5">
        <f ca="1">IFERROR(IF(0=LEN(ReferenceData!$AF$5),"",ReferenceData!$AF$5),"")</f>
        <v>1581</v>
      </c>
      <c r="AG5">
        <f ca="1">IFERROR(IF(0=LEN(ReferenceData!$AG$5),"",ReferenceData!$AG$5),"")</f>
        <v>1485</v>
      </c>
      <c r="AH5">
        <f ca="1">IFERROR(IF(0=LEN(ReferenceData!$AH$5),"",ReferenceData!$AH$5),"")</f>
        <v>1592</v>
      </c>
      <c r="AI5">
        <f ca="1">IFERROR(IF(0=LEN(ReferenceData!$AI$5),"",ReferenceData!$AI$5),"")</f>
        <v>1517</v>
      </c>
      <c r="AJ5">
        <f ca="1">IFERROR(IF(0=LEN(ReferenceData!$AJ$5),"",ReferenceData!$AJ$5),"")</f>
        <v>1557</v>
      </c>
      <c r="AK5">
        <f ca="1">IFERROR(IF(0=LEN(ReferenceData!$AK$5),"",ReferenceData!$AK$5),"")</f>
        <v>1019</v>
      </c>
      <c r="AL5">
        <f ca="1">IFERROR(IF(0=LEN(ReferenceData!$AL$5),"",ReferenceData!$AL$5),"")</f>
        <v>1538</v>
      </c>
      <c r="AM5">
        <f ca="1">IFERROR(IF(0=LEN(ReferenceData!$AM$5),"",ReferenceData!$AM$5),"")</f>
        <v>1634</v>
      </c>
      <c r="AN5">
        <f ca="1">IFERROR(IF(0=LEN(ReferenceData!$AN$5),"",ReferenceData!$AN$5),"")</f>
        <v>1529</v>
      </c>
      <c r="AO5">
        <f ca="1">IFERROR(IF(0=LEN(ReferenceData!$AO$5),"",ReferenceData!$AO$5),"")</f>
        <v>1499</v>
      </c>
      <c r="AP5">
        <f ca="1">IFERROR(IF(0=LEN(ReferenceData!$AP$5),"",ReferenceData!$AP$5),"")</f>
        <v>1538</v>
      </c>
      <c r="AQ5">
        <f ca="1">IFERROR(IF(0=LEN(ReferenceData!$AQ$5),"",ReferenceData!$AQ$5),"")</f>
        <v>1573</v>
      </c>
      <c r="AR5">
        <f ca="1">IFERROR(IF(0=LEN(ReferenceData!$AR$5),"",ReferenceData!$AR$5),"")</f>
        <v>1588</v>
      </c>
      <c r="AS5">
        <f ca="1">IFERROR(IF(0=LEN(ReferenceData!$AS$5),"",ReferenceData!$AS$5),"")</f>
        <v>1533</v>
      </c>
      <c r="AT5">
        <f ca="1">IFERROR(IF(0=LEN(ReferenceData!$AT$5),"",ReferenceData!$AT$5),"")</f>
        <v>1515</v>
      </c>
      <c r="AU5">
        <f ca="1">IFERROR(IF(0=LEN(ReferenceData!$AU$5),"",ReferenceData!$AU$5),"")</f>
        <v>1462</v>
      </c>
      <c r="AV5">
        <f ca="1">IFERROR(IF(0=LEN(ReferenceData!$AV$5),"",ReferenceData!$AV$5),"")</f>
        <v>1515</v>
      </c>
      <c r="AW5">
        <f ca="1">IFERROR(IF(0=LEN(ReferenceData!$AW$5),"",ReferenceData!$AW$5),"")</f>
        <v>1160</v>
      </c>
      <c r="AX5">
        <f ca="1">IFERROR(IF(0=LEN(ReferenceData!$AX$5),"",ReferenceData!$AX$5),"")</f>
        <v>1425</v>
      </c>
      <c r="AY5">
        <f ca="1">IFERROR(IF(0=LEN(ReferenceData!$AY$5),"",ReferenceData!$AY$5),"")</f>
        <v>1524</v>
      </c>
      <c r="AZ5">
        <f ca="1">IFERROR(IF(0=LEN(ReferenceData!$AZ$5),"",ReferenceData!$AZ$5),"")</f>
        <v>1511</v>
      </c>
      <c r="BA5">
        <f ca="1">IFERROR(IF(0=LEN(ReferenceData!$BA$5),"",ReferenceData!$BA$5),"")</f>
        <v>1553</v>
      </c>
      <c r="BB5">
        <f ca="1">IFERROR(IF(0=LEN(ReferenceData!$BB$5),"",ReferenceData!$BB$5),"")</f>
        <v>1484</v>
      </c>
      <c r="BC5">
        <f ca="1">IFERROR(IF(0=LEN(ReferenceData!$BC$5),"",ReferenceData!$BC$5),"")</f>
        <v>1584</v>
      </c>
      <c r="BD5">
        <f ca="1">IFERROR(IF(0=LEN(ReferenceData!$BD$5),"",ReferenceData!$BD$5),"")</f>
        <v>1549</v>
      </c>
      <c r="BE5">
        <f ca="1">IFERROR(IF(0=LEN(ReferenceData!$BE$5),"",ReferenceData!$BE$5),"")</f>
        <v>1527</v>
      </c>
      <c r="BF5">
        <f ca="1">IFERROR(IF(0=LEN(ReferenceData!$BF$5),"",ReferenceData!$BF$5),"")</f>
        <v>1572</v>
      </c>
      <c r="BG5">
        <f ca="1">IFERROR(IF(0=LEN(ReferenceData!$BG$5),"",ReferenceData!$BG$5),"")</f>
        <v>1574</v>
      </c>
      <c r="BH5">
        <f ca="1">IFERROR(IF(0=LEN(ReferenceData!$BH$5),"",ReferenceData!$BH$5),"")</f>
        <v>1567</v>
      </c>
      <c r="BI5">
        <f ca="1">IFERROR(IF(0=LEN(ReferenceData!$BI$5),"",ReferenceData!$BI$5),"")</f>
        <v>1162</v>
      </c>
      <c r="BJ5">
        <f ca="1">IFERROR(IF(0=LEN(ReferenceData!$BJ$5),"",ReferenceData!$BJ$5),"")</f>
        <v>1695</v>
      </c>
      <c r="BK5">
        <f ca="1">IFERROR(IF(0=LEN(ReferenceData!$BK$5),"",ReferenceData!$BK$5),"")</f>
        <v>1674</v>
      </c>
      <c r="BL5">
        <f ca="1">IFERROR(IF(0=LEN(ReferenceData!$BL$5),"",ReferenceData!$BL$5),"")</f>
        <v>1639</v>
      </c>
      <c r="BM5">
        <f ca="1">IFERROR(IF(0=LEN(ReferenceData!$BM$5),"",ReferenceData!$BM$5),"")</f>
        <v>1646</v>
      </c>
      <c r="BN5">
        <f ca="1">IFERROR(IF(0=LEN(ReferenceData!$BN$5),"",ReferenceData!$BN$5),"")</f>
        <v>1487</v>
      </c>
      <c r="BO5">
        <f ca="1">IFERROR(IF(0=LEN(ReferenceData!$BO$5),"",ReferenceData!$BO$5),"")</f>
        <v>1616</v>
      </c>
      <c r="BP5">
        <f ca="1">IFERROR(IF(0=LEN(ReferenceData!$BP$5),"",ReferenceData!$BP$5),"")</f>
        <v>1666</v>
      </c>
      <c r="BQ5">
        <f ca="1">IFERROR(IF(0=LEN(ReferenceData!$BQ$5),"",ReferenceData!$BQ$5),"")</f>
        <v>1683</v>
      </c>
      <c r="BR5">
        <f ca="1">IFERROR(IF(0=LEN(ReferenceData!$BR$5),"",ReferenceData!$BR$5),"")</f>
        <v>1696</v>
      </c>
      <c r="BS5">
        <f ca="1">IFERROR(IF(0=LEN(ReferenceData!$BS$5),"",ReferenceData!$BS$5),"")</f>
        <v>1601</v>
      </c>
      <c r="BT5">
        <f ca="1">IFERROR(IF(0=LEN(ReferenceData!$BT$5),"",ReferenceData!$BT$5),"")</f>
        <v>1628</v>
      </c>
      <c r="BU5">
        <f ca="1">IFERROR(IF(0=LEN(ReferenceData!$BU$5),"",ReferenceData!$BU$5),"")</f>
        <v>1414</v>
      </c>
      <c r="BV5">
        <f ca="1">IFERROR(IF(0=LEN(ReferenceData!$BV$5),"",ReferenceData!$BV$5),"")</f>
        <v>1846</v>
      </c>
      <c r="BW5">
        <f ca="1">IFERROR(IF(0=LEN(ReferenceData!$BW$5),"",ReferenceData!$BW$5),"")</f>
        <v>1780</v>
      </c>
      <c r="BX5">
        <f ca="1">IFERROR(IF(0=LEN(ReferenceData!$BX$5),"",ReferenceData!$BX$5),"")</f>
        <v>1757</v>
      </c>
      <c r="BY5">
        <f ca="1">IFERROR(IF(0=LEN(ReferenceData!$BY$5),"",ReferenceData!$BY$5),"")</f>
        <v>1676</v>
      </c>
      <c r="BZ5">
        <f ca="1">IFERROR(IF(0=LEN(ReferenceData!$BZ$5),"",ReferenceData!$BZ$5),"")</f>
        <v>1806</v>
      </c>
      <c r="CA5">
        <f ca="1">IFERROR(IF(0=LEN(ReferenceData!$CA$5),"",ReferenceData!$CA$5),"")</f>
        <v>1718</v>
      </c>
      <c r="CB5">
        <f ca="1">IFERROR(IF(0=LEN(ReferenceData!$CB$5),"",ReferenceData!$CB$5),"")</f>
        <v>1782</v>
      </c>
      <c r="CC5">
        <f ca="1">IFERROR(IF(0=LEN(ReferenceData!$CC$5),"",ReferenceData!$CC$5),"")</f>
        <v>1750</v>
      </c>
      <c r="CD5">
        <f ca="1">IFERROR(IF(0=LEN(ReferenceData!$CD$5),"",ReferenceData!$CD$5),"")</f>
        <v>1824</v>
      </c>
      <c r="CE5">
        <f ca="1">IFERROR(IF(0=LEN(ReferenceData!$CE$5),"",ReferenceData!$CE$5),"")</f>
        <v>1799</v>
      </c>
      <c r="CF5">
        <f ca="1">IFERROR(IF(0=LEN(ReferenceData!$CF$5),"",ReferenceData!$CF$5),"")</f>
        <v>1730</v>
      </c>
      <c r="CG5">
        <f ca="1">IFERROR(IF(0=LEN(ReferenceData!$CG$5),"",ReferenceData!$CG$5),"")</f>
        <v>1487</v>
      </c>
      <c r="CH5">
        <f ca="1">IFERROR(IF(0=LEN(ReferenceData!$CH$5),"",ReferenceData!$CH$5),"")</f>
        <v>1661</v>
      </c>
      <c r="CI5">
        <f ca="1">IFERROR(IF(0=LEN(ReferenceData!$CI$5),"",ReferenceData!$CI$5),"")</f>
        <v>1983</v>
      </c>
      <c r="CJ5">
        <f ca="1">IFERROR(IF(0=LEN(ReferenceData!$CJ$5),"",ReferenceData!$CJ$5),"")</f>
        <v>1814</v>
      </c>
      <c r="CK5">
        <f ca="1">IFERROR(IF(0=LEN(ReferenceData!$CK$5),"",ReferenceData!$CK$5),"")</f>
        <v>1687</v>
      </c>
    </row>
    <row r="6" spans="1:89" x14ac:dyDescent="0.25">
      <c r="A6" t="str">
        <f>IFERROR(IF(0=LEN(ReferenceData!$A$6),"",ReferenceData!$A$6),"")</f>
        <v>Hong Kong Maritime Industry Council</v>
      </c>
      <c r="B6" t="str">
        <f>IFERROR(IF(0=LEN(ReferenceData!$B$6),"",ReferenceData!$B$6),"")</f>
        <v/>
      </c>
      <c r="C6" t="str">
        <f>IFERROR(IF(0=LEN(ReferenceData!$C$6),"",ReferenceData!$C$6),"")</f>
        <v/>
      </c>
      <c r="D6" t="str">
        <f>IFERROR(IF(0=LEN(ReferenceData!$D$6),"",ReferenceData!$D$6),"")</f>
        <v/>
      </c>
      <c r="E6" t="str">
        <f>IFERROR(IF(0=LEN(ReferenceData!$E$6),"",ReferenceData!$E$6),"")</f>
        <v>Heading</v>
      </c>
      <c r="F6" t="str">
        <f>IFERROR(IF(0=LEN(ReferenceData!$F$6),"",ReferenceData!$F$6),"")</f>
        <v/>
      </c>
      <c r="G6" t="str">
        <f>IFERROR(IF(0=LEN(ReferenceData!$G$6),"",ReferenceData!$G$6),"")</f>
        <v/>
      </c>
      <c r="H6" t="str">
        <f>IFERROR(IF(0=LEN(ReferenceData!$H$6),"",ReferenceData!$H$6),"")</f>
        <v/>
      </c>
      <c r="I6" t="str">
        <f>IFERROR(IF(0=LEN(ReferenceData!$I$6),"",ReferenceData!$I$6),"")</f>
        <v/>
      </c>
      <c r="J6" t="str">
        <f>IFERROR(IF(0=LEN(ReferenceData!$J$6),"",ReferenceData!$J$6),"")</f>
        <v/>
      </c>
      <c r="K6" t="str">
        <f>IFERROR(IF(0=LEN(ReferenceData!$K$6),"",ReferenceData!$K$6),"")</f>
        <v/>
      </c>
      <c r="L6" t="str">
        <f>IFERROR(IF(0=LEN(ReferenceData!$L$6),"",ReferenceData!$L$6),"")</f>
        <v/>
      </c>
      <c r="M6" t="str">
        <f>IFERROR(IF(0=LEN(ReferenceData!$M$6),"",ReferenceData!$M$6),"")</f>
        <v/>
      </c>
      <c r="N6" t="str">
        <f>IFERROR(IF(0=LEN(ReferenceData!$N$6),"",ReferenceData!$N$6),"")</f>
        <v/>
      </c>
      <c r="O6" t="str">
        <f>IFERROR(IF(0=LEN(ReferenceData!$O$6),"",ReferenceData!$O$6),"")</f>
        <v/>
      </c>
      <c r="P6" t="str">
        <f>IFERROR(IF(0=LEN(ReferenceData!$P$6),"",ReferenceData!$P$6),"")</f>
        <v/>
      </c>
      <c r="Q6" t="str">
        <f>IFERROR(IF(0=LEN(ReferenceData!$Q$6),"",ReferenceData!$Q$6),"")</f>
        <v/>
      </c>
      <c r="R6" t="str">
        <f>IFERROR(IF(0=LEN(ReferenceData!$R$6),"",ReferenceData!$R$6),"")</f>
        <v/>
      </c>
      <c r="S6" t="str">
        <f>IFERROR(IF(0=LEN(ReferenceData!$S$6),"",ReferenceData!$S$6),"")</f>
        <v/>
      </c>
      <c r="T6" t="str">
        <f>IFERROR(IF(0=LEN(ReferenceData!$T$6),"",ReferenceData!$T$6),"")</f>
        <v/>
      </c>
      <c r="U6" t="str">
        <f>IFERROR(IF(0=LEN(ReferenceData!$U$6),"",ReferenceData!$U$6),"")</f>
        <v/>
      </c>
      <c r="V6" t="str">
        <f>IFERROR(IF(0=LEN(ReferenceData!$V$6),"",ReferenceData!$V$6),"")</f>
        <v/>
      </c>
      <c r="W6" t="str">
        <f>IFERROR(IF(0=LEN(ReferenceData!$W$6),"",ReferenceData!$W$6),"")</f>
        <v/>
      </c>
      <c r="X6" t="str">
        <f>IFERROR(IF(0=LEN(ReferenceData!$X$6),"",ReferenceData!$X$6),"")</f>
        <v/>
      </c>
      <c r="Y6" t="str">
        <f>IFERROR(IF(0=LEN(ReferenceData!$Y$6),"",ReferenceData!$Y$6),"")</f>
        <v/>
      </c>
      <c r="Z6" t="str">
        <f>IFERROR(IF(0=LEN(ReferenceData!$Z$6),"",ReferenceData!$Z$6),"")</f>
        <v/>
      </c>
      <c r="AA6" t="str">
        <f>IFERROR(IF(0=LEN(ReferenceData!$AA$6),"",ReferenceData!$AA$6),"")</f>
        <v/>
      </c>
      <c r="AB6" t="str">
        <f>IFERROR(IF(0=LEN(ReferenceData!$AB$6),"",ReferenceData!$AB$6),"")</f>
        <v/>
      </c>
      <c r="AC6" t="str">
        <f>IFERROR(IF(0=LEN(ReferenceData!$AC$6),"",ReferenceData!$AC$6),"")</f>
        <v/>
      </c>
      <c r="AD6" t="str">
        <f>IFERROR(IF(0=LEN(ReferenceData!$AD$6),"",ReferenceData!$AD$6),"")</f>
        <v/>
      </c>
      <c r="AE6" t="str">
        <f>IFERROR(IF(0=LEN(ReferenceData!$AE$6),"",ReferenceData!$AE$6),"")</f>
        <v/>
      </c>
      <c r="AF6" t="str">
        <f>IFERROR(IF(0=LEN(ReferenceData!$AF$6),"",ReferenceData!$AF$6),"")</f>
        <v/>
      </c>
      <c r="AG6" t="str">
        <f>IFERROR(IF(0=LEN(ReferenceData!$AG$6),"",ReferenceData!$AG$6),"")</f>
        <v/>
      </c>
      <c r="AH6" t="str">
        <f>IFERROR(IF(0=LEN(ReferenceData!$AH$6),"",ReferenceData!$AH$6),"")</f>
        <v/>
      </c>
      <c r="AI6" t="str">
        <f>IFERROR(IF(0=LEN(ReferenceData!$AI$6),"",ReferenceData!$AI$6),"")</f>
        <v/>
      </c>
      <c r="AJ6" t="str">
        <f>IFERROR(IF(0=LEN(ReferenceData!$AJ$6),"",ReferenceData!$AJ$6),"")</f>
        <v/>
      </c>
      <c r="AK6" t="str">
        <f>IFERROR(IF(0=LEN(ReferenceData!$AK$6),"",ReferenceData!$AK$6),"")</f>
        <v/>
      </c>
      <c r="AL6" t="str">
        <f>IFERROR(IF(0=LEN(ReferenceData!$AL$6),"",ReferenceData!$AL$6),"")</f>
        <v/>
      </c>
      <c r="AM6" t="str">
        <f>IFERROR(IF(0=LEN(ReferenceData!$AM$6),"",ReferenceData!$AM$6),"")</f>
        <v/>
      </c>
      <c r="AN6" t="str">
        <f>IFERROR(IF(0=LEN(ReferenceData!$AN$6),"",ReferenceData!$AN$6),"")</f>
        <v/>
      </c>
      <c r="AO6" t="str">
        <f>IFERROR(IF(0=LEN(ReferenceData!$AO$6),"",ReferenceData!$AO$6),"")</f>
        <v/>
      </c>
      <c r="AP6" t="str">
        <f>IFERROR(IF(0=LEN(ReferenceData!$AP$6),"",ReferenceData!$AP$6),"")</f>
        <v/>
      </c>
      <c r="AQ6" t="str">
        <f>IFERROR(IF(0=LEN(ReferenceData!$AQ$6),"",ReferenceData!$AQ$6),"")</f>
        <v/>
      </c>
      <c r="AR6" t="str">
        <f>IFERROR(IF(0=LEN(ReferenceData!$AR$6),"",ReferenceData!$AR$6),"")</f>
        <v/>
      </c>
      <c r="AS6" t="str">
        <f>IFERROR(IF(0=LEN(ReferenceData!$AS$6),"",ReferenceData!$AS$6),"")</f>
        <v/>
      </c>
      <c r="AT6" t="str">
        <f>IFERROR(IF(0=LEN(ReferenceData!$AT$6),"",ReferenceData!$AT$6),"")</f>
        <v/>
      </c>
      <c r="AU6" t="str">
        <f>IFERROR(IF(0=LEN(ReferenceData!$AU$6),"",ReferenceData!$AU$6),"")</f>
        <v/>
      </c>
      <c r="AV6" t="str">
        <f>IFERROR(IF(0=LEN(ReferenceData!$AV$6),"",ReferenceData!$AV$6),"")</f>
        <v/>
      </c>
      <c r="AW6" t="str">
        <f>IFERROR(IF(0=LEN(ReferenceData!$AW$6),"",ReferenceData!$AW$6),"")</f>
        <v/>
      </c>
      <c r="AX6" t="str">
        <f>IFERROR(IF(0=LEN(ReferenceData!$AX$6),"",ReferenceData!$AX$6),"")</f>
        <v/>
      </c>
      <c r="AY6" t="str">
        <f>IFERROR(IF(0=LEN(ReferenceData!$AY$6),"",ReferenceData!$AY$6),"")</f>
        <v/>
      </c>
      <c r="AZ6" t="str">
        <f>IFERROR(IF(0=LEN(ReferenceData!$AZ$6),"",ReferenceData!$AZ$6),"")</f>
        <v/>
      </c>
      <c r="BA6" t="str">
        <f>IFERROR(IF(0=LEN(ReferenceData!$BA$6),"",ReferenceData!$BA$6),"")</f>
        <v/>
      </c>
      <c r="BB6" t="str">
        <f>IFERROR(IF(0=LEN(ReferenceData!$BB$6),"",ReferenceData!$BB$6),"")</f>
        <v/>
      </c>
      <c r="BC6" t="str">
        <f>IFERROR(IF(0=LEN(ReferenceData!$BC$6),"",ReferenceData!$BC$6),"")</f>
        <v/>
      </c>
      <c r="BD6" t="str">
        <f>IFERROR(IF(0=LEN(ReferenceData!$BD$6),"",ReferenceData!$BD$6),"")</f>
        <v/>
      </c>
      <c r="BE6" t="str">
        <f>IFERROR(IF(0=LEN(ReferenceData!$BE$6),"",ReferenceData!$BE$6),"")</f>
        <v/>
      </c>
      <c r="BF6" t="str">
        <f>IFERROR(IF(0=LEN(ReferenceData!$BF$6),"",ReferenceData!$BF$6),"")</f>
        <v/>
      </c>
      <c r="BG6" t="str">
        <f>IFERROR(IF(0=LEN(ReferenceData!$BG$6),"",ReferenceData!$BG$6),"")</f>
        <v/>
      </c>
      <c r="BH6" t="str">
        <f>IFERROR(IF(0=LEN(ReferenceData!$BH$6),"",ReferenceData!$BH$6),"")</f>
        <v/>
      </c>
      <c r="BI6" t="str">
        <f>IFERROR(IF(0=LEN(ReferenceData!$BI$6),"",ReferenceData!$BI$6),"")</f>
        <v/>
      </c>
      <c r="BJ6" t="str">
        <f>IFERROR(IF(0=LEN(ReferenceData!$BJ$6),"",ReferenceData!$BJ$6),"")</f>
        <v/>
      </c>
      <c r="BK6" t="str">
        <f>IFERROR(IF(0=LEN(ReferenceData!$BK$6),"",ReferenceData!$BK$6),"")</f>
        <v/>
      </c>
      <c r="BL6" t="str">
        <f>IFERROR(IF(0=LEN(ReferenceData!$BL$6),"",ReferenceData!$BL$6),"")</f>
        <v/>
      </c>
      <c r="BM6" t="str">
        <f>IFERROR(IF(0=LEN(ReferenceData!$BM$6),"",ReferenceData!$BM$6),"")</f>
        <v/>
      </c>
      <c r="BN6" t="str">
        <f>IFERROR(IF(0=LEN(ReferenceData!$BN$6),"",ReferenceData!$BN$6),"")</f>
        <v/>
      </c>
      <c r="BO6" t="str">
        <f>IFERROR(IF(0=LEN(ReferenceData!$BO$6),"",ReferenceData!$BO$6),"")</f>
        <v/>
      </c>
      <c r="BP6" t="str">
        <f>IFERROR(IF(0=LEN(ReferenceData!$BP$6),"",ReferenceData!$BP$6),"")</f>
        <v/>
      </c>
      <c r="BQ6" t="str">
        <f>IFERROR(IF(0=LEN(ReferenceData!$BQ$6),"",ReferenceData!$BQ$6),"")</f>
        <v/>
      </c>
      <c r="BR6" t="str">
        <f>IFERROR(IF(0=LEN(ReferenceData!$BR$6),"",ReferenceData!$BR$6),"")</f>
        <v/>
      </c>
      <c r="BS6" t="str">
        <f>IFERROR(IF(0=LEN(ReferenceData!$BS$6),"",ReferenceData!$BS$6),"")</f>
        <v/>
      </c>
      <c r="BT6" t="str">
        <f>IFERROR(IF(0=LEN(ReferenceData!$BT$6),"",ReferenceData!$BT$6),"")</f>
        <v/>
      </c>
      <c r="BU6" t="str">
        <f>IFERROR(IF(0=LEN(ReferenceData!$BU$6),"",ReferenceData!$BU$6),"")</f>
        <v/>
      </c>
      <c r="BV6" t="str">
        <f>IFERROR(IF(0=LEN(ReferenceData!$BV$6),"",ReferenceData!$BV$6),"")</f>
        <v/>
      </c>
      <c r="BW6" t="str">
        <f>IFERROR(IF(0=LEN(ReferenceData!$BW$6),"",ReferenceData!$BW$6),"")</f>
        <v/>
      </c>
      <c r="BX6" t="str">
        <f>IFERROR(IF(0=LEN(ReferenceData!$BX$6),"",ReferenceData!$BX$6),"")</f>
        <v/>
      </c>
      <c r="BY6" t="str">
        <f>IFERROR(IF(0=LEN(ReferenceData!$BY$6),"",ReferenceData!$BY$6),"")</f>
        <v/>
      </c>
      <c r="BZ6" t="str">
        <f>IFERROR(IF(0=LEN(ReferenceData!$BZ$6),"",ReferenceData!$BZ$6),"")</f>
        <v/>
      </c>
      <c r="CA6" t="str">
        <f>IFERROR(IF(0=LEN(ReferenceData!$CA$6),"",ReferenceData!$CA$6),"")</f>
        <v/>
      </c>
      <c r="CB6" t="str">
        <f>IFERROR(IF(0=LEN(ReferenceData!$CB$6),"",ReferenceData!$CB$6),"")</f>
        <v/>
      </c>
      <c r="CC6" t="str">
        <f>IFERROR(IF(0=LEN(ReferenceData!$CC$6),"",ReferenceData!$CC$6),"")</f>
        <v/>
      </c>
      <c r="CD6" t="str">
        <f>IFERROR(IF(0=LEN(ReferenceData!$CD$6),"",ReferenceData!$CD$6),"")</f>
        <v/>
      </c>
      <c r="CE6" t="str">
        <f>IFERROR(IF(0=LEN(ReferenceData!$CE$6),"",ReferenceData!$CE$6),"")</f>
        <v/>
      </c>
      <c r="CF6" t="str">
        <f>IFERROR(IF(0=LEN(ReferenceData!$CF$6),"",ReferenceData!$CF$6),"")</f>
        <v/>
      </c>
      <c r="CG6" t="str">
        <f>IFERROR(IF(0=LEN(ReferenceData!$CG$6),"",ReferenceData!$CG$6),"")</f>
        <v/>
      </c>
      <c r="CH6" t="str">
        <f>IFERROR(IF(0=LEN(ReferenceData!$CH$6),"",ReferenceData!$CH$6),"")</f>
        <v/>
      </c>
      <c r="CI6" t="str">
        <f>IFERROR(IF(0=LEN(ReferenceData!$CI$6),"",ReferenceData!$CI$6),"")</f>
        <v/>
      </c>
      <c r="CJ6" t="str">
        <f>IFERROR(IF(0=LEN(ReferenceData!$CJ$6),"",ReferenceData!$CJ$6),"")</f>
        <v/>
      </c>
      <c r="CK6" t="str">
        <f>IFERROR(IF(0=LEN(ReferenceData!$CK$6),"",ReferenceData!$CK$6),"")</f>
        <v/>
      </c>
    </row>
    <row r="7" spans="1:89" x14ac:dyDescent="0.25">
      <c r="A7" t="str">
        <f>IFERROR(IF(0=LEN(ReferenceData!$A$7),"",ReferenceData!$A$7),"")</f>
        <v/>
      </c>
      <c r="B7" t="str">
        <f>IFERROR(IF(0=LEN(ReferenceData!$B$7),"",ReferenceData!$B$7),"")</f>
        <v/>
      </c>
      <c r="C7" t="str">
        <f>IFERROR(IF(0=LEN(ReferenceData!$C$7),"",ReferenceData!$C$7),"")</f>
        <v/>
      </c>
      <c r="D7" t="str">
        <f>IFERROR(IF(0=LEN(ReferenceData!$D$7),"",ReferenceData!$D$7),"")</f>
        <v/>
      </c>
      <c r="E7" t="str">
        <f>IFERROR(IF(0=LEN(ReferenceData!$E$7),"",ReferenceData!$E$7),"")</f>
        <v>Static</v>
      </c>
      <c r="F7" t="str">
        <f ca="1">IFERROR(IF(0=LEN(ReferenceData!$F$7),"",ReferenceData!$F$7),"")</f>
        <v/>
      </c>
      <c r="G7" t="str">
        <f ca="1">IFERROR(IF(0=LEN(ReferenceData!$G$7),"",ReferenceData!$G$7),"")</f>
        <v/>
      </c>
      <c r="H7" t="str">
        <f ca="1">IFERROR(IF(0=LEN(ReferenceData!$H$7),"",ReferenceData!$H$7),"")</f>
        <v/>
      </c>
      <c r="I7" t="str">
        <f ca="1">IFERROR(IF(0=LEN(ReferenceData!$I$7),"",ReferenceData!$I$7),"")</f>
        <v/>
      </c>
      <c r="J7" t="str">
        <f ca="1">IFERROR(IF(0=LEN(ReferenceData!$J$7),"",ReferenceData!$J$7),"")</f>
        <v/>
      </c>
      <c r="K7" t="str">
        <f ca="1">IFERROR(IF(0=LEN(ReferenceData!$K$7),"",ReferenceData!$K$7),"")</f>
        <v/>
      </c>
      <c r="L7" t="str">
        <f ca="1">IFERROR(IF(0=LEN(ReferenceData!$L$7),"",ReferenceData!$L$7),"")</f>
        <v/>
      </c>
      <c r="M7" t="str">
        <f ca="1">IFERROR(IF(0=LEN(ReferenceData!$M$7),"",ReferenceData!$M$7),"")</f>
        <v/>
      </c>
      <c r="N7" t="str">
        <f ca="1">IFERROR(IF(0=LEN(ReferenceData!$N$7),"",ReferenceData!$N$7),"")</f>
        <v/>
      </c>
      <c r="O7" t="str">
        <f ca="1">IFERROR(IF(0=LEN(ReferenceData!$O$7),"",ReferenceData!$O$7),"")</f>
        <v/>
      </c>
      <c r="P7" t="str">
        <f ca="1">IFERROR(IF(0=LEN(ReferenceData!$P$7),"",ReferenceData!$P$7),"")</f>
        <v/>
      </c>
      <c r="Q7" t="str">
        <f ca="1">IFERROR(IF(0=LEN(ReferenceData!$Q$7),"",ReferenceData!$Q$7),"")</f>
        <v/>
      </c>
      <c r="R7" t="str">
        <f ca="1">IFERROR(IF(0=LEN(ReferenceData!$R$7),"",ReferenceData!$R$7),"")</f>
        <v/>
      </c>
      <c r="S7" t="str">
        <f ca="1">IFERROR(IF(0=LEN(ReferenceData!$S$7),"",ReferenceData!$S$7),"")</f>
        <v/>
      </c>
      <c r="T7" t="str">
        <f ca="1">IFERROR(IF(0=LEN(ReferenceData!$T$7),"",ReferenceData!$T$7),"")</f>
        <v/>
      </c>
      <c r="U7" t="str">
        <f ca="1">IFERROR(IF(0=LEN(ReferenceData!$U$7),"",ReferenceData!$U$7),"")</f>
        <v/>
      </c>
      <c r="V7" t="str">
        <f ca="1">IFERROR(IF(0=LEN(ReferenceData!$V$7),"",ReferenceData!$V$7),"")</f>
        <v/>
      </c>
      <c r="W7" t="str">
        <f ca="1">IFERROR(IF(0=LEN(ReferenceData!$W$7),"",ReferenceData!$W$7),"")</f>
        <v/>
      </c>
      <c r="X7" t="str">
        <f ca="1">IFERROR(IF(0=LEN(ReferenceData!$X$7),"",ReferenceData!$X$7),"")</f>
        <v/>
      </c>
      <c r="Y7" t="str">
        <f ca="1">IFERROR(IF(0=LEN(ReferenceData!$Y$7),"",ReferenceData!$Y$7),"")</f>
        <v/>
      </c>
      <c r="Z7" t="str">
        <f ca="1">IFERROR(IF(0=LEN(ReferenceData!$Z$7),"",ReferenceData!$Z$7),"")</f>
        <v/>
      </c>
      <c r="AA7" t="str">
        <f ca="1">IFERROR(IF(0=LEN(ReferenceData!$AA$7),"",ReferenceData!$AA$7),"")</f>
        <v/>
      </c>
      <c r="AB7" t="str">
        <f ca="1">IFERROR(IF(0=LEN(ReferenceData!$AB$7),"",ReferenceData!$AB$7),"")</f>
        <v/>
      </c>
      <c r="AC7" t="str">
        <f ca="1">IFERROR(IF(0=LEN(ReferenceData!$AC$7),"",ReferenceData!$AC$7),"")</f>
        <v/>
      </c>
      <c r="AD7" t="str">
        <f ca="1">IFERROR(IF(0=LEN(ReferenceData!$AD$7),"",ReferenceData!$AD$7),"")</f>
        <v/>
      </c>
      <c r="AE7" t="str">
        <f ca="1">IFERROR(IF(0=LEN(ReferenceData!$AE$7),"",ReferenceData!$AE$7),"")</f>
        <v/>
      </c>
      <c r="AF7" t="str">
        <f ca="1">IFERROR(IF(0=LEN(ReferenceData!$AF$7),"",ReferenceData!$AF$7),"")</f>
        <v/>
      </c>
      <c r="AG7" t="str">
        <f ca="1">IFERROR(IF(0=LEN(ReferenceData!$AG$7),"",ReferenceData!$AG$7),"")</f>
        <v/>
      </c>
      <c r="AH7" t="str">
        <f ca="1">IFERROR(IF(0=LEN(ReferenceData!$AH$7),"",ReferenceData!$AH$7),"")</f>
        <v/>
      </c>
      <c r="AI7" t="str">
        <f ca="1">IFERROR(IF(0=LEN(ReferenceData!$AI$7),"",ReferenceData!$AI$7),"")</f>
        <v/>
      </c>
      <c r="AJ7" t="str">
        <f ca="1">IFERROR(IF(0=LEN(ReferenceData!$AJ$7),"",ReferenceData!$AJ$7),"")</f>
        <v/>
      </c>
      <c r="AK7" t="str">
        <f ca="1">IFERROR(IF(0=LEN(ReferenceData!$AK$7),"",ReferenceData!$AK$7),"")</f>
        <v/>
      </c>
      <c r="AL7" t="str">
        <f ca="1">IFERROR(IF(0=LEN(ReferenceData!$AL$7),"",ReferenceData!$AL$7),"")</f>
        <v/>
      </c>
      <c r="AM7" t="str">
        <f ca="1">IFERROR(IF(0=LEN(ReferenceData!$AM$7),"",ReferenceData!$AM$7),"")</f>
        <v/>
      </c>
      <c r="AN7" t="str">
        <f ca="1">IFERROR(IF(0=LEN(ReferenceData!$AN$7),"",ReferenceData!$AN$7),"")</f>
        <v/>
      </c>
      <c r="AO7" t="str">
        <f ca="1">IFERROR(IF(0=LEN(ReferenceData!$AO$7),"",ReferenceData!$AO$7),"")</f>
        <v/>
      </c>
      <c r="AP7" t="str">
        <f ca="1">IFERROR(IF(0=LEN(ReferenceData!$AP$7),"",ReferenceData!$AP$7),"")</f>
        <v/>
      </c>
      <c r="AQ7" t="str">
        <f ca="1">IFERROR(IF(0=LEN(ReferenceData!$AQ$7),"",ReferenceData!$AQ$7),"")</f>
        <v/>
      </c>
      <c r="AR7" t="str">
        <f ca="1">IFERROR(IF(0=LEN(ReferenceData!$AR$7),"",ReferenceData!$AR$7),"")</f>
        <v/>
      </c>
      <c r="AS7" t="str">
        <f ca="1">IFERROR(IF(0=LEN(ReferenceData!$AS$7),"",ReferenceData!$AS$7),"")</f>
        <v/>
      </c>
      <c r="AT7" t="str">
        <f ca="1">IFERROR(IF(0=LEN(ReferenceData!$AT$7),"",ReferenceData!$AT$7),"")</f>
        <v/>
      </c>
      <c r="AU7" t="str">
        <f ca="1">IFERROR(IF(0=LEN(ReferenceData!$AU$7),"",ReferenceData!$AU$7),"")</f>
        <v/>
      </c>
      <c r="AV7" t="str">
        <f ca="1">IFERROR(IF(0=LEN(ReferenceData!$AV$7),"",ReferenceData!$AV$7),"")</f>
        <v/>
      </c>
      <c r="AW7" t="str">
        <f ca="1">IFERROR(IF(0=LEN(ReferenceData!$AW$7),"",ReferenceData!$AW$7),"")</f>
        <v/>
      </c>
      <c r="AX7" t="str">
        <f ca="1">IFERROR(IF(0=LEN(ReferenceData!$AX$7),"",ReferenceData!$AX$7),"")</f>
        <v/>
      </c>
      <c r="AY7" t="str">
        <f ca="1">IFERROR(IF(0=LEN(ReferenceData!$AY$7),"",ReferenceData!$AY$7),"")</f>
        <v/>
      </c>
      <c r="AZ7" t="str">
        <f ca="1">IFERROR(IF(0=LEN(ReferenceData!$AZ$7),"",ReferenceData!$AZ$7),"")</f>
        <v/>
      </c>
      <c r="BA7" t="str">
        <f ca="1">IFERROR(IF(0=LEN(ReferenceData!$BA$7),"",ReferenceData!$BA$7),"")</f>
        <v/>
      </c>
      <c r="BB7" t="str">
        <f ca="1">IFERROR(IF(0=LEN(ReferenceData!$BB$7),"",ReferenceData!$BB$7),"")</f>
        <v/>
      </c>
      <c r="BC7" t="str">
        <f ca="1">IFERROR(IF(0=LEN(ReferenceData!$BC$7),"",ReferenceData!$BC$7),"")</f>
        <v/>
      </c>
      <c r="BD7" t="str">
        <f ca="1">IFERROR(IF(0=LEN(ReferenceData!$BD$7),"",ReferenceData!$BD$7),"")</f>
        <v/>
      </c>
      <c r="BE7" t="str">
        <f ca="1">IFERROR(IF(0=LEN(ReferenceData!$BE$7),"",ReferenceData!$BE$7),"")</f>
        <v/>
      </c>
      <c r="BF7" t="str">
        <f ca="1">IFERROR(IF(0=LEN(ReferenceData!$BF$7),"",ReferenceData!$BF$7),"")</f>
        <v/>
      </c>
      <c r="BG7" t="str">
        <f ca="1">IFERROR(IF(0=LEN(ReferenceData!$BG$7),"",ReferenceData!$BG$7),"")</f>
        <v/>
      </c>
      <c r="BH7" t="str">
        <f ca="1">IFERROR(IF(0=LEN(ReferenceData!$BH$7),"",ReferenceData!$BH$7),"")</f>
        <v/>
      </c>
      <c r="BI7" t="str">
        <f ca="1">IFERROR(IF(0=LEN(ReferenceData!$BI$7),"",ReferenceData!$BI$7),"")</f>
        <v/>
      </c>
      <c r="BJ7" t="str">
        <f ca="1">IFERROR(IF(0=LEN(ReferenceData!$BJ$7),"",ReferenceData!$BJ$7),"")</f>
        <v/>
      </c>
      <c r="BK7" t="str">
        <f ca="1">IFERROR(IF(0=LEN(ReferenceData!$BK$7),"",ReferenceData!$BK$7),"")</f>
        <v/>
      </c>
      <c r="BL7" t="str">
        <f ca="1">IFERROR(IF(0=LEN(ReferenceData!$BL$7),"",ReferenceData!$BL$7),"")</f>
        <v/>
      </c>
      <c r="BM7" t="str">
        <f ca="1">IFERROR(IF(0=LEN(ReferenceData!$BM$7),"",ReferenceData!$BM$7),"")</f>
        <v/>
      </c>
      <c r="BN7" t="str">
        <f ca="1">IFERROR(IF(0=LEN(ReferenceData!$BN$7),"",ReferenceData!$BN$7),"")</f>
        <v/>
      </c>
      <c r="BO7" t="str">
        <f ca="1">IFERROR(IF(0=LEN(ReferenceData!$BO$7),"",ReferenceData!$BO$7),"")</f>
        <v/>
      </c>
      <c r="BP7" t="str">
        <f ca="1">IFERROR(IF(0=LEN(ReferenceData!$BP$7),"",ReferenceData!$BP$7),"")</f>
        <v/>
      </c>
      <c r="BQ7" t="str">
        <f ca="1">IFERROR(IF(0=LEN(ReferenceData!$BQ$7),"",ReferenceData!$BQ$7),"")</f>
        <v/>
      </c>
      <c r="BR7" t="str">
        <f ca="1">IFERROR(IF(0=LEN(ReferenceData!$BR$7),"",ReferenceData!$BR$7),"")</f>
        <v/>
      </c>
      <c r="BS7" t="str">
        <f ca="1">IFERROR(IF(0=LEN(ReferenceData!$BS$7),"",ReferenceData!$BS$7),"")</f>
        <v/>
      </c>
      <c r="BT7" t="str">
        <f ca="1">IFERROR(IF(0=LEN(ReferenceData!$BT$7),"",ReferenceData!$BT$7),"")</f>
        <v/>
      </c>
      <c r="BU7" t="str">
        <f ca="1">IFERROR(IF(0=LEN(ReferenceData!$BU$7),"",ReferenceData!$BU$7),"")</f>
        <v/>
      </c>
      <c r="BV7" t="str">
        <f ca="1">IFERROR(IF(0=LEN(ReferenceData!$BV$7),"",ReferenceData!$BV$7),"")</f>
        <v/>
      </c>
      <c r="BW7" t="str">
        <f ca="1">IFERROR(IF(0=LEN(ReferenceData!$BW$7),"",ReferenceData!$BW$7),"")</f>
        <v/>
      </c>
      <c r="BX7" t="str">
        <f ca="1">IFERROR(IF(0=LEN(ReferenceData!$BX$7),"",ReferenceData!$BX$7),"")</f>
        <v/>
      </c>
      <c r="BY7" t="str">
        <f ca="1">IFERROR(IF(0=LEN(ReferenceData!$BY$7),"",ReferenceData!$BY$7),"")</f>
        <v/>
      </c>
      <c r="BZ7" t="str">
        <f ca="1">IFERROR(IF(0=LEN(ReferenceData!$BZ$7),"",ReferenceData!$BZ$7),"")</f>
        <v/>
      </c>
      <c r="CA7" t="str">
        <f ca="1">IFERROR(IF(0=LEN(ReferenceData!$CA$7),"",ReferenceData!$CA$7),"")</f>
        <v/>
      </c>
      <c r="CB7" t="str">
        <f ca="1">IFERROR(IF(0=LEN(ReferenceData!$CB$7),"",ReferenceData!$CB$7),"")</f>
        <v/>
      </c>
      <c r="CC7" t="str">
        <f ca="1">IFERROR(IF(0=LEN(ReferenceData!$CC$7),"",ReferenceData!$CC$7),"")</f>
        <v/>
      </c>
      <c r="CD7" t="str">
        <f ca="1">IFERROR(IF(0=LEN(ReferenceData!$CD$7),"",ReferenceData!$CD$7),"")</f>
        <v/>
      </c>
      <c r="CE7" t="str">
        <f ca="1">IFERROR(IF(0=LEN(ReferenceData!$CE$7),"",ReferenceData!$CE$7),"")</f>
        <v/>
      </c>
      <c r="CF7" t="str">
        <f ca="1">IFERROR(IF(0=LEN(ReferenceData!$CF$7),"",ReferenceData!$CF$7),"")</f>
        <v/>
      </c>
      <c r="CG7" t="str">
        <f ca="1">IFERROR(IF(0=LEN(ReferenceData!$CG$7),"",ReferenceData!$CG$7),"")</f>
        <v/>
      </c>
      <c r="CH7" t="str">
        <f ca="1">IFERROR(IF(0=LEN(ReferenceData!$CH$7),"",ReferenceData!$CH$7),"")</f>
        <v/>
      </c>
      <c r="CI7" t="str">
        <f ca="1">IFERROR(IF(0=LEN(ReferenceData!$CI$7),"",ReferenceData!$CI$7),"")</f>
        <v/>
      </c>
      <c r="CJ7" t="str">
        <f ca="1">IFERROR(IF(0=LEN(ReferenceData!$CJ$7),"",ReferenceData!$CJ$7),"")</f>
        <v/>
      </c>
      <c r="CK7" t="str">
        <f ca="1">IFERROR(IF(0=LEN(ReferenceData!$CK$7),"",ReferenceData!$CK$7),"")</f>
        <v/>
      </c>
    </row>
    <row r="8" spans="1:89" x14ac:dyDescent="0.25">
      <c r="A8" t="str">
        <f>IFERROR(IF(0=LEN(ReferenceData!$A$8),"",ReferenceData!$A$8),"")</f>
        <v>China Sea Port Statistics</v>
      </c>
      <c r="B8" t="str">
        <f>IFERROR(IF(0=LEN(ReferenceData!$B$8),"",ReferenceData!$B$8),"")</f>
        <v/>
      </c>
      <c r="C8" t="str">
        <f>IFERROR(IF(0=LEN(ReferenceData!$C$8),"",ReferenceData!$C$8),"")</f>
        <v/>
      </c>
      <c r="D8" t="str">
        <f>IFERROR(IF(0=LEN(ReferenceData!$D$8),"",ReferenceData!$D$8),"")</f>
        <v/>
      </c>
      <c r="E8" t="str">
        <f>IFERROR(IF(0=LEN(ReferenceData!$E$8),"",ReferenceData!$E$8),"")</f>
        <v>Heading</v>
      </c>
      <c r="F8" t="str">
        <f>IFERROR(IF(0=LEN(ReferenceData!$F$8),"",ReferenceData!$F$8),"")</f>
        <v/>
      </c>
      <c r="G8" t="str">
        <f>IFERROR(IF(0=LEN(ReferenceData!$G$8),"",ReferenceData!$G$8),"")</f>
        <v/>
      </c>
      <c r="H8" t="str">
        <f>IFERROR(IF(0=LEN(ReferenceData!$H$8),"",ReferenceData!$H$8),"")</f>
        <v/>
      </c>
      <c r="I8" t="str">
        <f>IFERROR(IF(0=LEN(ReferenceData!$I$8),"",ReferenceData!$I$8),"")</f>
        <v/>
      </c>
      <c r="J8" t="str">
        <f>IFERROR(IF(0=LEN(ReferenceData!$J$8),"",ReferenceData!$J$8),"")</f>
        <v/>
      </c>
      <c r="K8" t="str">
        <f>IFERROR(IF(0=LEN(ReferenceData!$K$8),"",ReferenceData!$K$8),"")</f>
        <v/>
      </c>
      <c r="L8" t="str">
        <f>IFERROR(IF(0=LEN(ReferenceData!$L$8),"",ReferenceData!$L$8),"")</f>
        <v/>
      </c>
      <c r="M8" t="str">
        <f>IFERROR(IF(0=LEN(ReferenceData!$M$8),"",ReferenceData!$M$8),"")</f>
        <v/>
      </c>
      <c r="N8" t="str">
        <f>IFERROR(IF(0=LEN(ReferenceData!$N$8),"",ReferenceData!$N$8),"")</f>
        <v/>
      </c>
      <c r="O8" t="str">
        <f>IFERROR(IF(0=LEN(ReferenceData!$O$8),"",ReferenceData!$O$8),"")</f>
        <v/>
      </c>
      <c r="P8" t="str">
        <f>IFERROR(IF(0=LEN(ReferenceData!$P$8),"",ReferenceData!$P$8),"")</f>
        <v/>
      </c>
      <c r="Q8" t="str">
        <f>IFERROR(IF(0=LEN(ReferenceData!$Q$8),"",ReferenceData!$Q$8),"")</f>
        <v/>
      </c>
      <c r="R8" t="str">
        <f>IFERROR(IF(0=LEN(ReferenceData!$R$8),"",ReferenceData!$R$8),"")</f>
        <v/>
      </c>
      <c r="S8" t="str">
        <f>IFERROR(IF(0=LEN(ReferenceData!$S$8),"",ReferenceData!$S$8),"")</f>
        <v/>
      </c>
      <c r="T8" t="str">
        <f>IFERROR(IF(0=LEN(ReferenceData!$T$8),"",ReferenceData!$T$8),"")</f>
        <v/>
      </c>
      <c r="U8" t="str">
        <f>IFERROR(IF(0=LEN(ReferenceData!$U$8),"",ReferenceData!$U$8),"")</f>
        <v/>
      </c>
      <c r="V8" t="str">
        <f>IFERROR(IF(0=LEN(ReferenceData!$V$8),"",ReferenceData!$V$8),"")</f>
        <v/>
      </c>
      <c r="W8" t="str">
        <f>IFERROR(IF(0=LEN(ReferenceData!$W$8),"",ReferenceData!$W$8),"")</f>
        <v/>
      </c>
      <c r="X8" t="str">
        <f>IFERROR(IF(0=LEN(ReferenceData!$X$8),"",ReferenceData!$X$8),"")</f>
        <v/>
      </c>
      <c r="Y8" t="str">
        <f>IFERROR(IF(0=LEN(ReferenceData!$Y$8),"",ReferenceData!$Y$8),"")</f>
        <v/>
      </c>
      <c r="Z8" t="str">
        <f>IFERROR(IF(0=LEN(ReferenceData!$Z$8),"",ReferenceData!$Z$8),"")</f>
        <v/>
      </c>
      <c r="AA8" t="str">
        <f>IFERROR(IF(0=LEN(ReferenceData!$AA$8),"",ReferenceData!$AA$8),"")</f>
        <v/>
      </c>
      <c r="AB8" t="str">
        <f>IFERROR(IF(0=LEN(ReferenceData!$AB$8),"",ReferenceData!$AB$8),"")</f>
        <v/>
      </c>
      <c r="AC8" t="str">
        <f>IFERROR(IF(0=LEN(ReferenceData!$AC$8),"",ReferenceData!$AC$8),"")</f>
        <v/>
      </c>
      <c r="AD8" t="str">
        <f>IFERROR(IF(0=LEN(ReferenceData!$AD$8),"",ReferenceData!$AD$8),"")</f>
        <v/>
      </c>
      <c r="AE8" t="str">
        <f>IFERROR(IF(0=LEN(ReferenceData!$AE$8),"",ReferenceData!$AE$8),"")</f>
        <v/>
      </c>
      <c r="AF8" t="str">
        <f>IFERROR(IF(0=LEN(ReferenceData!$AF$8),"",ReferenceData!$AF$8),"")</f>
        <v/>
      </c>
      <c r="AG8" t="str">
        <f>IFERROR(IF(0=LEN(ReferenceData!$AG$8),"",ReferenceData!$AG$8),"")</f>
        <v/>
      </c>
      <c r="AH8" t="str">
        <f>IFERROR(IF(0=LEN(ReferenceData!$AH$8),"",ReferenceData!$AH$8),"")</f>
        <v/>
      </c>
      <c r="AI8" t="str">
        <f>IFERROR(IF(0=LEN(ReferenceData!$AI$8),"",ReferenceData!$AI$8),"")</f>
        <v/>
      </c>
      <c r="AJ8" t="str">
        <f>IFERROR(IF(0=LEN(ReferenceData!$AJ$8),"",ReferenceData!$AJ$8),"")</f>
        <v/>
      </c>
      <c r="AK8" t="str">
        <f>IFERROR(IF(0=LEN(ReferenceData!$AK$8),"",ReferenceData!$AK$8),"")</f>
        <v/>
      </c>
      <c r="AL8" t="str">
        <f>IFERROR(IF(0=LEN(ReferenceData!$AL$8),"",ReferenceData!$AL$8),"")</f>
        <v/>
      </c>
      <c r="AM8" t="str">
        <f>IFERROR(IF(0=LEN(ReferenceData!$AM$8),"",ReferenceData!$AM$8),"")</f>
        <v/>
      </c>
      <c r="AN8" t="str">
        <f>IFERROR(IF(0=LEN(ReferenceData!$AN$8),"",ReferenceData!$AN$8),"")</f>
        <v/>
      </c>
      <c r="AO8" t="str">
        <f>IFERROR(IF(0=LEN(ReferenceData!$AO$8),"",ReferenceData!$AO$8),"")</f>
        <v/>
      </c>
      <c r="AP8" t="str">
        <f>IFERROR(IF(0=LEN(ReferenceData!$AP$8),"",ReferenceData!$AP$8),"")</f>
        <v/>
      </c>
      <c r="AQ8" t="str">
        <f>IFERROR(IF(0=LEN(ReferenceData!$AQ$8),"",ReferenceData!$AQ$8),"")</f>
        <v/>
      </c>
      <c r="AR8" t="str">
        <f>IFERROR(IF(0=LEN(ReferenceData!$AR$8),"",ReferenceData!$AR$8),"")</f>
        <v/>
      </c>
      <c r="AS8" t="str">
        <f>IFERROR(IF(0=LEN(ReferenceData!$AS$8),"",ReferenceData!$AS$8),"")</f>
        <v/>
      </c>
      <c r="AT8" t="str">
        <f>IFERROR(IF(0=LEN(ReferenceData!$AT$8),"",ReferenceData!$AT$8),"")</f>
        <v/>
      </c>
      <c r="AU8" t="str">
        <f>IFERROR(IF(0=LEN(ReferenceData!$AU$8),"",ReferenceData!$AU$8),"")</f>
        <v/>
      </c>
      <c r="AV8" t="str">
        <f>IFERROR(IF(0=LEN(ReferenceData!$AV$8),"",ReferenceData!$AV$8),"")</f>
        <v/>
      </c>
      <c r="AW8" t="str">
        <f>IFERROR(IF(0=LEN(ReferenceData!$AW$8),"",ReferenceData!$AW$8),"")</f>
        <v/>
      </c>
      <c r="AX8" t="str">
        <f>IFERROR(IF(0=LEN(ReferenceData!$AX$8),"",ReferenceData!$AX$8),"")</f>
        <v/>
      </c>
      <c r="AY8" t="str">
        <f>IFERROR(IF(0=LEN(ReferenceData!$AY$8),"",ReferenceData!$AY$8),"")</f>
        <v/>
      </c>
      <c r="AZ8" t="str">
        <f>IFERROR(IF(0=LEN(ReferenceData!$AZ$8),"",ReferenceData!$AZ$8),"")</f>
        <v/>
      </c>
      <c r="BA8" t="str">
        <f>IFERROR(IF(0=LEN(ReferenceData!$BA$8),"",ReferenceData!$BA$8),"")</f>
        <v/>
      </c>
      <c r="BB8" t="str">
        <f>IFERROR(IF(0=LEN(ReferenceData!$BB$8),"",ReferenceData!$BB$8),"")</f>
        <v/>
      </c>
      <c r="BC8" t="str">
        <f>IFERROR(IF(0=LEN(ReferenceData!$BC$8),"",ReferenceData!$BC$8),"")</f>
        <v/>
      </c>
      <c r="BD8" t="str">
        <f>IFERROR(IF(0=LEN(ReferenceData!$BD$8),"",ReferenceData!$BD$8),"")</f>
        <v/>
      </c>
      <c r="BE8" t="str">
        <f>IFERROR(IF(0=LEN(ReferenceData!$BE$8),"",ReferenceData!$BE$8),"")</f>
        <v/>
      </c>
      <c r="BF8" t="str">
        <f>IFERROR(IF(0=LEN(ReferenceData!$BF$8),"",ReferenceData!$BF$8),"")</f>
        <v/>
      </c>
      <c r="BG8" t="str">
        <f>IFERROR(IF(0=LEN(ReferenceData!$BG$8),"",ReferenceData!$BG$8),"")</f>
        <v/>
      </c>
      <c r="BH8" t="str">
        <f>IFERROR(IF(0=LEN(ReferenceData!$BH$8),"",ReferenceData!$BH$8),"")</f>
        <v/>
      </c>
      <c r="BI8" t="str">
        <f>IFERROR(IF(0=LEN(ReferenceData!$BI$8),"",ReferenceData!$BI$8),"")</f>
        <v/>
      </c>
      <c r="BJ8" t="str">
        <f>IFERROR(IF(0=LEN(ReferenceData!$BJ$8),"",ReferenceData!$BJ$8),"")</f>
        <v/>
      </c>
      <c r="BK8" t="str">
        <f>IFERROR(IF(0=LEN(ReferenceData!$BK$8),"",ReferenceData!$BK$8),"")</f>
        <v/>
      </c>
      <c r="BL8" t="str">
        <f>IFERROR(IF(0=LEN(ReferenceData!$BL$8),"",ReferenceData!$BL$8),"")</f>
        <v/>
      </c>
      <c r="BM8" t="str">
        <f>IFERROR(IF(0=LEN(ReferenceData!$BM$8),"",ReferenceData!$BM$8),"")</f>
        <v/>
      </c>
      <c r="BN8" t="str">
        <f>IFERROR(IF(0=LEN(ReferenceData!$BN$8),"",ReferenceData!$BN$8),"")</f>
        <v/>
      </c>
      <c r="BO8" t="str">
        <f>IFERROR(IF(0=LEN(ReferenceData!$BO$8),"",ReferenceData!$BO$8),"")</f>
        <v/>
      </c>
      <c r="BP8" t="str">
        <f>IFERROR(IF(0=LEN(ReferenceData!$BP$8),"",ReferenceData!$BP$8),"")</f>
        <v/>
      </c>
      <c r="BQ8" t="str">
        <f>IFERROR(IF(0=LEN(ReferenceData!$BQ$8),"",ReferenceData!$BQ$8),"")</f>
        <v/>
      </c>
      <c r="BR8" t="str">
        <f>IFERROR(IF(0=LEN(ReferenceData!$BR$8),"",ReferenceData!$BR$8),"")</f>
        <v/>
      </c>
      <c r="BS8" t="str">
        <f>IFERROR(IF(0=LEN(ReferenceData!$BS$8),"",ReferenceData!$BS$8),"")</f>
        <v/>
      </c>
      <c r="BT8" t="str">
        <f>IFERROR(IF(0=LEN(ReferenceData!$BT$8),"",ReferenceData!$BT$8),"")</f>
        <v/>
      </c>
      <c r="BU8" t="str">
        <f>IFERROR(IF(0=LEN(ReferenceData!$BU$8),"",ReferenceData!$BU$8),"")</f>
        <v/>
      </c>
      <c r="BV8" t="str">
        <f>IFERROR(IF(0=LEN(ReferenceData!$BV$8),"",ReferenceData!$BV$8),"")</f>
        <v/>
      </c>
      <c r="BW8" t="str">
        <f>IFERROR(IF(0=LEN(ReferenceData!$BW$8),"",ReferenceData!$BW$8),"")</f>
        <v/>
      </c>
      <c r="BX8" t="str">
        <f>IFERROR(IF(0=LEN(ReferenceData!$BX$8),"",ReferenceData!$BX$8),"")</f>
        <v/>
      </c>
      <c r="BY8" t="str">
        <f>IFERROR(IF(0=LEN(ReferenceData!$BY$8),"",ReferenceData!$BY$8),"")</f>
        <v/>
      </c>
      <c r="BZ8" t="str">
        <f>IFERROR(IF(0=LEN(ReferenceData!$BZ$8),"",ReferenceData!$BZ$8),"")</f>
        <v/>
      </c>
      <c r="CA8" t="str">
        <f>IFERROR(IF(0=LEN(ReferenceData!$CA$8),"",ReferenceData!$CA$8),"")</f>
        <v/>
      </c>
      <c r="CB8" t="str">
        <f>IFERROR(IF(0=LEN(ReferenceData!$CB$8),"",ReferenceData!$CB$8),"")</f>
        <v/>
      </c>
      <c r="CC8" t="str">
        <f>IFERROR(IF(0=LEN(ReferenceData!$CC$8),"",ReferenceData!$CC$8),"")</f>
        <v/>
      </c>
      <c r="CD8" t="str">
        <f>IFERROR(IF(0=LEN(ReferenceData!$CD$8),"",ReferenceData!$CD$8),"")</f>
        <v/>
      </c>
      <c r="CE8" t="str">
        <f>IFERROR(IF(0=LEN(ReferenceData!$CE$8),"",ReferenceData!$CE$8),"")</f>
        <v/>
      </c>
      <c r="CF8" t="str">
        <f>IFERROR(IF(0=LEN(ReferenceData!$CF$8),"",ReferenceData!$CF$8),"")</f>
        <v/>
      </c>
      <c r="CG8" t="str">
        <f>IFERROR(IF(0=LEN(ReferenceData!$CG$8),"",ReferenceData!$CG$8),"")</f>
        <v/>
      </c>
      <c r="CH8" t="str">
        <f>IFERROR(IF(0=LEN(ReferenceData!$CH$8),"",ReferenceData!$CH$8),"")</f>
        <v/>
      </c>
      <c r="CI8" t="str">
        <f>IFERROR(IF(0=LEN(ReferenceData!$CI$8),"",ReferenceData!$CI$8),"")</f>
        <v/>
      </c>
      <c r="CJ8" t="str">
        <f>IFERROR(IF(0=LEN(ReferenceData!$CJ$8),"",ReferenceData!$CJ$8),"")</f>
        <v/>
      </c>
      <c r="CK8" t="str">
        <f>IFERROR(IF(0=LEN(ReferenceData!$CK$8),"",ReferenceData!$CK$8),"")</f>
        <v/>
      </c>
    </row>
    <row r="9" spans="1:89" x14ac:dyDescent="0.25">
      <c r="A9" t="str">
        <f>IFERROR(IF(0=LEN(ReferenceData!$A$9),"",ReferenceData!$A$9),"")</f>
        <v>Total China Sea Port Container Throughput (000 TEU)</v>
      </c>
      <c r="B9" t="str">
        <f>IFERROR(IF(0=LEN(ReferenceData!$B$9),"",ReferenceData!$B$9),"")</f>
        <v>CNIFSCTT Index</v>
      </c>
      <c r="C9" t="str">
        <f>IFERROR(IF(0=LEN(ReferenceData!$C$9),"",ReferenceData!$C$9),"")</f>
        <v/>
      </c>
      <c r="D9" t="str">
        <f>IFERROR(IF(0=LEN(ReferenceData!$D$9),"",ReferenceData!$D$9),"")</f>
        <v/>
      </c>
      <c r="E9" t="str">
        <f>IFERROR(IF(0=LEN(ReferenceData!$E$9),"",ReferenceData!$E$9),"")</f>
        <v>Expression</v>
      </c>
      <c r="F9">
        <f ca="1">IFERROR(IF(0=LEN(ReferenceData!$F$9),"",ReferenceData!$F$9),"")</f>
        <v>23650</v>
      </c>
      <c r="G9">
        <f ca="1">IFERROR(IF(0=LEN(ReferenceData!$G$9),"",ReferenceData!$G$9),"")</f>
        <v>23960</v>
      </c>
      <c r="H9">
        <f ca="1">IFERROR(IF(0=LEN(ReferenceData!$H$9),"",ReferenceData!$H$9),"")</f>
        <v>23670</v>
      </c>
      <c r="I9">
        <f ca="1">IFERROR(IF(0=LEN(ReferenceData!$I$9),"",ReferenceData!$I$9),"")</f>
        <v>23700</v>
      </c>
      <c r="J9">
        <f ca="1">IFERROR(IF(0=LEN(ReferenceData!$J$9),"",ReferenceData!$J$9),"")</f>
        <v>23280</v>
      </c>
      <c r="K9">
        <f ca="1">IFERROR(IF(0=LEN(ReferenceData!$K$9),"",ReferenceData!$K$9),"")</f>
        <v>22400</v>
      </c>
      <c r="L9">
        <f ca="1">IFERROR(IF(0=LEN(ReferenceData!$L$9),"",ReferenceData!$L$9),"")</f>
        <v>22430</v>
      </c>
      <c r="M9" t="str">
        <f ca="1">IFERROR(IF(0=LEN(ReferenceData!$M$9),"",ReferenceData!$M$9),"")</f>
        <v/>
      </c>
      <c r="N9" t="str">
        <f ca="1">IFERROR(IF(0=LEN(ReferenceData!$N$9),"",ReferenceData!$N$9),"")</f>
        <v/>
      </c>
      <c r="O9">
        <f ca="1">IFERROR(IF(0=LEN(ReferenceData!$O$9),"",ReferenceData!$O$9),"")</f>
        <v>22260</v>
      </c>
      <c r="P9">
        <f ca="1">IFERROR(IF(0=LEN(ReferenceData!$P$9),"",ReferenceData!$P$9),"")</f>
        <v>22710</v>
      </c>
      <c r="Q9">
        <f ca="1">IFERROR(IF(0=LEN(ReferenceData!$Q$9),"",ReferenceData!$Q$9),"")</f>
        <v>22370</v>
      </c>
      <c r="R9">
        <f ca="1">IFERROR(IF(0=LEN(ReferenceData!$R$9),"",ReferenceData!$R$9),"")</f>
        <v>21920</v>
      </c>
      <c r="S9">
        <f ca="1">IFERROR(IF(0=LEN(ReferenceData!$S$9),"",ReferenceData!$S$9),"")</f>
        <v>22580</v>
      </c>
      <c r="T9">
        <f ca="1">IFERROR(IF(0=LEN(ReferenceData!$T$9),"",ReferenceData!$T$9),"")</f>
        <v>23250</v>
      </c>
      <c r="U9">
        <f ca="1">IFERROR(IF(0=LEN(ReferenceData!$U$9),"",ReferenceData!$U$9),"")</f>
        <v>22710</v>
      </c>
      <c r="V9">
        <f ca="1">IFERROR(IF(0=LEN(ReferenceData!$V$9),"",ReferenceData!$V$9),"")</f>
        <v>22280</v>
      </c>
      <c r="W9">
        <f ca="1">IFERROR(IF(0=LEN(ReferenceData!$W$9),"",ReferenceData!$W$9),"")</f>
        <v>20810</v>
      </c>
      <c r="X9">
        <f ca="1">IFERROR(IF(0=LEN(ReferenceData!$X$9),"",ReferenceData!$X$9),"")</f>
        <v>20980</v>
      </c>
      <c r="Y9">
        <f ca="1">IFERROR(IF(0=LEN(ReferenceData!$Y$9),"",ReferenceData!$Y$9),"")</f>
        <v>17270</v>
      </c>
      <c r="Z9">
        <f ca="1">IFERROR(IF(0=LEN(ReferenceData!$Z$9),"",ReferenceData!$Z$9),"")</f>
        <v>21580</v>
      </c>
      <c r="AA9">
        <f ca="1">IFERROR(IF(0=LEN(ReferenceData!$AA$9),"",ReferenceData!$AA$9),"")</f>
        <v>20190</v>
      </c>
      <c r="AB9">
        <f ca="1">IFERROR(IF(0=LEN(ReferenceData!$AB$9),"",ReferenceData!$AB$9),"")</f>
        <v>21130</v>
      </c>
      <c r="AC9">
        <f ca="1">IFERROR(IF(0=LEN(ReferenceData!$AC$9),"",ReferenceData!$AC$9),"")</f>
        <v>21640</v>
      </c>
      <c r="AD9">
        <f ca="1">IFERROR(IF(0=LEN(ReferenceData!$AD$9),"",ReferenceData!$AD$9),"")</f>
        <v>21450</v>
      </c>
      <c r="AE9">
        <f ca="1">IFERROR(IF(0=LEN(ReferenceData!$AE$9),"",ReferenceData!$AE$9),"")</f>
        <v>21950</v>
      </c>
      <c r="AF9">
        <f ca="1">IFERROR(IF(0=LEN(ReferenceData!$AF$9),"",ReferenceData!$AF$9),"")</f>
        <v>20990</v>
      </c>
      <c r="AG9">
        <f ca="1">IFERROR(IF(0=LEN(ReferenceData!$AG$9),"",ReferenceData!$AG$9),"")</f>
        <v>21360</v>
      </c>
      <c r="AH9">
        <f ca="1">IFERROR(IF(0=LEN(ReferenceData!$AH$9),"",ReferenceData!$AH$9),"")</f>
        <v>21460</v>
      </c>
      <c r="AI9">
        <f ca="1">IFERROR(IF(0=LEN(ReferenceData!$AI$9),"",ReferenceData!$AI$9),"")</f>
        <v>20770</v>
      </c>
      <c r="AJ9">
        <f ca="1">IFERROR(IF(0=LEN(ReferenceData!$AJ$9),"",ReferenceData!$AJ$9),"")</f>
        <v>20650</v>
      </c>
      <c r="AK9">
        <f ca="1">IFERROR(IF(0=LEN(ReferenceData!$AK$9),"",ReferenceData!$AK$9),"")</f>
        <v>16590</v>
      </c>
      <c r="AL9">
        <f ca="1">IFERROR(IF(0=LEN(ReferenceData!$AL$9),"",ReferenceData!$AL$9),"")</f>
        <v>21150</v>
      </c>
      <c r="AM9">
        <f ca="1">IFERROR(IF(0=LEN(ReferenceData!$AM$9),"",ReferenceData!$AM$9),"")</f>
        <v>20110</v>
      </c>
      <c r="AN9">
        <f ca="1">IFERROR(IF(0=LEN(ReferenceData!$AN$9),"",ReferenceData!$AN$9),"")</f>
        <v>21250</v>
      </c>
      <c r="AO9">
        <f ca="1">IFERROR(IF(0=LEN(ReferenceData!$AO$9),"",ReferenceData!$AO$9),"")</f>
        <v>21720</v>
      </c>
      <c r="AP9">
        <f ca="1">IFERROR(IF(0=LEN(ReferenceData!$AP$9),"",ReferenceData!$AP$9),"")</f>
        <v>21590</v>
      </c>
      <c r="AQ9">
        <f ca="1">IFERROR(IF(0=LEN(ReferenceData!$AQ$9),"",ReferenceData!$AQ$9),"")</f>
        <v>21370</v>
      </c>
      <c r="AR9">
        <f ca="1">IFERROR(IF(0=LEN(ReferenceData!$AR$9),"",ReferenceData!$AR$9),"")</f>
        <v>21240</v>
      </c>
      <c r="AS9">
        <f ca="1">IFERROR(IF(0=LEN(ReferenceData!$AS$9),"",ReferenceData!$AS$9),"")</f>
        <v>20090</v>
      </c>
      <c r="AT9">
        <f ca="1">IFERROR(IF(0=LEN(ReferenceData!$AT$9),"",ReferenceData!$AT$9),"")</f>
        <v>19270</v>
      </c>
      <c r="AU9">
        <f ca="1">IFERROR(IF(0=LEN(ReferenceData!$AU$9),"",ReferenceData!$AU$9),"")</f>
        <v>18250</v>
      </c>
      <c r="AV9">
        <f ca="1">IFERROR(IF(0=LEN(ReferenceData!$AV$9),"",ReferenceData!$AV$9),"")</f>
        <v>18160</v>
      </c>
      <c r="AW9">
        <f ca="1">IFERROR(IF(0=LEN(ReferenceData!$AW$9),"",ReferenceData!$AW$9),"")</f>
        <v>12380</v>
      </c>
      <c r="AX9">
        <f ca="1">IFERROR(IF(0=LEN(ReferenceData!$AX$9),"",ReferenceData!$AX$9),"")</f>
        <v>18800</v>
      </c>
      <c r="AY9">
        <f ca="1">IFERROR(IF(0=LEN(ReferenceData!$AY$9),"",ReferenceData!$AY$9),"")</f>
        <v>18830</v>
      </c>
      <c r="AZ9">
        <f ca="1">IFERROR(IF(0=LEN(ReferenceData!$AZ$9),"",ReferenceData!$AZ$9),"")</f>
        <v>19520</v>
      </c>
      <c r="BA9">
        <f ca="1">IFERROR(IF(0=LEN(ReferenceData!$BA$9),"",ReferenceData!$BA$9),"")</f>
        <v>19580</v>
      </c>
      <c r="BB9">
        <f ca="1">IFERROR(IF(0=LEN(ReferenceData!$BB$9),"",ReferenceData!$BB$9),"")</f>
        <v>20210</v>
      </c>
      <c r="BC9">
        <f ca="1">IFERROR(IF(0=LEN(ReferenceData!$BC$9),"",ReferenceData!$BC$9),"")</f>
        <v>20040</v>
      </c>
      <c r="BD9">
        <f ca="1">IFERROR(IF(0=LEN(ReferenceData!$BD$9),"",ReferenceData!$BD$9),"")</f>
        <v>20160</v>
      </c>
      <c r="BE9">
        <f ca="1">IFERROR(IF(0=LEN(ReferenceData!$BE$9),"",ReferenceData!$BE$9),"")</f>
        <v>19710</v>
      </c>
      <c r="BF9">
        <f ca="1">IFERROR(IF(0=LEN(ReferenceData!$BF$9),"",ReferenceData!$BF$9),"")</f>
        <v>19840</v>
      </c>
      <c r="BG9">
        <f ca="1">IFERROR(IF(0=LEN(ReferenceData!$BG$9),"",ReferenceData!$BG$9),"")</f>
        <v>19240</v>
      </c>
      <c r="BH9">
        <f ca="1">IFERROR(IF(0=LEN(ReferenceData!$BH$9),"",ReferenceData!$BH$9),"")</f>
        <v>19100</v>
      </c>
      <c r="BI9">
        <f ca="1">IFERROR(IF(0=LEN(ReferenceData!$BI$9),"",ReferenceData!$BI$9),"")</f>
        <v>14950</v>
      </c>
      <c r="BJ9">
        <f ca="1">IFERROR(IF(0=LEN(ReferenceData!$BJ$9),"",ReferenceData!$BJ$9),"")</f>
        <v>19730</v>
      </c>
      <c r="BK9">
        <f ca="1">IFERROR(IF(0=LEN(ReferenceData!$BK$9),"",ReferenceData!$BK$9),"")</f>
        <v>18093.400000000001</v>
      </c>
      <c r="BL9">
        <f ca="1">IFERROR(IF(0=LEN(ReferenceData!$BL$9),"",ReferenceData!$BL$9),"")</f>
        <v>18819</v>
      </c>
      <c r="BM9">
        <f ca="1">IFERROR(IF(0=LEN(ReferenceData!$BM$9),"",ReferenceData!$BM$9),"")</f>
        <v>18826.5</v>
      </c>
      <c r="BN9">
        <f ca="1">IFERROR(IF(0=LEN(ReferenceData!$BN$9),"",ReferenceData!$BN$9),"")</f>
        <v>19278.599999999999</v>
      </c>
      <c r="BO9">
        <f ca="1">IFERROR(IF(0=LEN(ReferenceData!$BO$9),"",ReferenceData!$BO$9),"")</f>
        <v>19199.900000000001</v>
      </c>
      <c r="BP9">
        <f ca="1">IFERROR(IF(0=LEN(ReferenceData!$BP$9),"",ReferenceData!$BP$9),"")</f>
        <v>18911</v>
      </c>
      <c r="BQ9">
        <f ca="1">IFERROR(IF(0=LEN(ReferenceData!$BQ$9),"",ReferenceData!$BQ$9),"")</f>
        <v>18822.2</v>
      </c>
      <c r="BR9">
        <f ca="1">IFERROR(IF(0=LEN(ReferenceData!$BR$9),"",ReferenceData!$BR$9),"")</f>
        <v>19020.599999999999</v>
      </c>
      <c r="BS9">
        <f ca="1">IFERROR(IF(0=LEN(ReferenceData!$BS$9),"",ReferenceData!$BS$9),"")</f>
        <v>18362.3</v>
      </c>
      <c r="BT9">
        <f ca="1">IFERROR(IF(0=LEN(ReferenceData!$BT$9),"",ReferenceData!$BT$9),"")</f>
        <v>17557.7</v>
      </c>
      <c r="BU9">
        <f ca="1">IFERROR(IF(0=LEN(ReferenceData!$BU$9),"",ReferenceData!$BU$9),"")</f>
        <v>14986.4</v>
      </c>
      <c r="BV9">
        <f ca="1">IFERROR(IF(0=LEN(ReferenceData!$BV$9),"",ReferenceData!$BV$9),"")</f>
        <v>18425.8</v>
      </c>
      <c r="BW9">
        <f ca="1">IFERROR(IF(0=LEN(ReferenceData!$BW$9),"",ReferenceData!$BW$9),"")</f>
        <v>17210.8</v>
      </c>
      <c r="BX9">
        <f ca="1">IFERROR(IF(0=LEN(ReferenceData!$BX$9),"",ReferenceData!$BX$9),"")</f>
        <v>17842.599999999999</v>
      </c>
      <c r="BY9">
        <f ca="1">IFERROR(IF(0=LEN(ReferenceData!$BY$9),"",ReferenceData!$BY$9),"")</f>
        <v>17783.7</v>
      </c>
      <c r="BZ9">
        <f ca="1">IFERROR(IF(0=LEN(ReferenceData!$BZ$9),"",ReferenceData!$BZ$9),"")</f>
        <v>18313.900000000001</v>
      </c>
      <c r="CA9">
        <f ca="1">IFERROR(IF(0=LEN(ReferenceData!$CA$9),"",ReferenceData!$CA$9),"")</f>
        <v>18285.400000000001</v>
      </c>
      <c r="CB9">
        <f ca="1">IFERROR(IF(0=LEN(ReferenceData!$CB$9),"",ReferenceData!$CB$9),"")</f>
        <v>18442.400000000001</v>
      </c>
      <c r="CC9">
        <f ca="1">IFERROR(IF(0=LEN(ReferenceData!$CC$9),"",ReferenceData!$CC$9),"")</f>
        <v>17880.8</v>
      </c>
      <c r="CD9">
        <f ca="1">IFERROR(IF(0=LEN(ReferenceData!$CD$9),"",ReferenceData!$CD$9),"")</f>
        <v>18100.3</v>
      </c>
      <c r="CE9">
        <f ca="1">IFERROR(IF(0=LEN(ReferenceData!$CE$9),"",ReferenceData!$CE$9),"")</f>
        <v>17354.2</v>
      </c>
      <c r="CF9">
        <f ca="1">IFERROR(IF(0=LEN(ReferenceData!$CF$9),"",ReferenceData!$CF$9),"")</f>
        <v>17249.5</v>
      </c>
      <c r="CG9">
        <f ca="1">IFERROR(IF(0=LEN(ReferenceData!$CG$9),"",ReferenceData!$CG$9),"")</f>
        <v>13679.8</v>
      </c>
      <c r="CH9">
        <f ca="1">IFERROR(IF(0=LEN(ReferenceData!$CH$9),"",ReferenceData!$CH$9),"")</f>
        <v>16780.599999999999</v>
      </c>
      <c r="CI9">
        <f ca="1">IFERROR(IF(0=LEN(ReferenceData!$CI$9),"",ReferenceData!$CI$9),"")</f>
        <v>16740</v>
      </c>
      <c r="CJ9">
        <f ca="1">IFERROR(IF(0=LEN(ReferenceData!$CJ$9),"",ReferenceData!$CJ$9),"")</f>
        <v>16672.099999999999</v>
      </c>
      <c r="CK9">
        <f ca="1">IFERROR(IF(0=LEN(ReferenceData!$CK$9),"",ReferenceData!$CK$9),"")</f>
        <v>16452.900000000001</v>
      </c>
    </row>
    <row r="10" spans="1:89" x14ac:dyDescent="0.25">
      <c r="A10" t="str">
        <f>IFERROR(IF(0=LEN(ReferenceData!$A$10),"",ReferenceData!$A$10),"")</f>
        <v>Shanghai Sea Port Container Throughput (000 TEU)</v>
      </c>
      <c r="B10" t="str">
        <f>IFERROR(IF(0=LEN(ReferenceData!$B$10),"",ReferenceData!$B$10),"")</f>
        <v>CNIFSCSH Index</v>
      </c>
      <c r="C10" t="str">
        <f>IFERROR(IF(0=LEN(ReferenceData!$C$10),"",ReferenceData!$C$10),"")</f>
        <v/>
      </c>
      <c r="D10" t="str">
        <f>IFERROR(IF(0=LEN(ReferenceData!$D$10),"",ReferenceData!$D$10),"")</f>
        <v/>
      </c>
      <c r="E10" t="str">
        <f>IFERROR(IF(0=LEN(ReferenceData!$E$10),"",ReferenceData!$E$10),"")</f>
        <v>Expression</v>
      </c>
      <c r="F10" t="str">
        <f ca="1">IFERROR(IF(0=LEN(ReferenceData!$F$10),"",ReferenceData!$F$10),"")</f>
        <v/>
      </c>
      <c r="G10">
        <f ca="1">IFERROR(IF(0=LEN(ReferenceData!$G$10),"",ReferenceData!$G$10),"")</f>
        <v>4200</v>
      </c>
      <c r="H10">
        <f ca="1">IFERROR(IF(0=LEN(ReferenceData!$H$10),"",ReferenceData!$H$10),"")</f>
        <v>4200</v>
      </c>
      <c r="I10">
        <f ca="1">IFERROR(IF(0=LEN(ReferenceData!$I$10),"",ReferenceData!$I$10),"")</f>
        <v>4150</v>
      </c>
      <c r="J10">
        <f ca="1">IFERROR(IF(0=LEN(ReferenceData!$J$10),"",ReferenceData!$J$10),"")</f>
        <v>4100</v>
      </c>
      <c r="K10">
        <f ca="1">IFERROR(IF(0=LEN(ReferenceData!$K$10),"",ReferenceData!$K$10),"")</f>
        <v>4010</v>
      </c>
      <c r="L10">
        <f ca="1">IFERROR(IF(0=LEN(ReferenceData!$L$10),"",ReferenceData!$L$10),"")</f>
        <v>4020</v>
      </c>
      <c r="M10" t="str">
        <f ca="1">IFERROR(IF(0=LEN(ReferenceData!$M$10),"",ReferenceData!$M$10),"")</f>
        <v/>
      </c>
      <c r="N10" t="str">
        <f ca="1">IFERROR(IF(0=LEN(ReferenceData!$N$10),"",ReferenceData!$N$10),"")</f>
        <v/>
      </c>
      <c r="O10">
        <f ca="1">IFERROR(IF(0=LEN(ReferenceData!$O$10),"",ReferenceData!$O$10),"")</f>
        <v>4110</v>
      </c>
      <c r="P10">
        <f ca="1">IFERROR(IF(0=LEN(ReferenceData!$P$10),"",ReferenceData!$P$10),"")</f>
        <v>4110</v>
      </c>
      <c r="Q10">
        <f ca="1">IFERROR(IF(0=LEN(ReferenceData!$Q$10),"",ReferenceData!$Q$10),"")</f>
        <v>4190</v>
      </c>
      <c r="R10">
        <f ca="1">IFERROR(IF(0=LEN(ReferenceData!$R$10),"",ReferenceData!$R$10),"")</f>
        <v>3870</v>
      </c>
      <c r="S10">
        <f ca="1">IFERROR(IF(0=LEN(ReferenceData!$S$10),"",ReferenceData!$S$10),"")</f>
        <v>4170</v>
      </c>
      <c r="T10">
        <f ca="1">IFERROR(IF(0=LEN(ReferenceData!$T$10),"",ReferenceData!$T$10),"")</f>
        <v>4300</v>
      </c>
      <c r="U10">
        <f ca="1">IFERROR(IF(0=LEN(ReferenceData!$U$10),"",ReferenceData!$U$10),"")</f>
        <v>3790</v>
      </c>
      <c r="V10">
        <f ca="1">IFERROR(IF(0=LEN(ReferenceData!$V$10),"",ReferenceData!$V$10),"")</f>
        <v>3400</v>
      </c>
      <c r="W10">
        <f ca="1">IFERROR(IF(0=LEN(ReferenceData!$W$10),"",ReferenceData!$W$10),"")</f>
        <v>3080</v>
      </c>
      <c r="X10">
        <f ca="1">IFERROR(IF(0=LEN(ReferenceData!$X$10),"",ReferenceData!$X$10),"")</f>
        <v>4100</v>
      </c>
      <c r="Y10">
        <f ca="1">IFERROR(IF(0=LEN(ReferenceData!$Y$10),"",ReferenceData!$Y$10),"")</f>
        <v>3810</v>
      </c>
      <c r="Z10">
        <f ca="1">IFERROR(IF(0=LEN(ReferenceData!$Z$10),"",ReferenceData!$Z$10),"")</f>
        <v>4350</v>
      </c>
      <c r="AA10">
        <f ca="1">IFERROR(IF(0=LEN(ReferenceData!$AA$10),"",ReferenceData!$AA$10),"")</f>
        <v>3980</v>
      </c>
      <c r="AB10">
        <f ca="1">IFERROR(IF(0=LEN(ReferenceData!$AB$10),"",ReferenceData!$AB$10),"")</f>
        <v>4060</v>
      </c>
      <c r="AC10">
        <f ca="1">IFERROR(IF(0=LEN(ReferenceData!$AC$10),"",ReferenceData!$AC$10),"")</f>
        <v>4190</v>
      </c>
      <c r="AD10">
        <f ca="1">IFERROR(IF(0=LEN(ReferenceData!$AD$10),"",ReferenceData!$AD$10),"")</f>
        <v>3830</v>
      </c>
      <c r="AE10">
        <f ca="1">IFERROR(IF(0=LEN(ReferenceData!$AE$10),"",ReferenceData!$AE$10),"")</f>
        <v>4320</v>
      </c>
      <c r="AF10">
        <f ca="1">IFERROR(IF(0=LEN(ReferenceData!$AF$10),"",ReferenceData!$AF$10),"")</f>
        <v>3700</v>
      </c>
      <c r="AG10">
        <f ca="1">IFERROR(IF(0=LEN(ReferenceData!$AG$10),"",ReferenceData!$AG$10),"")</f>
        <v>4090</v>
      </c>
      <c r="AH10">
        <f ca="1">IFERROR(IF(0=LEN(ReferenceData!$AH$10),"",ReferenceData!$AH$10),"")</f>
        <v>3790</v>
      </c>
      <c r="AI10">
        <f ca="1">IFERROR(IF(0=LEN(ReferenceData!$AI$10),"",ReferenceData!$AI$10),"")</f>
        <v>3720</v>
      </c>
      <c r="AJ10">
        <f ca="1">IFERROR(IF(0=LEN(ReferenceData!$AJ$10),"",ReferenceData!$AJ$10),"")</f>
        <v>3900</v>
      </c>
      <c r="AK10">
        <f ca="1">IFERROR(IF(0=LEN(ReferenceData!$AK$10),"",ReferenceData!$AK$10),"")</f>
        <v>3410</v>
      </c>
      <c r="AL10">
        <f ca="1">IFERROR(IF(0=LEN(ReferenceData!$AL$10),"",ReferenceData!$AL$10),"")</f>
        <v>4040</v>
      </c>
      <c r="AM10">
        <f ca="1">IFERROR(IF(0=LEN(ReferenceData!$AM$10),"",ReferenceData!$AM$10),"")</f>
        <v>3640</v>
      </c>
      <c r="AN10">
        <f ca="1">IFERROR(IF(0=LEN(ReferenceData!$AN$10),"",ReferenceData!$AN$10),"")</f>
        <v>4010</v>
      </c>
      <c r="AO10">
        <f ca="1">IFERROR(IF(0=LEN(ReferenceData!$AO$10),"",ReferenceData!$AO$10),"")</f>
        <v>4200</v>
      </c>
      <c r="AP10">
        <f ca="1">IFERROR(IF(0=LEN(ReferenceData!$AP$10),"",ReferenceData!$AP$10),"")</f>
        <v>3850</v>
      </c>
      <c r="AQ10">
        <f ca="1">IFERROR(IF(0=LEN(ReferenceData!$AQ$10),"",ReferenceData!$AQ$10),"")</f>
        <v>3840</v>
      </c>
      <c r="AR10">
        <f ca="1">IFERROR(IF(0=LEN(ReferenceData!$AR$10),"",ReferenceData!$AR$10),"")</f>
        <v>3900</v>
      </c>
      <c r="AS10">
        <f ca="1">IFERROR(IF(0=LEN(ReferenceData!$AS$10),"",ReferenceData!$AS$10),"")</f>
        <v>3600</v>
      </c>
      <c r="AT10">
        <f ca="1">IFERROR(IF(0=LEN(ReferenceData!$AT$10),"",ReferenceData!$AT$10),"")</f>
        <v>3620</v>
      </c>
      <c r="AU10">
        <f ca="1">IFERROR(IF(0=LEN(ReferenceData!$AU$10),"",ReferenceData!$AU$10),"")</f>
        <v>3510</v>
      </c>
      <c r="AV10">
        <f ca="1">IFERROR(IF(0=LEN(ReferenceData!$AV$10),"",ReferenceData!$AV$10),"")</f>
        <v>3430</v>
      </c>
      <c r="AW10">
        <f ca="1">IFERROR(IF(0=LEN(ReferenceData!$AW$10),"",ReferenceData!$AW$10),"")</f>
        <v>2300</v>
      </c>
      <c r="AX10">
        <f ca="1">IFERROR(IF(0=LEN(ReferenceData!$AX$10),"",ReferenceData!$AX$10),"")</f>
        <v>3600</v>
      </c>
      <c r="AY10">
        <f ca="1">IFERROR(IF(0=LEN(ReferenceData!$AY$10),"",ReferenceData!$AY$10),"")</f>
        <v>3270</v>
      </c>
      <c r="AZ10">
        <f ca="1">IFERROR(IF(0=LEN(ReferenceData!$AZ$10),"",ReferenceData!$AZ$10),"")</f>
        <v>3550</v>
      </c>
      <c r="BA10">
        <f ca="1">IFERROR(IF(0=LEN(ReferenceData!$BA$10),"",ReferenceData!$BA$10),"")</f>
        <v>3630</v>
      </c>
      <c r="BB10">
        <f ca="1">IFERROR(IF(0=LEN(ReferenceData!$BB$10),"",ReferenceData!$BB$10),"")</f>
        <v>3710</v>
      </c>
      <c r="BC10">
        <f ca="1">IFERROR(IF(0=LEN(ReferenceData!$BC$10),"",ReferenceData!$BC$10),"")</f>
        <v>3760</v>
      </c>
      <c r="BD10">
        <f ca="1">IFERROR(IF(0=LEN(ReferenceData!$BD$10),"",ReferenceData!$BD$10),"")</f>
        <v>3850</v>
      </c>
      <c r="BE10">
        <f ca="1">IFERROR(IF(0=LEN(ReferenceData!$BE$10),"",ReferenceData!$BE$10),"")</f>
        <v>3760</v>
      </c>
      <c r="BF10">
        <f ca="1">IFERROR(IF(0=LEN(ReferenceData!$BF$10),"",ReferenceData!$BF$10),"")</f>
        <v>3760</v>
      </c>
      <c r="BG10">
        <f ca="1">IFERROR(IF(0=LEN(ReferenceData!$BG$10),"",ReferenceData!$BG$10),"")</f>
        <v>3610</v>
      </c>
      <c r="BH10">
        <f ca="1">IFERROR(IF(0=LEN(ReferenceData!$BH$10),"",ReferenceData!$BH$10),"")</f>
        <v>3810</v>
      </c>
      <c r="BI10">
        <f ca="1">IFERROR(IF(0=LEN(ReferenceData!$BI$10),"",ReferenceData!$BI$10),"")</f>
        <v>2860</v>
      </c>
      <c r="BJ10">
        <f ca="1">IFERROR(IF(0=LEN(ReferenceData!$BJ$10),"",ReferenceData!$BJ$10),"")</f>
        <v>3750</v>
      </c>
      <c r="BK10">
        <f ca="1">IFERROR(IF(0=LEN(ReferenceData!$BK$10),"",ReferenceData!$BK$10),"")</f>
        <v>3580.3</v>
      </c>
      <c r="BL10">
        <f ca="1">IFERROR(IF(0=LEN(ReferenceData!$BL$10),"",ReferenceData!$BL$10),"")</f>
        <v>3500</v>
      </c>
      <c r="BM10">
        <f ca="1">IFERROR(IF(0=LEN(ReferenceData!$BM$10),"",ReferenceData!$BM$10),"")</f>
        <v>3530</v>
      </c>
      <c r="BN10">
        <f ca="1">IFERROR(IF(0=LEN(ReferenceData!$BN$10),"",ReferenceData!$BN$10),"")</f>
        <v>3810</v>
      </c>
      <c r="BO10">
        <f ca="1">IFERROR(IF(0=LEN(ReferenceData!$BO$10),"",ReferenceData!$BO$10),"")</f>
        <v>3470</v>
      </c>
      <c r="BP10">
        <f ca="1">IFERROR(IF(0=LEN(ReferenceData!$BP$10),"",ReferenceData!$BP$10),"")</f>
        <v>3550</v>
      </c>
      <c r="BQ10">
        <f ca="1">IFERROR(IF(0=LEN(ReferenceData!$BQ$10),"",ReferenceData!$BQ$10),"")</f>
        <v>3600</v>
      </c>
      <c r="BR10">
        <f ca="1">IFERROR(IF(0=LEN(ReferenceData!$BR$10),"",ReferenceData!$BR$10),"")</f>
        <v>3620</v>
      </c>
      <c r="BS10">
        <f ca="1">IFERROR(IF(0=LEN(ReferenceData!$BS$10),"",ReferenceData!$BS$10),"")</f>
        <v>3520</v>
      </c>
      <c r="BT10">
        <f ca="1">IFERROR(IF(0=LEN(ReferenceData!$BT$10),"",ReferenceData!$BT$10),"")</f>
        <v>3380</v>
      </c>
      <c r="BU10">
        <f ca="1">IFERROR(IF(0=LEN(ReferenceData!$BU$10),"",ReferenceData!$BU$10),"")</f>
        <v>2930</v>
      </c>
      <c r="BV10">
        <f ca="1">IFERROR(IF(0=LEN(ReferenceData!$BV$10),"",ReferenceData!$BV$10),"")</f>
        <v>3390</v>
      </c>
      <c r="BW10">
        <f ca="1">IFERROR(IF(0=LEN(ReferenceData!$BW$10),"",ReferenceData!$BW$10),"")</f>
        <v>3355.3</v>
      </c>
      <c r="BX10">
        <f ca="1">IFERROR(IF(0=LEN(ReferenceData!$BX$10),"",ReferenceData!$BX$10),"")</f>
        <v>3550</v>
      </c>
      <c r="BY10">
        <f ca="1">IFERROR(IF(0=LEN(ReferenceData!$BY$10),"",ReferenceData!$BY$10),"")</f>
        <v>3400</v>
      </c>
      <c r="BZ10">
        <f ca="1">IFERROR(IF(0=LEN(ReferenceData!$BZ$10),"",ReferenceData!$BZ$10),"")</f>
        <v>3380</v>
      </c>
      <c r="CA10">
        <f ca="1">IFERROR(IF(0=LEN(ReferenceData!$CA$10),"",ReferenceData!$CA$10),"")</f>
        <v>3450</v>
      </c>
      <c r="CB10">
        <f ca="1">IFERROR(IF(0=LEN(ReferenceData!$CB$10),"",ReferenceData!$CB$10),"")</f>
        <v>3500</v>
      </c>
      <c r="CC10">
        <f ca="1">IFERROR(IF(0=LEN(ReferenceData!$CC$10),"",ReferenceData!$CC$10),"")</f>
        <v>3400</v>
      </c>
      <c r="CD10">
        <f ca="1">IFERROR(IF(0=LEN(ReferenceData!$CD$10),"",ReferenceData!$CD$10),"")</f>
        <v>3500</v>
      </c>
      <c r="CE10">
        <f ca="1">IFERROR(IF(0=LEN(ReferenceData!$CE$10),"",ReferenceData!$CE$10),"")</f>
        <v>3230</v>
      </c>
      <c r="CF10">
        <f ca="1">IFERROR(IF(0=LEN(ReferenceData!$CF$10),"",ReferenceData!$CF$10),"")</f>
        <v>3400</v>
      </c>
      <c r="CG10">
        <f ca="1">IFERROR(IF(0=LEN(ReferenceData!$CG$10),"",ReferenceData!$CG$10),"")</f>
        <v>2620</v>
      </c>
      <c r="CH10">
        <f ca="1">IFERROR(IF(0=LEN(ReferenceData!$CH$10),"",ReferenceData!$CH$10),"")</f>
        <v>3280</v>
      </c>
      <c r="CI10">
        <f ca="1">IFERROR(IF(0=LEN(ReferenceData!$CI$10),"",ReferenceData!$CI$10),"")</f>
        <v>3140</v>
      </c>
      <c r="CJ10">
        <f ca="1">IFERROR(IF(0=LEN(ReferenceData!$CJ$10),"",ReferenceData!$CJ$10),"")</f>
        <v>3200</v>
      </c>
      <c r="CK10">
        <f ca="1">IFERROR(IF(0=LEN(ReferenceData!$CK$10),"",ReferenceData!$CK$10),"")</f>
        <v>3220</v>
      </c>
    </row>
    <row r="11" spans="1:89" x14ac:dyDescent="0.25">
      <c r="A11" t="str">
        <f>IFERROR(IF(0=LEN(ReferenceData!$A$11),"",ReferenceData!$A$11),"")</f>
        <v>Shenzhen Sea Port Container Throughput (000 TEU)</v>
      </c>
      <c r="B11" t="str">
        <f>IFERROR(IF(0=LEN(ReferenceData!$B$11),"",ReferenceData!$B$11),"")</f>
        <v>CNIFSCSZ Index</v>
      </c>
      <c r="C11" t="str">
        <f>IFERROR(IF(0=LEN(ReferenceData!$C$11),"",ReferenceData!$C$11),"")</f>
        <v/>
      </c>
      <c r="D11" t="str">
        <f>IFERROR(IF(0=LEN(ReferenceData!$D$11),"",ReferenceData!$D$11),"")</f>
        <v/>
      </c>
      <c r="E11" t="str">
        <f>IFERROR(IF(0=LEN(ReferenceData!$E$11),"",ReferenceData!$E$11),"")</f>
        <v>Expression</v>
      </c>
      <c r="F11" t="str">
        <f ca="1">IFERROR(IF(0=LEN(ReferenceData!$F$11),"",ReferenceData!$F$11),"")</f>
        <v/>
      </c>
      <c r="G11">
        <f ca="1">IFERROR(IF(0=LEN(ReferenceData!$G$11),"",ReferenceData!$G$11),"")</f>
        <v>2750</v>
      </c>
      <c r="H11">
        <f ca="1">IFERROR(IF(0=LEN(ReferenceData!$H$11),"",ReferenceData!$H$11),"")</f>
        <v>2820</v>
      </c>
      <c r="I11">
        <f ca="1">IFERROR(IF(0=LEN(ReferenceData!$I$11),"",ReferenceData!$I$11),"")</f>
        <v>2620</v>
      </c>
      <c r="J11">
        <f ca="1">IFERROR(IF(0=LEN(ReferenceData!$J$11),"",ReferenceData!$J$11),"")</f>
        <v>2480</v>
      </c>
      <c r="K11">
        <f ca="1">IFERROR(IF(0=LEN(ReferenceData!$K$11),"",ReferenceData!$K$11),"")</f>
        <v>2260</v>
      </c>
      <c r="L11">
        <f ca="1">IFERROR(IF(0=LEN(ReferenceData!$L$11),"",ReferenceData!$L$11),"")</f>
        <v>2260</v>
      </c>
      <c r="M11" t="str">
        <f ca="1">IFERROR(IF(0=LEN(ReferenceData!$M$11),"",ReferenceData!$M$11),"")</f>
        <v/>
      </c>
      <c r="N11" t="str">
        <f ca="1">IFERROR(IF(0=LEN(ReferenceData!$N$11),"",ReferenceData!$N$11),"")</f>
        <v/>
      </c>
      <c r="O11">
        <f ca="1">IFERROR(IF(0=LEN(ReferenceData!$O$11),"",ReferenceData!$O$11),"")</f>
        <v>3200</v>
      </c>
      <c r="P11">
        <f ca="1">IFERROR(IF(0=LEN(ReferenceData!$P$11),"",ReferenceData!$P$11),"")</f>
        <v>2660</v>
      </c>
      <c r="Q11">
        <f ca="1">IFERROR(IF(0=LEN(ReferenceData!$Q$11),"",ReferenceData!$Q$11),"")</f>
        <v>2240</v>
      </c>
      <c r="R11">
        <f ca="1">IFERROR(IF(0=LEN(ReferenceData!$R$11),"",ReferenceData!$R$11),"")</f>
        <v>2430</v>
      </c>
      <c r="S11">
        <f ca="1">IFERROR(IF(0=LEN(ReferenceData!$S$11),"",ReferenceData!$S$11),"")</f>
        <v>2490</v>
      </c>
      <c r="T11">
        <f ca="1">IFERROR(IF(0=LEN(ReferenceData!$T$11),"",ReferenceData!$T$11),"")</f>
        <v>2620</v>
      </c>
      <c r="U11">
        <f ca="1">IFERROR(IF(0=LEN(ReferenceData!$U$11),"",ReferenceData!$U$11),"")</f>
        <v>2620</v>
      </c>
      <c r="V11">
        <f ca="1">IFERROR(IF(0=LEN(ReferenceData!$V$11),"",ReferenceData!$V$11),"")</f>
        <v>2680</v>
      </c>
      <c r="W11">
        <f ca="1">IFERROR(IF(0=LEN(ReferenceData!$W$11),"",ReferenceData!$W$11),"")</f>
        <v>2610</v>
      </c>
      <c r="X11">
        <f ca="1">IFERROR(IF(0=LEN(ReferenceData!$X$11),"",ReferenceData!$X$11),"")</f>
        <v>2210</v>
      </c>
      <c r="Y11">
        <f ca="1">IFERROR(IF(0=LEN(ReferenceData!$Y$11),"",ReferenceData!$Y$11),"")</f>
        <v>1820</v>
      </c>
      <c r="Z11">
        <f ca="1">IFERROR(IF(0=LEN(ReferenceData!$Z$11),"",ReferenceData!$Z$11),"")</f>
        <v>2460</v>
      </c>
      <c r="AA11">
        <f ca="1">IFERROR(IF(0=LEN(ReferenceData!$AA$11),"",ReferenceData!$AA$11),"")</f>
        <v>2530</v>
      </c>
      <c r="AB11">
        <f ca="1">IFERROR(IF(0=LEN(ReferenceData!$AB$11),"",ReferenceData!$AB$11),"")</f>
        <v>2450</v>
      </c>
      <c r="AC11">
        <f ca="1">IFERROR(IF(0=LEN(ReferenceData!$AC$11),"",ReferenceData!$AC$11),"")</f>
        <v>2370</v>
      </c>
      <c r="AD11">
        <f ca="1">IFERROR(IF(0=LEN(ReferenceData!$AD$11),"",ReferenceData!$AD$11),"")</f>
        <v>2720</v>
      </c>
      <c r="AE11">
        <f ca="1">IFERROR(IF(0=LEN(ReferenceData!$AE$11),"",ReferenceData!$AE$11),"")</f>
        <v>2540</v>
      </c>
      <c r="AF11">
        <f ca="1">IFERROR(IF(0=LEN(ReferenceData!$AF$11),"",ReferenceData!$AF$11),"")</f>
        <v>2380</v>
      </c>
      <c r="AG11">
        <f ca="1">IFERROR(IF(0=LEN(ReferenceData!$AG$11),"",ReferenceData!$AG$11),"")</f>
        <v>1850</v>
      </c>
      <c r="AH11">
        <f ca="1">IFERROR(IF(0=LEN(ReferenceData!$AH$11),"",ReferenceData!$AH$11),"")</f>
        <v>2340</v>
      </c>
      <c r="AI11">
        <f ca="1">IFERROR(IF(0=LEN(ReferenceData!$AI$11),"",ReferenceData!$AI$11),"")</f>
        <v>2360</v>
      </c>
      <c r="AJ11">
        <f ca="1">IFERROR(IF(0=LEN(ReferenceData!$AJ$11),"",ReferenceData!$AJ$11),"")</f>
        <v>2410</v>
      </c>
      <c r="AK11">
        <f ca="1">IFERROR(IF(0=LEN(ReferenceData!$AK$11),"",ReferenceData!$AK$11),"")</f>
        <v>2100</v>
      </c>
      <c r="AL11">
        <f ca="1">IFERROR(IF(0=LEN(ReferenceData!$AL$11),"",ReferenceData!$AL$11),"")</f>
        <v>2710</v>
      </c>
      <c r="AM11">
        <f ca="1">IFERROR(IF(0=LEN(ReferenceData!$AM$11),"",ReferenceData!$AM$11),"")</f>
        <v>2570</v>
      </c>
      <c r="AN11">
        <f ca="1">IFERROR(IF(0=LEN(ReferenceData!$AN$11),"",ReferenceData!$AN$11),"")</f>
        <v>2480</v>
      </c>
      <c r="AO11">
        <f ca="1">IFERROR(IF(0=LEN(ReferenceData!$AO$11),"",ReferenceData!$AO$11),"")</f>
        <v>2580</v>
      </c>
      <c r="AP11">
        <f ca="1">IFERROR(IF(0=LEN(ReferenceData!$AP$11),"",ReferenceData!$AP$11),"")</f>
        <v>2820</v>
      </c>
      <c r="AQ11">
        <f ca="1">IFERROR(IF(0=LEN(ReferenceData!$AQ$11),"",ReferenceData!$AQ$11),"")</f>
        <v>2620</v>
      </c>
      <c r="AR11">
        <f ca="1">IFERROR(IF(0=LEN(ReferenceData!$AR$11),"",ReferenceData!$AR$11),"")</f>
        <v>2400</v>
      </c>
      <c r="AS11">
        <f ca="1">IFERROR(IF(0=LEN(ReferenceData!$AS$11),"",ReferenceData!$AS$11),"")</f>
        <v>2210</v>
      </c>
      <c r="AT11">
        <f ca="1">IFERROR(IF(0=LEN(ReferenceData!$AT$11),"",ReferenceData!$AT$11),"")</f>
        <v>1810</v>
      </c>
      <c r="AU11">
        <f ca="1">IFERROR(IF(0=LEN(ReferenceData!$AU$11),"",ReferenceData!$AU$11),"")</f>
        <v>1710</v>
      </c>
      <c r="AV11">
        <f ca="1">IFERROR(IF(0=LEN(ReferenceData!$AV$11),"",ReferenceData!$AV$11),"")</f>
        <v>1840</v>
      </c>
      <c r="AW11">
        <f ca="1">IFERROR(IF(0=LEN(ReferenceData!$AW$11),"",ReferenceData!$AW$11),"")</f>
        <v>1210</v>
      </c>
      <c r="AX11">
        <f ca="1">IFERROR(IF(0=LEN(ReferenceData!$AX$11),"",ReferenceData!$AX$11),"")</f>
        <v>2290</v>
      </c>
      <c r="AY11">
        <f ca="1">IFERROR(IF(0=LEN(ReferenceData!$AY$11),"",ReferenceData!$AY$11),"")</f>
        <v>2180</v>
      </c>
      <c r="AZ11">
        <f ca="1">IFERROR(IF(0=LEN(ReferenceData!$AZ$11),"",ReferenceData!$AZ$11),"")</f>
        <v>2150</v>
      </c>
      <c r="BA11">
        <f ca="1">IFERROR(IF(0=LEN(ReferenceData!$BA$11),"",ReferenceData!$BA$11),"")</f>
        <v>2120</v>
      </c>
      <c r="BB11">
        <f ca="1">IFERROR(IF(0=LEN(ReferenceData!$BB$11),"",ReferenceData!$BB$11),"")</f>
        <v>2300</v>
      </c>
      <c r="BC11">
        <f ca="1">IFERROR(IF(0=LEN(ReferenceData!$BC$11),"",ReferenceData!$BC$11),"")</f>
        <v>2340</v>
      </c>
      <c r="BD11">
        <f ca="1">IFERROR(IF(0=LEN(ReferenceData!$BD$11),"",ReferenceData!$BD$11),"")</f>
        <v>2270</v>
      </c>
      <c r="BE11">
        <f ca="1">IFERROR(IF(0=LEN(ReferenceData!$BE$11),"",ReferenceData!$BE$11),"")</f>
        <v>2180</v>
      </c>
      <c r="BF11">
        <f ca="1">IFERROR(IF(0=LEN(ReferenceData!$BF$11),"",ReferenceData!$BF$11),"")</f>
        <v>2090</v>
      </c>
      <c r="BG11">
        <f ca="1">IFERROR(IF(0=LEN(ReferenceData!$BG$11),"",ReferenceData!$BG$11),"")</f>
        <v>2080</v>
      </c>
      <c r="BH11">
        <f ca="1">IFERROR(IF(0=LEN(ReferenceData!$BH$11),"",ReferenceData!$BH$11),"")</f>
        <v>2050</v>
      </c>
      <c r="BI11">
        <f ca="1">IFERROR(IF(0=LEN(ReferenceData!$BI$11),"",ReferenceData!$BI$11),"")</f>
        <v>1600</v>
      </c>
      <c r="BJ11">
        <f ca="1">IFERROR(IF(0=LEN(ReferenceData!$BJ$11),"",ReferenceData!$BJ$11),"")</f>
        <v>2410</v>
      </c>
      <c r="BK11">
        <f ca="1">IFERROR(IF(0=LEN(ReferenceData!$BK$11),"",ReferenceData!$BK$11),"")</f>
        <v>2108.8000000000002</v>
      </c>
      <c r="BL11">
        <f ca="1">IFERROR(IF(0=LEN(ReferenceData!$BL$11),"",ReferenceData!$BL$11),"")</f>
        <v>2304.4</v>
      </c>
      <c r="BM11">
        <f ca="1">IFERROR(IF(0=LEN(ReferenceData!$BM$11),"",ReferenceData!$BM$11),"")</f>
        <v>2188.1</v>
      </c>
      <c r="BN11">
        <f ca="1">IFERROR(IF(0=LEN(ReferenceData!$BN$11),"",ReferenceData!$BN$11),"")</f>
        <v>2287.1999999999998</v>
      </c>
      <c r="BO11">
        <f ca="1">IFERROR(IF(0=LEN(ReferenceData!$BO$11),"",ReferenceData!$BO$11),"")</f>
        <v>2338.4</v>
      </c>
      <c r="BP11">
        <f ca="1">IFERROR(IF(0=LEN(ReferenceData!$BP$11),"",ReferenceData!$BP$11),"")</f>
        <v>2276.6</v>
      </c>
      <c r="BQ11">
        <f ca="1">IFERROR(IF(0=LEN(ReferenceData!$BQ$11),"",ReferenceData!$BQ$11),"")</f>
        <v>2078.4</v>
      </c>
      <c r="BR11">
        <f ca="1">IFERROR(IF(0=LEN(ReferenceData!$BR$11),"",ReferenceData!$BR$11),"")</f>
        <v>2086.3000000000002</v>
      </c>
      <c r="BS11">
        <f ca="1">IFERROR(IF(0=LEN(ReferenceData!$BS$11),"",ReferenceData!$BS$11),"")</f>
        <v>1954.8</v>
      </c>
      <c r="BT11">
        <f ca="1">IFERROR(IF(0=LEN(ReferenceData!$BT$11),"",ReferenceData!$BT$11),"")</f>
        <v>1792.5</v>
      </c>
      <c r="BU11">
        <f ca="1">IFERROR(IF(0=LEN(ReferenceData!$BU$11),"",ReferenceData!$BU$11),"")</f>
        <v>1880.4</v>
      </c>
      <c r="BV11">
        <f ca="1">IFERROR(IF(0=LEN(ReferenceData!$BV$11),"",ReferenceData!$BV$11),"")</f>
        <v>2358</v>
      </c>
      <c r="BW11">
        <f ca="1">IFERROR(IF(0=LEN(ReferenceData!$BW$11),"",ReferenceData!$BW$11),"")</f>
        <v>2045.1</v>
      </c>
      <c r="BX11">
        <f ca="1">IFERROR(IF(0=LEN(ReferenceData!$BX$11),"",ReferenceData!$BX$11),"")</f>
        <v>2102.8000000000002</v>
      </c>
      <c r="BY11">
        <f ca="1">IFERROR(IF(0=LEN(ReferenceData!$BY$11),"",ReferenceData!$BY$11),"")</f>
        <v>2145.6999999999998</v>
      </c>
      <c r="BZ11">
        <f ca="1">IFERROR(IF(0=LEN(ReferenceData!$BZ$11),"",ReferenceData!$BZ$11),"")</f>
        <v>2456.9</v>
      </c>
      <c r="CA11">
        <f ca="1">IFERROR(IF(0=LEN(ReferenceData!$CA$11),"",ReferenceData!$CA$11),"")</f>
        <v>2284.8000000000002</v>
      </c>
      <c r="CB11">
        <f ca="1">IFERROR(IF(0=LEN(ReferenceData!$CB$11),"",ReferenceData!$CB$11),"")</f>
        <v>2347.6999999999998</v>
      </c>
      <c r="CC11">
        <f ca="1">IFERROR(IF(0=LEN(ReferenceData!$CC$11),"",ReferenceData!$CC$11),"")</f>
        <v>2088.9</v>
      </c>
      <c r="CD11">
        <f ca="1">IFERROR(IF(0=LEN(ReferenceData!$CD$11),"",ReferenceData!$CD$11),"")</f>
        <v>2155.3000000000002</v>
      </c>
      <c r="CE11">
        <f ca="1">IFERROR(IF(0=LEN(ReferenceData!$CE$11),"",ReferenceData!$CE$11),"")</f>
        <v>2016</v>
      </c>
      <c r="CF11">
        <f ca="1">IFERROR(IF(0=LEN(ReferenceData!$CF$11),"",ReferenceData!$CF$11),"")</f>
        <v>1924.1</v>
      </c>
      <c r="CG11">
        <f ca="1">IFERROR(IF(0=LEN(ReferenceData!$CG$11),"",ReferenceData!$CG$11),"")</f>
        <v>1359.9</v>
      </c>
      <c r="CH11">
        <f ca="1">IFERROR(IF(0=LEN(ReferenceData!$CH$11),"",ReferenceData!$CH$11),"")</f>
        <v>2163.9</v>
      </c>
      <c r="CI11">
        <f ca="1">IFERROR(IF(0=LEN(ReferenceData!$CI$11),"",ReferenceData!$CI$11),"")</f>
        <v>2080</v>
      </c>
      <c r="CJ11">
        <f ca="1">IFERROR(IF(0=LEN(ReferenceData!$CJ$11),"",ReferenceData!$CJ$11),"")</f>
        <v>2088.1</v>
      </c>
      <c r="CK11">
        <f ca="1">IFERROR(IF(0=LEN(ReferenceData!$CK$11),"",ReferenceData!$CK$11),"")</f>
        <v>1943.5</v>
      </c>
    </row>
    <row r="12" spans="1:89" x14ac:dyDescent="0.25">
      <c r="A12" t="str">
        <f>IFERROR(IF(0=LEN(ReferenceData!$A$12),"",ReferenceData!$A$12),"")</f>
        <v>Ningbo-Zhoushan Sea Port Container Throughput (000 TEU)</v>
      </c>
      <c r="B12" t="str">
        <f>IFERROR(IF(0=LEN(ReferenceData!$B$12),"",ReferenceData!$B$12),"")</f>
        <v>CNIFSCNZ Index</v>
      </c>
      <c r="C12" t="str">
        <f>IFERROR(IF(0=LEN(ReferenceData!$C$12),"",ReferenceData!$C$12),"")</f>
        <v/>
      </c>
      <c r="D12" t="str">
        <f>IFERROR(IF(0=LEN(ReferenceData!$D$12),"",ReferenceData!$D$12),"")</f>
        <v/>
      </c>
      <c r="E12" t="str">
        <f>IFERROR(IF(0=LEN(ReferenceData!$E$12),"",ReferenceData!$E$12),"")</f>
        <v>Expression</v>
      </c>
      <c r="F12" t="str">
        <f ca="1">IFERROR(IF(0=LEN(ReferenceData!$F$12),"",ReferenceData!$F$12),"")</f>
        <v/>
      </c>
      <c r="G12">
        <f ca="1">IFERROR(IF(0=LEN(ReferenceData!$G$12),"",ReferenceData!$G$12),"")</f>
        <v>3190</v>
      </c>
      <c r="H12">
        <f ca="1">IFERROR(IF(0=LEN(ReferenceData!$H$12),"",ReferenceData!$H$12),"")</f>
        <v>3180</v>
      </c>
      <c r="I12">
        <f ca="1">IFERROR(IF(0=LEN(ReferenceData!$I$12),"",ReferenceData!$I$12),"")</f>
        <v>3220</v>
      </c>
      <c r="J12">
        <f ca="1">IFERROR(IF(0=LEN(ReferenceData!$J$12),"",ReferenceData!$J$12),"")</f>
        <v>3150</v>
      </c>
      <c r="K12">
        <f ca="1">IFERROR(IF(0=LEN(ReferenceData!$K$12),"",ReferenceData!$K$12),"")</f>
        <v>3130</v>
      </c>
      <c r="L12">
        <f ca="1">IFERROR(IF(0=LEN(ReferenceData!$L$12),"",ReferenceData!$L$12),"")</f>
        <v>2880</v>
      </c>
      <c r="M12" t="str">
        <f ca="1">IFERROR(IF(0=LEN(ReferenceData!$M$12),"",ReferenceData!$M$12),"")</f>
        <v/>
      </c>
      <c r="N12" t="str">
        <f ca="1">IFERROR(IF(0=LEN(ReferenceData!$N$12),"",ReferenceData!$N$12),"")</f>
        <v/>
      </c>
      <c r="O12">
        <f ca="1">IFERROR(IF(0=LEN(ReferenceData!$O$12),"",ReferenceData!$O$12),"")</f>
        <v>2090</v>
      </c>
      <c r="P12">
        <f ca="1">IFERROR(IF(0=LEN(ReferenceData!$P$12),"",ReferenceData!$P$12),"")</f>
        <v>2370</v>
      </c>
      <c r="Q12">
        <f ca="1">IFERROR(IF(0=LEN(ReferenceData!$Q$12),"",ReferenceData!$Q$12),"")</f>
        <v>2570</v>
      </c>
      <c r="R12">
        <f ca="1">IFERROR(IF(0=LEN(ReferenceData!$R$12),"",ReferenceData!$R$12),"")</f>
        <v>2630</v>
      </c>
      <c r="S12">
        <f ca="1">IFERROR(IF(0=LEN(ReferenceData!$S$12),"",ReferenceData!$S$12),"")</f>
        <v>2940</v>
      </c>
      <c r="T12">
        <f ca="1">IFERROR(IF(0=LEN(ReferenceData!$T$12),"",ReferenceData!$T$12),"")</f>
        <v>3280</v>
      </c>
      <c r="U12">
        <f ca="1">IFERROR(IF(0=LEN(ReferenceData!$U$12),"",ReferenceData!$U$12),"")</f>
        <v>3160</v>
      </c>
      <c r="V12">
        <f ca="1">IFERROR(IF(0=LEN(ReferenceData!$V$12),"",ReferenceData!$V$12),"")</f>
        <v>3370</v>
      </c>
      <c r="W12">
        <f ca="1">IFERROR(IF(0=LEN(ReferenceData!$W$12),"",ReferenceData!$W$12),"")</f>
        <v>3030</v>
      </c>
      <c r="X12">
        <f ca="1">IFERROR(IF(0=LEN(ReferenceData!$X$12),"",ReferenceData!$X$12),"")</f>
        <v>2660</v>
      </c>
      <c r="Y12">
        <f ca="1">IFERROR(IF(0=LEN(ReferenceData!$Y$12),"",ReferenceData!$Y$12),"")</f>
        <v>2290</v>
      </c>
      <c r="Z12">
        <f ca="1">IFERROR(IF(0=LEN(ReferenceData!$Z$12),"",ReferenceData!$Z$12),"")</f>
        <v>2970</v>
      </c>
      <c r="AA12">
        <f ca="1">IFERROR(IF(0=LEN(ReferenceData!$AA$12),"",ReferenceData!$AA$12),"")</f>
        <v>2090</v>
      </c>
      <c r="AB12">
        <f ca="1">IFERROR(IF(0=LEN(ReferenceData!$AB$12),"",ReferenceData!$AB$12),"")</f>
        <v>2270</v>
      </c>
      <c r="AC12">
        <f ca="1">IFERROR(IF(0=LEN(ReferenceData!$AC$12),"",ReferenceData!$AC$12),"")</f>
        <v>2750</v>
      </c>
      <c r="AD12">
        <f ca="1">IFERROR(IF(0=LEN(ReferenceData!$AD$12),"",ReferenceData!$AD$12),"")</f>
        <v>2610</v>
      </c>
      <c r="AE12">
        <f ca="1">IFERROR(IF(0=LEN(ReferenceData!$AE$12),"",ReferenceData!$AE$12),"")</f>
        <v>2680</v>
      </c>
      <c r="AF12">
        <f ca="1">IFERROR(IF(0=LEN(ReferenceData!$AF$12),"",ReferenceData!$AF$12),"")</f>
        <v>2610</v>
      </c>
      <c r="AG12">
        <f ca="1">IFERROR(IF(0=LEN(ReferenceData!$AG$12),"",ReferenceData!$AG$12),"")</f>
        <v>2830</v>
      </c>
      <c r="AH12">
        <f ca="1">IFERROR(IF(0=LEN(ReferenceData!$AH$12),"",ReferenceData!$AH$12),"")</f>
        <v>2840</v>
      </c>
      <c r="AI12">
        <f ca="1">IFERROR(IF(0=LEN(ReferenceData!$AI$12),"",ReferenceData!$AI$12),"")</f>
        <v>2710</v>
      </c>
      <c r="AJ12">
        <f ca="1">IFERROR(IF(0=LEN(ReferenceData!$AJ$12),"",ReferenceData!$AJ$12),"")</f>
        <v>2490</v>
      </c>
      <c r="AK12">
        <f ca="1">IFERROR(IF(0=LEN(ReferenceData!$AK$12),"",ReferenceData!$AK$12),"")</f>
        <v>2310</v>
      </c>
      <c r="AL12">
        <f ca="1">IFERROR(IF(0=LEN(ReferenceData!$AL$12),"",ReferenceData!$AL$12),"")</f>
        <v>2890</v>
      </c>
      <c r="AM12">
        <f ca="1">IFERROR(IF(0=LEN(ReferenceData!$AM$12),"",ReferenceData!$AM$12),"")</f>
        <v>2240</v>
      </c>
      <c r="AN12">
        <f ca="1">IFERROR(IF(0=LEN(ReferenceData!$AN$12),"",ReferenceData!$AN$12),"")</f>
        <v>2420</v>
      </c>
      <c r="AO12">
        <f ca="1">IFERROR(IF(0=LEN(ReferenceData!$AO$12),"",ReferenceData!$AO$12),"")</f>
        <v>2710</v>
      </c>
      <c r="AP12">
        <f ca="1">IFERROR(IF(0=LEN(ReferenceData!$AP$12),"",ReferenceData!$AP$12),"")</f>
        <v>2730</v>
      </c>
      <c r="AQ12">
        <f ca="1">IFERROR(IF(0=LEN(ReferenceData!$AQ$12),"",ReferenceData!$AQ$12),"")</f>
        <v>2670</v>
      </c>
      <c r="AR12">
        <f ca="1">IFERROR(IF(0=LEN(ReferenceData!$AR$12),"",ReferenceData!$AR$12),"")</f>
        <v>2710</v>
      </c>
      <c r="AS12">
        <f ca="1">IFERROR(IF(0=LEN(ReferenceData!$AS$12),"",ReferenceData!$AS$12),"")</f>
        <v>2530</v>
      </c>
      <c r="AT12">
        <f ca="1">IFERROR(IF(0=LEN(ReferenceData!$AT$12),"",ReferenceData!$AT$12),"")</f>
        <v>2430</v>
      </c>
      <c r="AU12">
        <f ca="1">IFERROR(IF(0=LEN(ReferenceData!$AU$12),"",ReferenceData!$AU$12),"")</f>
        <v>2140</v>
      </c>
      <c r="AV12">
        <f ca="1">IFERROR(IF(0=LEN(ReferenceData!$AV$12),"",ReferenceData!$AV$12),"")</f>
        <v>2090</v>
      </c>
      <c r="AW12">
        <f ca="1">IFERROR(IF(0=LEN(ReferenceData!$AW$12),"",ReferenceData!$AW$12),"")</f>
        <v>1540</v>
      </c>
      <c r="AX12">
        <f ca="1">IFERROR(IF(0=LEN(ReferenceData!$AX$12),"",ReferenceData!$AX$12),"")</f>
        <v>2520</v>
      </c>
      <c r="AY12">
        <f ca="1">IFERROR(IF(0=LEN(ReferenceData!$AY$12),"",ReferenceData!$AY$12),"")</f>
        <v>1940</v>
      </c>
      <c r="AZ12">
        <f ca="1">IFERROR(IF(0=LEN(ReferenceData!$AZ$12),"",ReferenceData!$AZ$12),"")</f>
        <v>2100</v>
      </c>
      <c r="BA12">
        <f ca="1">IFERROR(IF(0=LEN(ReferenceData!$BA$12),"",ReferenceData!$BA$12),"")</f>
        <v>2230</v>
      </c>
      <c r="BB12">
        <f ca="1">IFERROR(IF(0=LEN(ReferenceData!$BB$12),"",ReferenceData!$BB$12),"")</f>
        <v>2400</v>
      </c>
      <c r="BC12">
        <f ca="1">IFERROR(IF(0=LEN(ReferenceData!$BC$12),"",ReferenceData!$BC$12),"")</f>
        <v>2440</v>
      </c>
      <c r="BD12">
        <f ca="1">IFERROR(IF(0=LEN(ReferenceData!$BD$12),"",ReferenceData!$BD$12),"")</f>
        <v>2510</v>
      </c>
      <c r="BE12">
        <f ca="1">IFERROR(IF(0=LEN(ReferenceData!$BE$12),"",ReferenceData!$BE$12),"")</f>
        <v>2420</v>
      </c>
      <c r="BF12">
        <f ca="1">IFERROR(IF(0=LEN(ReferenceData!$BF$12),"",ReferenceData!$BF$12),"")</f>
        <v>2550</v>
      </c>
      <c r="BG12">
        <f ca="1">IFERROR(IF(0=LEN(ReferenceData!$BG$12),"",ReferenceData!$BG$12),"")</f>
        <v>2250</v>
      </c>
      <c r="BH12">
        <f ca="1">IFERROR(IF(0=LEN(ReferenceData!$BH$12),"",ReferenceData!$BH$12),"")</f>
        <v>2150</v>
      </c>
      <c r="BI12">
        <f ca="1">IFERROR(IF(0=LEN(ReferenceData!$BI$12),"",ReferenceData!$BI$12),"")</f>
        <v>1950</v>
      </c>
      <c r="BJ12">
        <f ca="1">IFERROR(IF(0=LEN(ReferenceData!$BJ$12),"",ReferenceData!$BJ$12),"")</f>
        <v>2600</v>
      </c>
      <c r="BK12">
        <f ca="1">IFERROR(IF(0=LEN(ReferenceData!$BK$12),"",ReferenceData!$BK$12),"")</f>
        <v>1880.1</v>
      </c>
      <c r="BL12">
        <f ca="1">IFERROR(IF(0=LEN(ReferenceData!$BL$12),"",ReferenceData!$BL$12),"")</f>
        <v>2104</v>
      </c>
      <c r="BM12">
        <f ca="1">IFERROR(IF(0=LEN(ReferenceData!$BM$12),"",ReferenceData!$BM$12),"")</f>
        <v>2136.3000000000002</v>
      </c>
      <c r="BN12">
        <f ca="1">IFERROR(IF(0=LEN(ReferenceData!$BN$12),"",ReferenceData!$BN$12),"")</f>
        <v>2362</v>
      </c>
      <c r="BO12">
        <f ca="1">IFERROR(IF(0=LEN(ReferenceData!$BO$12),"",ReferenceData!$BO$12),"")</f>
        <v>2276.9</v>
      </c>
      <c r="BP12">
        <f ca="1">IFERROR(IF(0=LEN(ReferenceData!$BP$12),"",ReferenceData!$BP$12),"")</f>
        <v>2151.9</v>
      </c>
      <c r="BQ12">
        <f ca="1">IFERROR(IF(0=LEN(ReferenceData!$BQ$12),"",ReferenceData!$BQ$12),"")</f>
        <v>2271.8000000000002</v>
      </c>
      <c r="BR12">
        <f ca="1">IFERROR(IF(0=LEN(ReferenceData!$BR$12),"",ReferenceData!$BR$12),"")</f>
        <v>2391.8000000000002</v>
      </c>
      <c r="BS12">
        <f ca="1">IFERROR(IF(0=LEN(ReferenceData!$BS$12),"",ReferenceData!$BS$12),"")</f>
        <v>2217.8000000000002</v>
      </c>
      <c r="BT12">
        <f ca="1">IFERROR(IF(0=LEN(ReferenceData!$BT$12),"",ReferenceData!$BT$12),"")</f>
        <v>2091.4</v>
      </c>
      <c r="BU12">
        <f ca="1">IFERROR(IF(0=LEN(ReferenceData!$BU$12),"",ReferenceData!$BU$12),"")</f>
        <v>2041.5</v>
      </c>
      <c r="BV12">
        <f ca="1">IFERROR(IF(0=LEN(ReferenceData!$BV$12),"",ReferenceData!$BV$12),"")</f>
        <v>2361.9</v>
      </c>
      <c r="BW12">
        <f ca="1">IFERROR(IF(0=LEN(ReferenceData!$BW$12),"",ReferenceData!$BW$12),"")</f>
        <v>1833.1</v>
      </c>
      <c r="BX12">
        <f ca="1">IFERROR(IF(0=LEN(ReferenceData!$BX$12),"",ReferenceData!$BX$12),"")</f>
        <v>2027</v>
      </c>
      <c r="BY12">
        <f ca="1">IFERROR(IF(0=LEN(ReferenceData!$BY$12),"",ReferenceData!$BY$12),"")</f>
        <v>1996.9</v>
      </c>
      <c r="BZ12">
        <f ca="1">IFERROR(IF(0=LEN(ReferenceData!$BZ$12),"",ReferenceData!$BZ$12),"")</f>
        <v>1996.4</v>
      </c>
      <c r="CA12">
        <f ca="1">IFERROR(IF(0=LEN(ReferenceData!$CA$12),"",ReferenceData!$CA$12),"")</f>
        <v>2161.4</v>
      </c>
      <c r="CB12">
        <f ca="1">IFERROR(IF(0=LEN(ReferenceData!$CB$12),"",ReferenceData!$CB$12),"")</f>
        <v>2184.6</v>
      </c>
      <c r="CC12">
        <f ca="1">IFERROR(IF(0=LEN(ReferenceData!$CC$12),"",ReferenceData!$CC$12),"")</f>
        <v>2135.6999999999998</v>
      </c>
      <c r="CD12">
        <f ca="1">IFERROR(IF(0=LEN(ReferenceData!$CD$12),"",ReferenceData!$CD$12),"")</f>
        <v>2272.5</v>
      </c>
      <c r="CE12">
        <f ca="1">IFERROR(IF(0=LEN(ReferenceData!$CE$12),"",ReferenceData!$CE$12),"")</f>
        <v>2018.7</v>
      </c>
      <c r="CF12">
        <f ca="1">IFERROR(IF(0=LEN(ReferenceData!$CF$12),"",ReferenceData!$CF$12),"")</f>
        <v>2002.4</v>
      </c>
      <c r="CG12">
        <f ca="1">IFERROR(IF(0=LEN(ReferenceData!$CG$12),"",ReferenceData!$CG$12),"")</f>
        <v>1756</v>
      </c>
      <c r="CH12">
        <f ca="1">IFERROR(IF(0=LEN(ReferenceData!$CH$12),"",ReferenceData!$CH$12),"")</f>
        <v>2139.8000000000002</v>
      </c>
      <c r="CI12">
        <f ca="1">IFERROR(IF(0=LEN(ReferenceData!$CI$12),"",ReferenceData!$CI$12),"")</f>
        <v>1680</v>
      </c>
      <c r="CJ12">
        <f ca="1">IFERROR(IF(0=LEN(ReferenceData!$CJ$12),"",ReferenceData!$CJ$12),"")</f>
        <v>1711.7</v>
      </c>
      <c r="CK12">
        <f ca="1">IFERROR(IF(0=LEN(ReferenceData!$CK$12),"",ReferenceData!$CK$12),"")</f>
        <v>1811.3</v>
      </c>
    </row>
    <row r="13" spans="1:89" x14ac:dyDescent="0.25">
      <c r="A13" t="str">
        <f>IFERROR(IF(0=LEN(ReferenceData!$A$13),"",ReferenceData!$A$13),"")</f>
        <v>Ministry of Transport of the People's Republic of China</v>
      </c>
      <c r="B13" t="str">
        <f>IFERROR(IF(0=LEN(ReferenceData!$B$13),"",ReferenceData!$B$13),"")</f>
        <v/>
      </c>
      <c r="C13" t="str">
        <f>IFERROR(IF(0=LEN(ReferenceData!$C$13),"",ReferenceData!$C$13),"")</f>
        <v/>
      </c>
      <c r="D13" t="str">
        <f>IFERROR(IF(0=LEN(ReferenceData!$D$13),"",ReferenceData!$D$13),"")</f>
        <v/>
      </c>
      <c r="E13" t="str">
        <f>IFERROR(IF(0=LEN(ReferenceData!$E$13),"",ReferenceData!$E$13),"")</f>
        <v>Heading</v>
      </c>
      <c r="F13" t="str">
        <f>IFERROR(IF(0=LEN(ReferenceData!$F$13),"",ReferenceData!$F$13),"")</f>
        <v/>
      </c>
      <c r="G13" t="str">
        <f>IFERROR(IF(0=LEN(ReferenceData!$G$13),"",ReferenceData!$G$13),"")</f>
        <v/>
      </c>
      <c r="H13" t="str">
        <f>IFERROR(IF(0=LEN(ReferenceData!$H$13),"",ReferenceData!$H$13),"")</f>
        <v/>
      </c>
      <c r="I13" t="str">
        <f>IFERROR(IF(0=LEN(ReferenceData!$I$13),"",ReferenceData!$I$13),"")</f>
        <v/>
      </c>
      <c r="J13" t="str">
        <f>IFERROR(IF(0=LEN(ReferenceData!$J$13),"",ReferenceData!$J$13),"")</f>
        <v/>
      </c>
      <c r="K13" t="str">
        <f>IFERROR(IF(0=LEN(ReferenceData!$K$13),"",ReferenceData!$K$13),"")</f>
        <v/>
      </c>
      <c r="L13" t="str">
        <f>IFERROR(IF(0=LEN(ReferenceData!$L$13),"",ReferenceData!$L$13),"")</f>
        <v/>
      </c>
      <c r="M13" t="str">
        <f>IFERROR(IF(0=LEN(ReferenceData!$M$13),"",ReferenceData!$M$13),"")</f>
        <v/>
      </c>
      <c r="N13" t="str">
        <f>IFERROR(IF(0=LEN(ReferenceData!$N$13),"",ReferenceData!$N$13),"")</f>
        <v/>
      </c>
      <c r="O13" t="str">
        <f>IFERROR(IF(0=LEN(ReferenceData!$O$13),"",ReferenceData!$O$13),"")</f>
        <v/>
      </c>
      <c r="P13" t="str">
        <f>IFERROR(IF(0=LEN(ReferenceData!$P$13),"",ReferenceData!$P$13),"")</f>
        <v/>
      </c>
      <c r="Q13" t="str">
        <f>IFERROR(IF(0=LEN(ReferenceData!$Q$13),"",ReferenceData!$Q$13),"")</f>
        <v/>
      </c>
      <c r="R13" t="str">
        <f>IFERROR(IF(0=LEN(ReferenceData!$R$13),"",ReferenceData!$R$13),"")</f>
        <v/>
      </c>
      <c r="S13" t="str">
        <f>IFERROR(IF(0=LEN(ReferenceData!$S$13),"",ReferenceData!$S$13),"")</f>
        <v/>
      </c>
      <c r="T13" t="str">
        <f>IFERROR(IF(0=LEN(ReferenceData!$T$13),"",ReferenceData!$T$13),"")</f>
        <v/>
      </c>
      <c r="U13" t="str">
        <f>IFERROR(IF(0=LEN(ReferenceData!$U$13),"",ReferenceData!$U$13),"")</f>
        <v/>
      </c>
      <c r="V13" t="str">
        <f>IFERROR(IF(0=LEN(ReferenceData!$V$13),"",ReferenceData!$V$13),"")</f>
        <v/>
      </c>
      <c r="W13" t="str">
        <f>IFERROR(IF(0=LEN(ReferenceData!$W$13),"",ReferenceData!$W$13),"")</f>
        <v/>
      </c>
      <c r="X13" t="str">
        <f>IFERROR(IF(0=LEN(ReferenceData!$X$13),"",ReferenceData!$X$13),"")</f>
        <v/>
      </c>
      <c r="Y13" t="str">
        <f>IFERROR(IF(0=LEN(ReferenceData!$Y$13),"",ReferenceData!$Y$13),"")</f>
        <v/>
      </c>
      <c r="Z13" t="str">
        <f>IFERROR(IF(0=LEN(ReferenceData!$Z$13),"",ReferenceData!$Z$13),"")</f>
        <v/>
      </c>
      <c r="AA13" t="str">
        <f>IFERROR(IF(0=LEN(ReferenceData!$AA$13),"",ReferenceData!$AA$13),"")</f>
        <v/>
      </c>
      <c r="AB13" t="str">
        <f>IFERROR(IF(0=LEN(ReferenceData!$AB$13),"",ReferenceData!$AB$13),"")</f>
        <v/>
      </c>
      <c r="AC13" t="str">
        <f>IFERROR(IF(0=LEN(ReferenceData!$AC$13),"",ReferenceData!$AC$13),"")</f>
        <v/>
      </c>
      <c r="AD13" t="str">
        <f>IFERROR(IF(0=LEN(ReferenceData!$AD$13),"",ReferenceData!$AD$13),"")</f>
        <v/>
      </c>
      <c r="AE13" t="str">
        <f>IFERROR(IF(0=LEN(ReferenceData!$AE$13),"",ReferenceData!$AE$13),"")</f>
        <v/>
      </c>
      <c r="AF13" t="str">
        <f>IFERROR(IF(0=LEN(ReferenceData!$AF$13),"",ReferenceData!$AF$13),"")</f>
        <v/>
      </c>
      <c r="AG13" t="str">
        <f>IFERROR(IF(0=LEN(ReferenceData!$AG$13),"",ReferenceData!$AG$13),"")</f>
        <v/>
      </c>
      <c r="AH13" t="str">
        <f>IFERROR(IF(0=LEN(ReferenceData!$AH$13),"",ReferenceData!$AH$13),"")</f>
        <v/>
      </c>
      <c r="AI13" t="str">
        <f>IFERROR(IF(0=LEN(ReferenceData!$AI$13),"",ReferenceData!$AI$13),"")</f>
        <v/>
      </c>
      <c r="AJ13" t="str">
        <f>IFERROR(IF(0=LEN(ReferenceData!$AJ$13),"",ReferenceData!$AJ$13),"")</f>
        <v/>
      </c>
      <c r="AK13" t="str">
        <f>IFERROR(IF(0=LEN(ReferenceData!$AK$13),"",ReferenceData!$AK$13),"")</f>
        <v/>
      </c>
      <c r="AL13" t="str">
        <f>IFERROR(IF(0=LEN(ReferenceData!$AL$13),"",ReferenceData!$AL$13),"")</f>
        <v/>
      </c>
      <c r="AM13" t="str">
        <f>IFERROR(IF(0=LEN(ReferenceData!$AM$13),"",ReferenceData!$AM$13),"")</f>
        <v/>
      </c>
      <c r="AN13" t="str">
        <f>IFERROR(IF(0=LEN(ReferenceData!$AN$13),"",ReferenceData!$AN$13),"")</f>
        <v/>
      </c>
      <c r="AO13" t="str">
        <f>IFERROR(IF(0=LEN(ReferenceData!$AO$13),"",ReferenceData!$AO$13),"")</f>
        <v/>
      </c>
      <c r="AP13" t="str">
        <f>IFERROR(IF(0=LEN(ReferenceData!$AP$13),"",ReferenceData!$AP$13),"")</f>
        <v/>
      </c>
      <c r="AQ13" t="str">
        <f>IFERROR(IF(0=LEN(ReferenceData!$AQ$13),"",ReferenceData!$AQ$13),"")</f>
        <v/>
      </c>
      <c r="AR13" t="str">
        <f>IFERROR(IF(0=LEN(ReferenceData!$AR$13),"",ReferenceData!$AR$13),"")</f>
        <v/>
      </c>
      <c r="AS13" t="str">
        <f>IFERROR(IF(0=LEN(ReferenceData!$AS$13),"",ReferenceData!$AS$13),"")</f>
        <v/>
      </c>
      <c r="AT13" t="str">
        <f>IFERROR(IF(0=LEN(ReferenceData!$AT$13),"",ReferenceData!$AT$13),"")</f>
        <v/>
      </c>
      <c r="AU13" t="str">
        <f>IFERROR(IF(0=LEN(ReferenceData!$AU$13),"",ReferenceData!$AU$13),"")</f>
        <v/>
      </c>
      <c r="AV13" t="str">
        <f>IFERROR(IF(0=LEN(ReferenceData!$AV$13),"",ReferenceData!$AV$13),"")</f>
        <v/>
      </c>
      <c r="AW13" t="str">
        <f>IFERROR(IF(0=LEN(ReferenceData!$AW$13),"",ReferenceData!$AW$13),"")</f>
        <v/>
      </c>
      <c r="AX13" t="str">
        <f>IFERROR(IF(0=LEN(ReferenceData!$AX$13),"",ReferenceData!$AX$13),"")</f>
        <v/>
      </c>
      <c r="AY13" t="str">
        <f>IFERROR(IF(0=LEN(ReferenceData!$AY$13),"",ReferenceData!$AY$13),"")</f>
        <v/>
      </c>
      <c r="AZ13" t="str">
        <f>IFERROR(IF(0=LEN(ReferenceData!$AZ$13),"",ReferenceData!$AZ$13),"")</f>
        <v/>
      </c>
      <c r="BA13" t="str">
        <f>IFERROR(IF(0=LEN(ReferenceData!$BA$13),"",ReferenceData!$BA$13),"")</f>
        <v/>
      </c>
      <c r="BB13" t="str">
        <f>IFERROR(IF(0=LEN(ReferenceData!$BB$13),"",ReferenceData!$BB$13),"")</f>
        <v/>
      </c>
      <c r="BC13" t="str">
        <f>IFERROR(IF(0=LEN(ReferenceData!$BC$13),"",ReferenceData!$BC$13),"")</f>
        <v/>
      </c>
      <c r="BD13" t="str">
        <f>IFERROR(IF(0=LEN(ReferenceData!$BD$13),"",ReferenceData!$BD$13),"")</f>
        <v/>
      </c>
      <c r="BE13" t="str">
        <f>IFERROR(IF(0=LEN(ReferenceData!$BE$13),"",ReferenceData!$BE$13),"")</f>
        <v/>
      </c>
      <c r="BF13" t="str">
        <f>IFERROR(IF(0=LEN(ReferenceData!$BF$13),"",ReferenceData!$BF$13),"")</f>
        <v/>
      </c>
      <c r="BG13" t="str">
        <f>IFERROR(IF(0=LEN(ReferenceData!$BG$13),"",ReferenceData!$BG$13),"")</f>
        <v/>
      </c>
      <c r="BH13" t="str">
        <f>IFERROR(IF(0=LEN(ReferenceData!$BH$13),"",ReferenceData!$BH$13),"")</f>
        <v/>
      </c>
      <c r="BI13" t="str">
        <f>IFERROR(IF(0=LEN(ReferenceData!$BI$13),"",ReferenceData!$BI$13),"")</f>
        <v/>
      </c>
      <c r="BJ13" t="str">
        <f>IFERROR(IF(0=LEN(ReferenceData!$BJ$13),"",ReferenceData!$BJ$13),"")</f>
        <v/>
      </c>
      <c r="BK13" t="str">
        <f>IFERROR(IF(0=LEN(ReferenceData!$BK$13),"",ReferenceData!$BK$13),"")</f>
        <v/>
      </c>
      <c r="BL13" t="str">
        <f>IFERROR(IF(0=LEN(ReferenceData!$BL$13),"",ReferenceData!$BL$13),"")</f>
        <v/>
      </c>
      <c r="BM13" t="str">
        <f>IFERROR(IF(0=LEN(ReferenceData!$BM$13),"",ReferenceData!$BM$13),"")</f>
        <v/>
      </c>
      <c r="BN13" t="str">
        <f>IFERROR(IF(0=LEN(ReferenceData!$BN$13),"",ReferenceData!$BN$13),"")</f>
        <v/>
      </c>
      <c r="BO13" t="str">
        <f>IFERROR(IF(0=LEN(ReferenceData!$BO$13),"",ReferenceData!$BO$13),"")</f>
        <v/>
      </c>
      <c r="BP13" t="str">
        <f>IFERROR(IF(0=LEN(ReferenceData!$BP$13),"",ReferenceData!$BP$13),"")</f>
        <v/>
      </c>
      <c r="BQ13" t="str">
        <f>IFERROR(IF(0=LEN(ReferenceData!$BQ$13),"",ReferenceData!$BQ$13),"")</f>
        <v/>
      </c>
      <c r="BR13" t="str">
        <f>IFERROR(IF(0=LEN(ReferenceData!$BR$13),"",ReferenceData!$BR$13),"")</f>
        <v/>
      </c>
      <c r="BS13" t="str">
        <f>IFERROR(IF(0=LEN(ReferenceData!$BS$13),"",ReferenceData!$BS$13),"")</f>
        <v/>
      </c>
      <c r="BT13" t="str">
        <f>IFERROR(IF(0=LEN(ReferenceData!$BT$13),"",ReferenceData!$BT$13),"")</f>
        <v/>
      </c>
      <c r="BU13" t="str">
        <f>IFERROR(IF(0=LEN(ReferenceData!$BU$13),"",ReferenceData!$BU$13),"")</f>
        <v/>
      </c>
      <c r="BV13" t="str">
        <f>IFERROR(IF(0=LEN(ReferenceData!$BV$13),"",ReferenceData!$BV$13),"")</f>
        <v/>
      </c>
      <c r="BW13" t="str">
        <f>IFERROR(IF(0=LEN(ReferenceData!$BW$13),"",ReferenceData!$BW$13),"")</f>
        <v/>
      </c>
      <c r="BX13" t="str">
        <f>IFERROR(IF(0=LEN(ReferenceData!$BX$13),"",ReferenceData!$BX$13),"")</f>
        <v/>
      </c>
      <c r="BY13" t="str">
        <f>IFERROR(IF(0=LEN(ReferenceData!$BY$13),"",ReferenceData!$BY$13),"")</f>
        <v/>
      </c>
      <c r="BZ13" t="str">
        <f>IFERROR(IF(0=LEN(ReferenceData!$BZ$13),"",ReferenceData!$BZ$13),"")</f>
        <v/>
      </c>
      <c r="CA13" t="str">
        <f>IFERROR(IF(0=LEN(ReferenceData!$CA$13),"",ReferenceData!$CA$13),"")</f>
        <v/>
      </c>
      <c r="CB13" t="str">
        <f>IFERROR(IF(0=LEN(ReferenceData!$CB$13),"",ReferenceData!$CB$13),"")</f>
        <v/>
      </c>
      <c r="CC13" t="str">
        <f>IFERROR(IF(0=LEN(ReferenceData!$CC$13),"",ReferenceData!$CC$13),"")</f>
        <v/>
      </c>
      <c r="CD13" t="str">
        <f>IFERROR(IF(0=LEN(ReferenceData!$CD$13),"",ReferenceData!$CD$13),"")</f>
        <v/>
      </c>
      <c r="CE13" t="str">
        <f>IFERROR(IF(0=LEN(ReferenceData!$CE$13),"",ReferenceData!$CE$13),"")</f>
        <v/>
      </c>
      <c r="CF13" t="str">
        <f>IFERROR(IF(0=LEN(ReferenceData!$CF$13),"",ReferenceData!$CF$13),"")</f>
        <v/>
      </c>
      <c r="CG13" t="str">
        <f>IFERROR(IF(0=LEN(ReferenceData!$CG$13),"",ReferenceData!$CG$13),"")</f>
        <v/>
      </c>
      <c r="CH13" t="str">
        <f>IFERROR(IF(0=LEN(ReferenceData!$CH$13),"",ReferenceData!$CH$13),"")</f>
        <v/>
      </c>
      <c r="CI13" t="str">
        <f>IFERROR(IF(0=LEN(ReferenceData!$CI$13),"",ReferenceData!$CI$13),"")</f>
        <v/>
      </c>
      <c r="CJ13" t="str">
        <f>IFERROR(IF(0=LEN(ReferenceData!$CJ$13),"",ReferenceData!$CJ$13),"")</f>
        <v/>
      </c>
      <c r="CK13" t="str">
        <f>IFERROR(IF(0=LEN(ReferenceData!$CK$13),"",ReferenceData!$CK$13),"")</f>
        <v/>
      </c>
    </row>
    <row r="14" spans="1:89" x14ac:dyDescent="0.25">
      <c r="A14" t="str">
        <f>IFERROR(IF(0=LEN(ReferenceData!$A$14),"",ReferenceData!$A$14),"")</f>
        <v/>
      </c>
      <c r="B14" t="str">
        <f>IFERROR(IF(0=LEN(ReferenceData!$B$14),"",ReferenceData!$B$14),"")</f>
        <v/>
      </c>
      <c r="C14" t="str">
        <f>IFERROR(IF(0=LEN(ReferenceData!$C$14),"",ReferenceData!$C$14),"")</f>
        <v/>
      </c>
      <c r="D14" t="str">
        <f>IFERROR(IF(0=LEN(ReferenceData!$D$14),"",ReferenceData!$D$14),"")</f>
        <v/>
      </c>
      <c r="E14" t="str">
        <f>IFERROR(IF(0=LEN(ReferenceData!$E$14),"",ReferenceData!$E$14),"")</f>
        <v>Static</v>
      </c>
      <c r="F14" t="str">
        <f ca="1">IFERROR(IF(0=LEN(ReferenceData!$F$14),"",ReferenceData!$F$14),"")</f>
        <v/>
      </c>
      <c r="G14" t="str">
        <f ca="1">IFERROR(IF(0=LEN(ReferenceData!$G$14),"",ReferenceData!$G$14),"")</f>
        <v/>
      </c>
      <c r="H14" t="str">
        <f ca="1">IFERROR(IF(0=LEN(ReferenceData!$H$14),"",ReferenceData!$H$14),"")</f>
        <v/>
      </c>
      <c r="I14" t="str">
        <f ca="1">IFERROR(IF(0=LEN(ReferenceData!$I$14),"",ReferenceData!$I$14),"")</f>
        <v/>
      </c>
      <c r="J14" t="str">
        <f ca="1">IFERROR(IF(0=LEN(ReferenceData!$J$14),"",ReferenceData!$J$14),"")</f>
        <v/>
      </c>
      <c r="K14" t="str">
        <f ca="1">IFERROR(IF(0=LEN(ReferenceData!$K$14),"",ReferenceData!$K$14),"")</f>
        <v/>
      </c>
      <c r="L14" t="str">
        <f ca="1">IFERROR(IF(0=LEN(ReferenceData!$L$14),"",ReferenceData!$L$14),"")</f>
        <v/>
      </c>
      <c r="M14" t="str">
        <f ca="1">IFERROR(IF(0=LEN(ReferenceData!$M$14),"",ReferenceData!$M$14),"")</f>
        <v/>
      </c>
      <c r="N14" t="str">
        <f ca="1">IFERROR(IF(0=LEN(ReferenceData!$N$14),"",ReferenceData!$N$14),"")</f>
        <v/>
      </c>
      <c r="O14" t="str">
        <f ca="1">IFERROR(IF(0=LEN(ReferenceData!$O$14),"",ReferenceData!$O$14),"")</f>
        <v/>
      </c>
      <c r="P14" t="str">
        <f ca="1">IFERROR(IF(0=LEN(ReferenceData!$P$14),"",ReferenceData!$P$14),"")</f>
        <v/>
      </c>
      <c r="Q14" t="str">
        <f ca="1">IFERROR(IF(0=LEN(ReferenceData!$Q$14),"",ReferenceData!$Q$14),"")</f>
        <v/>
      </c>
      <c r="R14" t="str">
        <f ca="1">IFERROR(IF(0=LEN(ReferenceData!$R$14),"",ReferenceData!$R$14),"")</f>
        <v/>
      </c>
      <c r="S14" t="str">
        <f ca="1">IFERROR(IF(0=LEN(ReferenceData!$S$14),"",ReferenceData!$S$14),"")</f>
        <v/>
      </c>
      <c r="T14" t="str">
        <f ca="1">IFERROR(IF(0=LEN(ReferenceData!$T$14),"",ReferenceData!$T$14),"")</f>
        <v/>
      </c>
      <c r="U14" t="str">
        <f ca="1">IFERROR(IF(0=LEN(ReferenceData!$U$14),"",ReferenceData!$U$14),"")</f>
        <v/>
      </c>
      <c r="V14" t="str">
        <f ca="1">IFERROR(IF(0=LEN(ReferenceData!$V$14),"",ReferenceData!$V$14),"")</f>
        <v/>
      </c>
      <c r="W14" t="str">
        <f ca="1">IFERROR(IF(0=LEN(ReferenceData!$W$14),"",ReferenceData!$W$14),"")</f>
        <v/>
      </c>
      <c r="X14" t="str">
        <f ca="1">IFERROR(IF(0=LEN(ReferenceData!$X$14),"",ReferenceData!$X$14),"")</f>
        <v/>
      </c>
      <c r="Y14" t="str">
        <f ca="1">IFERROR(IF(0=LEN(ReferenceData!$Y$14),"",ReferenceData!$Y$14),"")</f>
        <v/>
      </c>
      <c r="Z14" t="str">
        <f ca="1">IFERROR(IF(0=LEN(ReferenceData!$Z$14),"",ReferenceData!$Z$14),"")</f>
        <v/>
      </c>
      <c r="AA14" t="str">
        <f ca="1">IFERROR(IF(0=LEN(ReferenceData!$AA$14),"",ReferenceData!$AA$14),"")</f>
        <v/>
      </c>
      <c r="AB14" t="str">
        <f ca="1">IFERROR(IF(0=LEN(ReferenceData!$AB$14),"",ReferenceData!$AB$14),"")</f>
        <v/>
      </c>
      <c r="AC14" t="str">
        <f ca="1">IFERROR(IF(0=LEN(ReferenceData!$AC$14),"",ReferenceData!$AC$14),"")</f>
        <v/>
      </c>
      <c r="AD14" t="str">
        <f ca="1">IFERROR(IF(0=LEN(ReferenceData!$AD$14),"",ReferenceData!$AD$14),"")</f>
        <v/>
      </c>
      <c r="AE14" t="str">
        <f ca="1">IFERROR(IF(0=LEN(ReferenceData!$AE$14),"",ReferenceData!$AE$14),"")</f>
        <v/>
      </c>
      <c r="AF14" t="str">
        <f ca="1">IFERROR(IF(0=LEN(ReferenceData!$AF$14),"",ReferenceData!$AF$14),"")</f>
        <v/>
      </c>
      <c r="AG14" t="str">
        <f ca="1">IFERROR(IF(0=LEN(ReferenceData!$AG$14),"",ReferenceData!$AG$14),"")</f>
        <v/>
      </c>
      <c r="AH14" t="str">
        <f ca="1">IFERROR(IF(0=LEN(ReferenceData!$AH$14),"",ReferenceData!$AH$14),"")</f>
        <v/>
      </c>
      <c r="AI14" t="str">
        <f ca="1">IFERROR(IF(0=LEN(ReferenceData!$AI$14),"",ReferenceData!$AI$14),"")</f>
        <v/>
      </c>
      <c r="AJ14" t="str">
        <f ca="1">IFERROR(IF(0=LEN(ReferenceData!$AJ$14),"",ReferenceData!$AJ$14),"")</f>
        <v/>
      </c>
      <c r="AK14" t="str">
        <f ca="1">IFERROR(IF(0=LEN(ReferenceData!$AK$14),"",ReferenceData!$AK$14),"")</f>
        <v/>
      </c>
      <c r="AL14" t="str">
        <f ca="1">IFERROR(IF(0=LEN(ReferenceData!$AL$14),"",ReferenceData!$AL$14),"")</f>
        <v/>
      </c>
      <c r="AM14" t="str">
        <f ca="1">IFERROR(IF(0=LEN(ReferenceData!$AM$14),"",ReferenceData!$AM$14),"")</f>
        <v/>
      </c>
      <c r="AN14" t="str">
        <f ca="1">IFERROR(IF(0=LEN(ReferenceData!$AN$14),"",ReferenceData!$AN$14),"")</f>
        <v/>
      </c>
      <c r="AO14" t="str">
        <f ca="1">IFERROR(IF(0=LEN(ReferenceData!$AO$14),"",ReferenceData!$AO$14),"")</f>
        <v/>
      </c>
      <c r="AP14" t="str">
        <f ca="1">IFERROR(IF(0=LEN(ReferenceData!$AP$14),"",ReferenceData!$AP$14),"")</f>
        <v/>
      </c>
      <c r="AQ14" t="str">
        <f ca="1">IFERROR(IF(0=LEN(ReferenceData!$AQ$14),"",ReferenceData!$AQ$14),"")</f>
        <v/>
      </c>
      <c r="AR14" t="str">
        <f ca="1">IFERROR(IF(0=LEN(ReferenceData!$AR$14),"",ReferenceData!$AR$14),"")</f>
        <v/>
      </c>
      <c r="AS14" t="str">
        <f ca="1">IFERROR(IF(0=LEN(ReferenceData!$AS$14),"",ReferenceData!$AS$14),"")</f>
        <v/>
      </c>
      <c r="AT14" t="str">
        <f ca="1">IFERROR(IF(0=LEN(ReferenceData!$AT$14),"",ReferenceData!$AT$14),"")</f>
        <v/>
      </c>
      <c r="AU14" t="str">
        <f ca="1">IFERROR(IF(0=LEN(ReferenceData!$AU$14),"",ReferenceData!$AU$14),"")</f>
        <v/>
      </c>
      <c r="AV14" t="str">
        <f ca="1">IFERROR(IF(0=LEN(ReferenceData!$AV$14),"",ReferenceData!$AV$14),"")</f>
        <v/>
      </c>
      <c r="AW14" t="str">
        <f ca="1">IFERROR(IF(0=LEN(ReferenceData!$AW$14),"",ReferenceData!$AW$14),"")</f>
        <v/>
      </c>
      <c r="AX14" t="str">
        <f ca="1">IFERROR(IF(0=LEN(ReferenceData!$AX$14),"",ReferenceData!$AX$14),"")</f>
        <v/>
      </c>
      <c r="AY14" t="str">
        <f ca="1">IFERROR(IF(0=LEN(ReferenceData!$AY$14),"",ReferenceData!$AY$14),"")</f>
        <v/>
      </c>
      <c r="AZ14" t="str">
        <f ca="1">IFERROR(IF(0=LEN(ReferenceData!$AZ$14),"",ReferenceData!$AZ$14),"")</f>
        <v/>
      </c>
      <c r="BA14" t="str">
        <f ca="1">IFERROR(IF(0=LEN(ReferenceData!$BA$14),"",ReferenceData!$BA$14),"")</f>
        <v/>
      </c>
      <c r="BB14" t="str">
        <f ca="1">IFERROR(IF(0=LEN(ReferenceData!$BB$14),"",ReferenceData!$BB$14),"")</f>
        <v/>
      </c>
      <c r="BC14" t="str">
        <f ca="1">IFERROR(IF(0=LEN(ReferenceData!$BC$14),"",ReferenceData!$BC$14),"")</f>
        <v/>
      </c>
      <c r="BD14" t="str">
        <f ca="1">IFERROR(IF(0=LEN(ReferenceData!$BD$14),"",ReferenceData!$BD$14),"")</f>
        <v/>
      </c>
      <c r="BE14" t="str">
        <f ca="1">IFERROR(IF(0=LEN(ReferenceData!$BE$14),"",ReferenceData!$BE$14),"")</f>
        <v/>
      </c>
      <c r="BF14" t="str">
        <f ca="1">IFERROR(IF(0=LEN(ReferenceData!$BF$14),"",ReferenceData!$BF$14),"")</f>
        <v/>
      </c>
      <c r="BG14" t="str">
        <f ca="1">IFERROR(IF(0=LEN(ReferenceData!$BG$14),"",ReferenceData!$BG$14),"")</f>
        <v/>
      </c>
      <c r="BH14" t="str">
        <f ca="1">IFERROR(IF(0=LEN(ReferenceData!$BH$14),"",ReferenceData!$BH$14),"")</f>
        <v/>
      </c>
      <c r="BI14" t="str">
        <f ca="1">IFERROR(IF(0=LEN(ReferenceData!$BI$14),"",ReferenceData!$BI$14),"")</f>
        <v/>
      </c>
      <c r="BJ14" t="str">
        <f ca="1">IFERROR(IF(0=LEN(ReferenceData!$BJ$14),"",ReferenceData!$BJ$14),"")</f>
        <v/>
      </c>
      <c r="BK14" t="str">
        <f ca="1">IFERROR(IF(0=LEN(ReferenceData!$BK$14),"",ReferenceData!$BK$14),"")</f>
        <v/>
      </c>
      <c r="BL14" t="str">
        <f ca="1">IFERROR(IF(0=LEN(ReferenceData!$BL$14),"",ReferenceData!$BL$14),"")</f>
        <v/>
      </c>
      <c r="BM14" t="str">
        <f ca="1">IFERROR(IF(0=LEN(ReferenceData!$BM$14),"",ReferenceData!$BM$14),"")</f>
        <v/>
      </c>
      <c r="BN14" t="str">
        <f ca="1">IFERROR(IF(0=LEN(ReferenceData!$BN$14),"",ReferenceData!$BN$14),"")</f>
        <v/>
      </c>
      <c r="BO14" t="str">
        <f ca="1">IFERROR(IF(0=LEN(ReferenceData!$BO$14),"",ReferenceData!$BO$14),"")</f>
        <v/>
      </c>
      <c r="BP14" t="str">
        <f ca="1">IFERROR(IF(0=LEN(ReferenceData!$BP$14),"",ReferenceData!$BP$14),"")</f>
        <v/>
      </c>
      <c r="BQ14" t="str">
        <f ca="1">IFERROR(IF(0=LEN(ReferenceData!$BQ$14),"",ReferenceData!$BQ$14),"")</f>
        <v/>
      </c>
      <c r="BR14" t="str">
        <f ca="1">IFERROR(IF(0=LEN(ReferenceData!$BR$14),"",ReferenceData!$BR$14),"")</f>
        <v/>
      </c>
      <c r="BS14" t="str">
        <f ca="1">IFERROR(IF(0=LEN(ReferenceData!$BS$14),"",ReferenceData!$BS$14),"")</f>
        <v/>
      </c>
      <c r="BT14" t="str">
        <f ca="1">IFERROR(IF(0=LEN(ReferenceData!$BT$14),"",ReferenceData!$BT$14),"")</f>
        <v/>
      </c>
      <c r="BU14" t="str">
        <f ca="1">IFERROR(IF(0=LEN(ReferenceData!$BU$14),"",ReferenceData!$BU$14),"")</f>
        <v/>
      </c>
      <c r="BV14" t="str">
        <f ca="1">IFERROR(IF(0=LEN(ReferenceData!$BV$14),"",ReferenceData!$BV$14),"")</f>
        <v/>
      </c>
      <c r="BW14" t="str">
        <f ca="1">IFERROR(IF(0=LEN(ReferenceData!$BW$14),"",ReferenceData!$BW$14),"")</f>
        <v/>
      </c>
      <c r="BX14" t="str">
        <f ca="1">IFERROR(IF(0=LEN(ReferenceData!$BX$14),"",ReferenceData!$BX$14),"")</f>
        <v/>
      </c>
      <c r="BY14" t="str">
        <f ca="1">IFERROR(IF(0=LEN(ReferenceData!$BY$14),"",ReferenceData!$BY$14),"")</f>
        <v/>
      </c>
      <c r="BZ14" t="str">
        <f ca="1">IFERROR(IF(0=LEN(ReferenceData!$BZ$14),"",ReferenceData!$BZ$14),"")</f>
        <v/>
      </c>
      <c r="CA14" t="str">
        <f ca="1">IFERROR(IF(0=LEN(ReferenceData!$CA$14),"",ReferenceData!$CA$14),"")</f>
        <v/>
      </c>
      <c r="CB14" t="str">
        <f ca="1">IFERROR(IF(0=LEN(ReferenceData!$CB$14),"",ReferenceData!$CB$14),"")</f>
        <v/>
      </c>
      <c r="CC14" t="str">
        <f ca="1">IFERROR(IF(0=LEN(ReferenceData!$CC$14),"",ReferenceData!$CC$14),"")</f>
        <v/>
      </c>
      <c r="CD14" t="str">
        <f ca="1">IFERROR(IF(0=LEN(ReferenceData!$CD$14),"",ReferenceData!$CD$14),"")</f>
        <v/>
      </c>
      <c r="CE14" t="str">
        <f ca="1">IFERROR(IF(0=LEN(ReferenceData!$CE$14),"",ReferenceData!$CE$14),"")</f>
        <v/>
      </c>
      <c r="CF14" t="str">
        <f ca="1">IFERROR(IF(0=LEN(ReferenceData!$CF$14),"",ReferenceData!$CF$14),"")</f>
        <v/>
      </c>
      <c r="CG14" t="str">
        <f ca="1">IFERROR(IF(0=LEN(ReferenceData!$CG$14),"",ReferenceData!$CG$14),"")</f>
        <v/>
      </c>
      <c r="CH14" t="str">
        <f ca="1">IFERROR(IF(0=LEN(ReferenceData!$CH$14),"",ReferenceData!$CH$14),"")</f>
        <v/>
      </c>
      <c r="CI14" t="str">
        <f ca="1">IFERROR(IF(0=LEN(ReferenceData!$CI$14),"",ReferenceData!$CI$14),"")</f>
        <v/>
      </c>
      <c r="CJ14" t="str">
        <f ca="1">IFERROR(IF(0=LEN(ReferenceData!$CJ$14),"",ReferenceData!$CJ$14),"")</f>
        <v/>
      </c>
      <c r="CK14" t="str">
        <f ca="1">IFERROR(IF(0=LEN(ReferenceData!$CK$14),"",ReferenceData!$CK$14),"")</f>
        <v/>
      </c>
    </row>
    <row r="15" spans="1:89" x14ac:dyDescent="0.25">
      <c r="A15" t="str">
        <f>IFERROR(IF(0=LEN(ReferenceData!$A$15),"",ReferenceData!$A$15),"")</f>
        <v>South Korea Port Container Throughput (000 TEU)</v>
      </c>
      <c r="B15" t="str">
        <f>IFERROR(IF(0=LEN(ReferenceData!$B$15),"",ReferenceData!$B$15),"")</f>
        <v>SKTSTOTL Index</v>
      </c>
      <c r="C15" t="str">
        <f>IFERROR(IF(0=LEN(ReferenceData!$C$15),"",ReferenceData!$C$15),"")</f>
        <v>PR005</v>
      </c>
      <c r="D15" t="str">
        <f>IFERROR(IF(0=LEN(ReferenceData!$D$15),"",ReferenceData!$D$15),"")</f>
        <v>PX_LAST</v>
      </c>
      <c r="E15" t="str">
        <f>IFERROR(IF(0=LEN(ReferenceData!$E$15),"",ReferenceData!$E$15),"")</f>
        <v>Dynamic</v>
      </c>
      <c r="F15" t="str">
        <f ca="1">IFERROR(IF(0=LEN(ReferenceData!$F$15),"",ReferenceData!$F$15),"")</f>
        <v/>
      </c>
      <c r="G15" t="str">
        <f ca="1">IFERROR(IF(0=LEN(ReferenceData!$G$15),"",ReferenceData!$G$15),"")</f>
        <v/>
      </c>
      <c r="H15" t="str">
        <f ca="1">IFERROR(IF(0=LEN(ReferenceData!$H$15),"",ReferenceData!$H$15),"")</f>
        <v/>
      </c>
      <c r="I15" t="str">
        <f ca="1">IFERROR(IF(0=LEN(ReferenceData!$I$15),"",ReferenceData!$I$15),"")</f>
        <v/>
      </c>
      <c r="J15" t="str">
        <f ca="1">IFERROR(IF(0=LEN(ReferenceData!$J$15),"",ReferenceData!$J$15),"")</f>
        <v/>
      </c>
      <c r="K15" t="str">
        <f ca="1">IFERROR(IF(0=LEN(ReferenceData!$K$15),"",ReferenceData!$K$15),"")</f>
        <v/>
      </c>
      <c r="L15" t="str">
        <f ca="1">IFERROR(IF(0=LEN(ReferenceData!$L$15),"",ReferenceData!$L$15),"")</f>
        <v/>
      </c>
      <c r="M15" t="str">
        <f ca="1">IFERROR(IF(0=LEN(ReferenceData!$M$15),"",ReferenceData!$M$15),"")</f>
        <v/>
      </c>
      <c r="N15" t="str">
        <f ca="1">IFERROR(IF(0=LEN(ReferenceData!$N$15),"",ReferenceData!$N$15),"")</f>
        <v/>
      </c>
      <c r="O15" t="str">
        <f ca="1">IFERROR(IF(0=LEN(ReferenceData!$O$15),"",ReferenceData!$O$15),"")</f>
        <v/>
      </c>
      <c r="P15" t="str">
        <f ca="1">IFERROR(IF(0=LEN(ReferenceData!$P$15),"",ReferenceData!$P$15),"")</f>
        <v/>
      </c>
      <c r="Q15" t="str">
        <f ca="1">IFERROR(IF(0=LEN(ReferenceData!$Q$15),"",ReferenceData!$Q$15),"")</f>
        <v/>
      </c>
      <c r="R15" t="str">
        <f ca="1">IFERROR(IF(0=LEN(ReferenceData!$R$15),"",ReferenceData!$R$15),"")</f>
        <v/>
      </c>
      <c r="S15" t="str">
        <f ca="1">IFERROR(IF(0=LEN(ReferenceData!$S$15),"",ReferenceData!$S$15),"")</f>
        <v/>
      </c>
      <c r="T15" t="str">
        <f ca="1">IFERROR(IF(0=LEN(ReferenceData!$T$15),"",ReferenceData!$T$15),"")</f>
        <v/>
      </c>
      <c r="U15" t="str">
        <f ca="1">IFERROR(IF(0=LEN(ReferenceData!$U$15),"",ReferenceData!$U$15),"")</f>
        <v/>
      </c>
      <c r="V15" t="str">
        <f ca="1">IFERROR(IF(0=LEN(ReferenceData!$V$15),"",ReferenceData!$V$15),"")</f>
        <v/>
      </c>
      <c r="W15" t="str">
        <f ca="1">IFERROR(IF(0=LEN(ReferenceData!$W$15),"",ReferenceData!$W$15),"")</f>
        <v/>
      </c>
      <c r="X15" t="str">
        <f ca="1">IFERROR(IF(0=LEN(ReferenceData!$X$15),"",ReferenceData!$X$15),"")</f>
        <v/>
      </c>
      <c r="Y15" t="str">
        <f ca="1">IFERROR(IF(0=LEN(ReferenceData!$Y$15),"",ReferenceData!$Y$15),"")</f>
        <v/>
      </c>
      <c r="Z15" t="str">
        <f ca="1">IFERROR(IF(0=LEN(ReferenceData!$Z$15),"",ReferenceData!$Z$15),"")</f>
        <v/>
      </c>
      <c r="AA15" t="str">
        <f ca="1">IFERROR(IF(0=LEN(ReferenceData!$AA$15),"",ReferenceData!$AA$15),"")</f>
        <v/>
      </c>
      <c r="AB15" t="str">
        <f ca="1">IFERROR(IF(0=LEN(ReferenceData!$AB$15),"",ReferenceData!$AB$15),"")</f>
        <v/>
      </c>
      <c r="AC15" t="str">
        <f ca="1">IFERROR(IF(0=LEN(ReferenceData!$AC$15),"",ReferenceData!$AC$15),"")</f>
        <v/>
      </c>
      <c r="AD15" t="str">
        <f ca="1">IFERROR(IF(0=LEN(ReferenceData!$AD$15),"",ReferenceData!$AD$15),"")</f>
        <v/>
      </c>
      <c r="AE15" t="str">
        <f ca="1">IFERROR(IF(0=LEN(ReferenceData!$AE$15),"",ReferenceData!$AE$15),"")</f>
        <v/>
      </c>
      <c r="AF15" t="str">
        <f ca="1">IFERROR(IF(0=LEN(ReferenceData!$AF$15),"",ReferenceData!$AF$15),"")</f>
        <v/>
      </c>
      <c r="AG15" t="str">
        <f ca="1">IFERROR(IF(0=LEN(ReferenceData!$AG$15),"",ReferenceData!$AG$15),"")</f>
        <v/>
      </c>
      <c r="AH15" t="str">
        <f ca="1">IFERROR(IF(0=LEN(ReferenceData!$AH$15),"",ReferenceData!$AH$15),"")</f>
        <v/>
      </c>
      <c r="AI15" t="str">
        <f ca="1">IFERROR(IF(0=LEN(ReferenceData!$AI$15),"",ReferenceData!$AI$15),"")</f>
        <v/>
      </c>
      <c r="AJ15" t="str">
        <f ca="1">IFERROR(IF(0=LEN(ReferenceData!$AJ$15),"",ReferenceData!$AJ$15),"")</f>
        <v/>
      </c>
      <c r="AK15" t="str">
        <f ca="1">IFERROR(IF(0=LEN(ReferenceData!$AK$15),"",ReferenceData!$AK$15),"")</f>
        <v/>
      </c>
      <c r="AL15" t="str">
        <f ca="1">IFERROR(IF(0=LEN(ReferenceData!$AL$15),"",ReferenceData!$AL$15),"")</f>
        <v/>
      </c>
      <c r="AM15" t="str">
        <f ca="1">IFERROR(IF(0=LEN(ReferenceData!$AM$15),"",ReferenceData!$AM$15),"")</f>
        <v/>
      </c>
      <c r="AN15">
        <f ca="1">IFERROR(IF(0=LEN(ReferenceData!$AN$15),"",ReferenceData!$AN$15),"")</f>
        <v>1923.9984999999999</v>
      </c>
      <c r="AO15">
        <f ca="1">IFERROR(IF(0=LEN(ReferenceData!$AO$15),"",ReferenceData!$AO$15),"")</f>
        <v>1876.3969999999999</v>
      </c>
      <c r="AP15">
        <f ca="1">IFERROR(IF(0=LEN(ReferenceData!$AP$15),"",ReferenceData!$AP$15),"")</f>
        <v>1699.9235000000001</v>
      </c>
      <c r="AQ15">
        <f ca="1">IFERROR(IF(0=LEN(ReferenceData!$AQ$15),"",ReferenceData!$AQ$15),"")</f>
        <v>1728.78925</v>
      </c>
      <c r="AR15">
        <f ca="1">IFERROR(IF(0=LEN(ReferenceData!$AR$15),"",ReferenceData!$AR$15),"")</f>
        <v>1751.31</v>
      </c>
      <c r="AS15">
        <f ca="1">IFERROR(IF(0=LEN(ReferenceData!$AS$15),"",ReferenceData!$AS$15),"")</f>
        <v>1746.5137500000001</v>
      </c>
      <c r="AT15">
        <f ca="1">IFERROR(IF(0=LEN(ReferenceData!$AT$15),"",ReferenceData!$AT$15),"")</f>
        <v>1697.2547500000001</v>
      </c>
      <c r="AU15">
        <f ca="1">IFERROR(IF(0=LEN(ReferenceData!$AU$15),"",ReferenceData!$AU$15),"")</f>
        <v>1817.8072500000001</v>
      </c>
      <c r="AV15">
        <f ca="1">IFERROR(IF(0=LEN(ReferenceData!$AV$15),"",ReferenceData!$AV$15),"")</f>
        <v>1886.8412499999999</v>
      </c>
      <c r="AW15">
        <f ca="1">IFERROR(IF(0=LEN(ReferenceData!$AW$15),"",ReferenceData!$AW$15),"")</f>
        <v>1726.7272499999999</v>
      </c>
      <c r="AX15">
        <f ca="1">IFERROR(IF(0=LEN(ReferenceData!$AX$15),"",ReferenceData!$AX$15),"")</f>
        <v>1791.039</v>
      </c>
      <c r="AY15">
        <f ca="1">IFERROR(IF(0=LEN(ReferenceData!$AY$15),"",ReferenceData!$AY$15),"")</f>
        <v>1853.5767499999999</v>
      </c>
      <c r="AZ15">
        <f ca="1">IFERROR(IF(0=LEN(ReferenceData!$AZ$15),"",ReferenceData!$AZ$15),"")</f>
        <v>1814.23325</v>
      </c>
      <c r="BA15">
        <f ca="1">IFERROR(IF(0=LEN(ReferenceData!$BA$15),"",ReferenceData!$BA$15),"")</f>
        <v>1865.0535</v>
      </c>
      <c r="BB15">
        <f ca="1">IFERROR(IF(0=LEN(ReferenceData!$BB$15),"",ReferenceData!$BB$15),"")</f>
        <v>1678.1695</v>
      </c>
      <c r="BC15">
        <f ca="1">IFERROR(IF(0=LEN(ReferenceData!$BC$15),"",ReferenceData!$BC$15),"")</f>
        <v>1809.78475</v>
      </c>
      <c r="BD15">
        <f ca="1">IFERROR(IF(0=LEN(ReferenceData!$BD$15),"",ReferenceData!$BD$15),"")</f>
        <v>1881.8632500000001</v>
      </c>
      <c r="BE15">
        <f ca="1">IFERROR(IF(0=LEN(ReferenceData!$BE$15),"",ReferenceData!$BE$15),"")</f>
        <v>1812.2045000000001</v>
      </c>
      <c r="BF15">
        <f ca="1">IFERROR(IF(0=LEN(ReferenceData!$BF$15),"",ReferenceData!$BF$15),"")</f>
        <v>1869.49325</v>
      </c>
      <c r="BG15">
        <f ca="1">IFERROR(IF(0=LEN(ReferenceData!$BG$15),"",ReferenceData!$BG$15),"")</f>
        <v>1836.44625</v>
      </c>
      <c r="BH15">
        <f ca="1">IFERROR(IF(0=LEN(ReferenceData!$BH$15),"",ReferenceData!$BH$15),"")</f>
        <v>1869.1547499999999</v>
      </c>
      <c r="BI15">
        <f ca="1">IFERROR(IF(0=LEN(ReferenceData!$BI$15),"",ReferenceData!$BI$15),"")</f>
        <v>1656.82925</v>
      </c>
      <c r="BJ15">
        <f ca="1">IFERROR(IF(0=LEN(ReferenceData!$BJ$15),"",ReferenceData!$BJ$15),"")</f>
        <v>1793.0775000000001</v>
      </c>
      <c r="BK15">
        <f ca="1">IFERROR(IF(0=LEN(ReferenceData!$BK$15),"",ReferenceData!$BK$15),"")</f>
        <v>1814.44175</v>
      </c>
      <c r="BL15">
        <f ca="1">IFERROR(IF(0=LEN(ReferenceData!$BL$15),"",ReferenceData!$BL$15),"")</f>
        <v>1901.0039999999999</v>
      </c>
      <c r="BM15">
        <f ca="1">IFERROR(IF(0=LEN(ReferenceData!$BM$15),"",ReferenceData!$BM$15),"")</f>
        <v>1796.02575</v>
      </c>
      <c r="BN15">
        <f ca="1">IFERROR(IF(0=LEN(ReferenceData!$BN$15),"",ReferenceData!$BN$15),"")</f>
        <v>1827.6087500000001</v>
      </c>
      <c r="BO15">
        <f ca="1">IFERROR(IF(0=LEN(ReferenceData!$BO$15),"",ReferenceData!$BO$15),"")</f>
        <v>1756.9955</v>
      </c>
      <c r="BP15">
        <f ca="1">IFERROR(IF(0=LEN(ReferenceData!$BP$15),"",ReferenceData!$BP$15),"")</f>
        <v>1833.47</v>
      </c>
      <c r="BQ15">
        <f ca="1">IFERROR(IF(0=LEN(ReferenceData!$BQ$15),"",ReferenceData!$BQ$15),"")</f>
        <v>1822.1457499999999</v>
      </c>
      <c r="BR15">
        <f ca="1">IFERROR(IF(0=LEN(ReferenceData!$BR$15),"",ReferenceData!$BR$15),"")</f>
        <v>1880.7294999999999</v>
      </c>
      <c r="BS15">
        <f ca="1">IFERROR(IF(0=LEN(ReferenceData!$BS$15),"",ReferenceData!$BS$15),"")</f>
        <v>1784.7697499999999</v>
      </c>
      <c r="BT15">
        <f ca="1">IFERROR(IF(0=LEN(ReferenceData!$BT$15),"",ReferenceData!$BT$15),"")</f>
        <v>1752.6857500000001</v>
      </c>
      <c r="BU15">
        <f ca="1">IFERROR(IF(0=LEN(ReferenceData!$BU$15),"",ReferenceData!$BU$15),"")</f>
        <v>1657.51775</v>
      </c>
      <c r="BV15">
        <f ca="1">IFERROR(IF(0=LEN(ReferenceData!$BV$15),"",ReferenceData!$BV$15),"")</f>
        <v>1686.6947500000001</v>
      </c>
      <c r="BW15">
        <f ca="1">IFERROR(IF(0=LEN(ReferenceData!$BW$15),"",ReferenceData!$BW$15),"")</f>
        <v>1743.8834999999999</v>
      </c>
      <c r="BX15">
        <f ca="1">IFERROR(IF(0=LEN(ReferenceData!$BX$15),"",ReferenceData!$BX$15),"")</f>
        <v>1714.9092499999999</v>
      </c>
      <c r="BY15">
        <f ca="1">IFERROR(IF(0=LEN(ReferenceData!$BY$15),"",ReferenceData!$BY$15),"")</f>
        <v>1667.3530000000001</v>
      </c>
      <c r="BZ15">
        <f ca="1">IFERROR(IF(0=LEN(ReferenceData!$BZ$15),"",ReferenceData!$BZ$15),"")</f>
        <v>1671.329</v>
      </c>
      <c r="CA15">
        <f ca="1">IFERROR(IF(0=LEN(ReferenceData!$CA$15),"",ReferenceData!$CA$15),"")</f>
        <v>1702.03775</v>
      </c>
      <c r="CB15">
        <f ca="1">IFERROR(IF(0=LEN(ReferenceData!$CB$15),"",ReferenceData!$CB$15),"")</f>
        <v>1752.0675000000001</v>
      </c>
      <c r="CC15">
        <f ca="1">IFERROR(IF(0=LEN(ReferenceData!$CC$15),"",ReferenceData!$CC$15),"")</f>
        <v>1661.7835</v>
      </c>
      <c r="CD15">
        <f ca="1">IFERROR(IF(0=LEN(ReferenceData!$CD$15),"",ReferenceData!$CD$15),"")</f>
        <v>1786.5754999999999</v>
      </c>
      <c r="CE15">
        <f ca="1">IFERROR(IF(0=LEN(ReferenceData!$CE$15),"",ReferenceData!$CE$15),"")</f>
        <v>1766.5709999999999</v>
      </c>
      <c r="CF15">
        <f ca="1">IFERROR(IF(0=LEN(ReferenceData!$CF$15),"",ReferenceData!$CF$15),"")</f>
        <v>1741.5335</v>
      </c>
      <c r="CG15">
        <f ca="1">IFERROR(IF(0=LEN(ReferenceData!$CG$15),"",ReferenceData!$CG$15),"")</f>
        <v>1503.7159999999999</v>
      </c>
      <c r="CH15">
        <f ca="1">IFERROR(IF(0=LEN(ReferenceData!$CH$15),"",ReferenceData!$CH$15),"")</f>
        <v>1645.8530000000001</v>
      </c>
      <c r="CI15">
        <f ca="1">IFERROR(IF(0=LEN(ReferenceData!$CI$15),"",ReferenceData!$CI$15),"")</f>
        <v>1626.3217500000001</v>
      </c>
      <c r="CJ15">
        <f ca="1">IFERROR(IF(0=LEN(ReferenceData!$CJ$15),"",ReferenceData!$CJ$15),"")</f>
        <v>1635.3732500000001</v>
      </c>
      <c r="CK15">
        <f ca="1">IFERROR(IF(0=LEN(ReferenceData!$CK$15),"",ReferenceData!$CK$15),"")</f>
        <v>1650.19625</v>
      </c>
    </row>
    <row r="16" spans="1:89" x14ac:dyDescent="0.25">
      <c r="A16" t="str">
        <f>IFERROR(IF(0=LEN(ReferenceData!$A$16),"",ReferenceData!$A$16),"")</f>
        <v>South Korea Busan Port Authority</v>
      </c>
      <c r="B16" t="str">
        <f>IFERROR(IF(0=LEN(ReferenceData!$B$16),"",ReferenceData!$B$16),"")</f>
        <v/>
      </c>
      <c r="C16" t="str">
        <f>IFERROR(IF(0=LEN(ReferenceData!$C$16),"",ReferenceData!$C$16),"")</f>
        <v/>
      </c>
      <c r="D16" t="str">
        <f>IFERROR(IF(0=LEN(ReferenceData!$D$16),"",ReferenceData!$D$16),"")</f>
        <v/>
      </c>
      <c r="E16" t="str">
        <f>IFERROR(IF(0=LEN(ReferenceData!$E$16),"",ReferenceData!$E$16),"")</f>
        <v>Heading</v>
      </c>
      <c r="F16" t="str">
        <f>IFERROR(IF(0=LEN(ReferenceData!$F$16),"",ReferenceData!$F$16),"")</f>
        <v/>
      </c>
      <c r="G16" t="str">
        <f>IFERROR(IF(0=LEN(ReferenceData!$G$16),"",ReferenceData!$G$16),"")</f>
        <v/>
      </c>
      <c r="H16" t="str">
        <f>IFERROR(IF(0=LEN(ReferenceData!$H$16),"",ReferenceData!$H$16),"")</f>
        <v/>
      </c>
      <c r="I16" t="str">
        <f>IFERROR(IF(0=LEN(ReferenceData!$I$16),"",ReferenceData!$I$16),"")</f>
        <v/>
      </c>
      <c r="J16" t="str">
        <f>IFERROR(IF(0=LEN(ReferenceData!$J$16),"",ReferenceData!$J$16),"")</f>
        <v/>
      </c>
      <c r="K16" t="str">
        <f>IFERROR(IF(0=LEN(ReferenceData!$K$16),"",ReferenceData!$K$16),"")</f>
        <v/>
      </c>
      <c r="L16" t="str">
        <f>IFERROR(IF(0=LEN(ReferenceData!$L$16),"",ReferenceData!$L$16),"")</f>
        <v/>
      </c>
      <c r="M16" t="str">
        <f>IFERROR(IF(0=LEN(ReferenceData!$M$16),"",ReferenceData!$M$16),"")</f>
        <v/>
      </c>
      <c r="N16" t="str">
        <f>IFERROR(IF(0=LEN(ReferenceData!$N$16),"",ReferenceData!$N$16),"")</f>
        <v/>
      </c>
      <c r="O16" t="str">
        <f>IFERROR(IF(0=LEN(ReferenceData!$O$16),"",ReferenceData!$O$16),"")</f>
        <v/>
      </c>
      <c r="P16" t="str">
        <f>IFERROR(IF(0=LEN(ReferenceData!$P$16),"",ReferenceData!$P$16),"")</f>
        <v/>
      </c>
      <c r="Q16" t="str">
        <f>IFERROR(IF(0=LEN(ReferenceData!$Q$16),"",ReferenceData!$Q$16),"")</f>
        <v/>
      </c>
      <c r="R16" t="str">
        <f>IFERROR(IF(0=LEN(ReferenceData!$R$16),"",ReferenceData!$R$16),"")</f>
        <v/>
      </c>
      <c r="S16" t="str">
        <f>IFERROR(IF(0=LEN(ReferenceData!$S$16),"",ReferenceData!$S$16),"")</f>
        <v/>
      </c>
      <c r="T16" t="str">
        <f>IFERROR(IF(0=LEN(ReferenceData!$T$16),"",ReferenceData!$T$16),"")</f>
        <v/>
      </c>
      <c r="U16" t="str">
        <f>IFERROR(IF(0=LEN(ReferenceData!$U$16),"",ReferenceData!$U$16),"")</f>
        <v/>
      </c>
      <c r="V16" t="str">
        <f>IFERROR(IF(0=LEN(ReferenceData!$V$16),"",ReferenceData!$V$16),"")</f>
        <v/>
      </c>
      <c r="W16" t="str">
        <f>IFERROR(IF(0=LEN(ReferenceData!$W$16),"",ReferenceData!$W$16),"")</f>
        <v/>
      </c>
      <c r="X16" t="str">
        <f>IFERROR(IF(0=LEN(ReferenceData!$X$16),"",ReferenceData!$X$16),"")</f>
        <v/>
      </c>
      <c r="Y16" t="str">
        <f>IFERROR(IF(0=LEN(ReferenceData!$Y$16),"",ReferenceData!$Y$16),"")</f>
        <v/>
      </c>
      <c r="Z16" t="str">
        <f>IFERROR(IF(0=LEN(ReferenceData!$Z$16),"",ReferenceData!$Z$16),"")</f>
        <v/>
      </c>
      <c r="AA16" t="str">
        <f>IFERROR(IF(0=LEN(ReferenceData!$AA$16),"",ReferenceData!$AA$16),"")</f>
        <v/>
      </c>
      <c r="AB16" t="str">
        <f>IFERROR(IF(0=LEN(ReferenceData!$AB$16),"",ReferenceData!$AB$16),"")</f>
        <v/>
      </c>
      <c r="AC16" t="str">
        <f>IFERROR(IF(0=LEN(ReferenceData!$AC$16),"",ReferenceData!$AC$16),"")</f>
        <v/>
      </c>
      <c r="AD16" t="str">
        <f>IFERROR(IF(0=LEN(ReferenceData!$AD$16),"",ReferenceData!$AD$16),"")</f>
        <v/>
      </c>
      <c r="AE16" t="str">
        <f>IFERROR(IF(0=LEN(ReferenceData!$AE$16),"",ReferenceData!$AE$16),"")</f>
        <v/>
      </c>
      <c r="AF16" t="str">
        <f>IFERROR(IF(0=LEN(ReferenceData!$AF$16),"",ReferenceData!$AF$16),"")</f>
        <v/>
      </c>
      <c r="AG16" t="str">
        <f>IFERROR(IF(0=LEN(ReferenceData!$AG$16),"",ReferenceData!$AG$16),"")</f>
        <v/>
      </c>
      <c r="AH16" t="str">
        <f>IFERROR(IF(0=LEN(ReferenceData!$AH$16),"",ReferenceData!$AH$16),"")</f>
        <v/>
      </c>
      <c r="AI16" t="str">
        <f>IFERROR(IF(0=LEN(ReferenceData!$AI$16),"",ReferenceData!$AI$16),"")</f>
        <v/>
      </c>
      <c r="AJ16" t="str">
        <f>IFERROR(IF(0=LEN(ReferenceData!$AJ$16),"",ReferenceData!$AJ$16),"")</f>
        <v/>
      </c>
      <c r="AK16" t="str">
        <f>IFERROR(IF(0=LEN(ReferenceData!$AK$16),"",ReferenceData!$AK$16),"")</f>
        <v/>
      </c>
      <c r="AL16" t="str">
        <f>IFERROR(IF(0=LEN(ReferenceData!$AL$16),"",ReferenceData!$AL$16),"")</f>
        <v/>
      </c>
      <c r="AM16" t="str">
        <f>IFERROR(IF(0=LEN(ReferenceData!$AM$16),"",ReferenceData!$AM$16),"")</f>
        <v/>
      </c>
      <c r="AN16" t="str">
        <f>IFERROR(IF(0=LEN(ReferenceData!$AN$16),"",ReferenceData!$AN$16),"")</f>
        <v/>
      </c>
      <c r="AO16" t="str">
        <f>IFERROR(IF(0=LEN(ReferenceData!$AO$16),"",ReferenceData!$AO$16),"")</f>
        <v/>
      </c>
      <c r="AP16" t="str">
        <f>IFERROR(IF(0=LEN(ReferenceData!$AP$16),"",ReferenceData!$AP$16),"")</f>
        <v/>
      </c>
      <c r="AQ16" t="str">
        <f>IFERROR(IF(0=LEN(ReferenceData!$AQ$16),"",ReferenceData!$AQ$16),"")</f>
        <v/>
      </c>
      <c r="AR16" t="str">
        <f>IFERROR(IF(0=LEN(ReferenceData!$AR$16),"",ReferenceData!$AR$16),"")</f>
        <v/>
      </c>
      <c r="AS16" t="str">
        <f>IFERROR(IF(0=LEN(ReferenceData!$AS$16),"",ReferenceData!$AS$16),"")</f>
        <v/>
      </c>
      <c r="AT16" t="str">
        <f>IFERROR(IF(0=LEN(ReferenceData!$AT$16),"",ReferenceData!$AT$16),"")</f>
        <v/>
      </c>
      <c r="AU16" t="str">
        <f>IFERROR(IF(0=LEN(ReferenceData!$AU$16),"",ReferenceData!$AU$16),"")</f>
        <v/>
      </c>
      <c r="AV16" t="str">
        <f>IFERROR(IF(0=LEN(ReferenceData!$AV$16),"",ReferenceData!$AV$16),"")</f>
        <v/>
      </c>
      <c r="AW16" t="str">
        <f>IFERROR(IF(0=LEN(ReferenceData!$AW$16),"",ReferenceData!$AW$16),"")</f>
        <v/>
      </c>
      <c r="AX16" t="str">
        <f>IFERROR(IF(0=LEN(ReferenceData!$AX$16),"",ReferenceData!$AX$16),"")</f>
        <v/>
      </c>
      <c r="AY16" t="str">
        <f>IFERROR(IF(0=LEN(ReferenceData!$AY$16),"",ReferenceData!$AY$16),"")</f>
        <v/>
      </c>
      <c r="AZ16" t="str">
        <f>IFERROR(IF(0=LEN(ReferenceData!$AZ$16),"",ReferenceData!$AZ$16),"")</f>
        <v/>
      </c>
      <c r="BA16" t="str">
        <f>IFERROR(IF(0=LEN(ReferenceData!$BA$16),"",ReferenceData!$BA$16),"")</f>
        <v/>
      </c>
      <c r="BB16" t="str">
        <f>IFERROR(IF(0=LEN(ReferenceData!$BB$16),"",ReferenceData!$BB$16),"")</f>
        <v/>
      </c>
      <c r="BC16" t="str">
        <f>IFERROR(IF(0=LEN(ReferenceData!$BC$16),"",ReferenceData!$BC$16),"")</f>
        <v/>
      </c>
      <c r="BD16" t="str">
        <f>IFERROR(IF(0=LEN(ReferenceData!$BD$16),"",ReferenceData!$BD$16),"")</f>
        <v/>
      </c>
      <c r="BE16" t="str">
        <f>IFERROR(IF(0=LEN(ReferenceData!$BE$16),"",ReferenceData!$BE$16),"")</f>
        <v/>
      </c>
      <c r="BF16" t="str">
        <f>IFERROR(IF(0=LEN(ReferenceData!$BF$16),"",ReferenceData!$BF$16),"")</f>
        <v/>
      </c>
      <c r="BG16" t="str">
        <f>IFERROR(IF(0=LEN(ReferenceData!$BG$16),"",ReferenceData!$BG$16),"")</f>
        <v/>
      </c>
      <c r="BH16" t="str">
        <f>IFERROR(IF(0=LEN(ReferenceData!$BH$16),"",ReferenceData!$BH$16),"")</f>
        <v/>
      </c>
      <c r="BI16" t="str">
        <f>IFERROR(IF(0=LEN(ReferenceData!$BI$16),"",ReferenceData!$BI$16),"")</f>
        <v/>
      </c>
      <c r="BJ16" t="str">
        <f>IFERROR(IF(0=LEN(ReferenceData!$BJ$16),"",ReferenceData!$BJ$16),"")</f>
        <v/>
      </c>
      <c r="BK16" t="str">
        <f>IFERROR(IF(0=LEN(ReferenceData!$BK$16),"",ReferenceData!$BK$16),"")</f>
        <v/>
      </c>
      <c r="BL16" t="str">
        <f>IFERROR(IF(0=LEN(ReferenceData!$BL$16),"",ReferenceData!$BL$16),"")</f>
        <v/>
      </c>
      <c r="BM16" t="str">
        <f>IFERROR(IF(0=LEN(ReferenceData!$BM$16),"",ReferenceData!$BM$16),"")</f>
        <v/>
      </c>
      <c r="BN16" t="str">
        <f>IFERROR(IF(0=LEN(ReferenceData!$BN$16),"",ReferenceData!$BN$16),"")</f>
        <v/>
      </c>
      <c r="BO16" t="str">
        <f>IFERROR(IF(0=LEN(ReferenceData!$BO$16),"",ReferenceData!$BO$16),"")</f>
        <v/>
      </c>
      <c r="BP16" t="str">
        <f>IFERROR(IF(0=LEN(ReferenceData!$BP$16),"",ReferenceData!$BP$16),"")</f>
        <v/>
      </c>
      <c r="BQ16" t="str">
        <f>IFERROR(IF(0=LEN(ReferenceData!$BQ$16),"",ReferenceData!$BQ$16),"")</f>
        <v/>
      </c>
      <c r="BR16" t="str">
        <f>IFERROR(IF(0=LEN(ReferenceData!$BR$16),"",ReferenceData!$BR$16),"")</f>
        <v/>
      </c>
      <c r="BS16" t="str">
        <f>IFERROR(IF(0=LEN(ReferenceData!$BS$16),"",ReferenceData!$BS$16),"")</f>
        <v/>
      </c>
      <c r="BT16" t="str">
        <f>IFERROR(IF(0=LEN(ReferenceData!$BT$16),"",ReferenceData!$BT$16),"")</f>
        <v/>
      </c>
      <c r="BU16" t="str">
        <f>IFERROR(IF(0=LEN(ReferenceData!$BU$16),"",ReferenceData!$BU$16),"")</f>
        <v/>
      </c>
      <c r="BV16" t="str">
        <f>IFERROR(IF(0=LEN(ReferenceData!$BV$16),"",ReferenceData!$BV$16),"")</f>
        <v/>
      </c>
      <c r="BW16" t="str">
        <f>IFERROR(IF(0=LEN(ReferenceData!$BW$16),"",ReferenceData!$BW$16),"")</f>
        <v/>
      </c>
      <c r="BX16" t="str">
        <f>IFERROR(IF(0=LEN(ReferenceData!$BX$16),"",ReferenceData!$BX$16),"")</f>
        <v/>
      </c>
      <c r="BY16" t="str">
        <f>IFERROR(IF(0=LEN(ReferenceData!$BY$16),"",ReferenceData!$BY$16),"")</f>
        <v/>
      </c>
      <c r="BZ16" t="str">
        <f>IFERROR(IF(0=LEN(ReferenceData!$BZ$16),"",ReferenceData!$BZ$16),"")</f>
        <v/>
      </c>
      <c r="CA16" t="str">
        <f>IFERROR(IF(0=LEN(ReferenceData!$CA$16),"",ReferenceData!$CA$16),"")</f>
        <v/>
      </c>
      <c r="CB16" t="str">
        <f>IFERROR(IF(0=LEN(ReferenceData!$CB$16),"",ReferenceData!$CB$16),"")</f>
        <v/>
      </c>
      <c r="CC16" t="str">
        <f>IFERROR(IF(0=LEN(ReferenceData!$CC$16),"",ReferenceData!$CC$16),"")</f>
        <v/>
      </c>
      <c r="CD16" t="str">
        <f>IFERROR(IF(0=LEN(ReferenceData!$CD$16),"",ReferenceData!$CD$16),"")</f>
        <v/>
      </c>
      <c r="CE16" t="str">
        <f>IFERROR(IF(0=LEN(ReferenceData!$CE$16),"",ReferenceData!$CE$16),"")</f>
        <v/>
      </c>
      <c r="CF16" t="str">
        <f>IFERROR(IF(0=LEN(ReferenceData!$CF$16),"",ReferenceData!$CF$16),"")</f>
        <v/>
      </c>
      <c r="CG16" t="str">
        <f>IFERROR(IF(0=LEN(ReferenceData!$CG$16),"",ReferenceData!$CG$16),"")</f>
        <v/>
      </c>
      <c r="CH16" t="str">
        <f>IFERROR(IF(0=LEN(ReferenceData!$CH$16),"",ReferenceData!$CH$16),"")</f>
        <v/>
      </c>
      <c r="CI16" t="str">
        <f>IFERROR(IF(0=LEN(ReferenceData!$CI$16),"",ReferenceData!$CI$16),"")</f>
        <v/>
      </c>
      <c r="CJ16" t="str">
        <f>IFERROR(IF(0=LEN(ReferenceData!$CJ$16),"",ReferenceData!$CJ$16),"")</f>
        <v/>
      </c>
      <c r="CK16" t="str">
        <f>IFERROR(IF(0=LEN(ReferenceData!$CK$16),"",ReferenceData!$CK$16),"")</f>
        <v/>
      </c>
    </row>
    <row r="17" spans="1:89" x14ac:dyDescent="0.25">
      <c r="A17" t="str">
        <f>IFERROR(IF(0=LEN(ReferenceData!$A$17),"",ReferenceData!$A$17),"")</f>
        <v/>
      </c>
      <c r="B17" t="str">
        <f>IFERROR(IF(0=LEN(ReferenceData!$B$17),"",ReferenceData!$B$17),"")</f>
        <v/>
      </c>
      <c r="C17" t="str">
        <f>IFERROR(IF(0=LEN(ReferenceData!$C$17),"",ReferenceData!$C$17),"")</f>
        <v/>
      </c>
      <c r="D17" t="str">
        <f>IFERROR(IF(0=LEN(ReferenceData!$D$17),"",ReferenceData!$D$17),"")</f>
        <v/>
      </c>
      <c r="E17" t="str">
        <f>IFERROR(IF(0=LEN(ReferenceData!$E$17),"",ReferenceData!$E$17),"")</f>
        <v>Static</v>
      </c>
      <c r="F17" t="str">
        <f ca="1">IFERROR(IF(0=LEN(ReferenceData!$F$17),"",ReferenceData!$F$17),"")</f>
        <v/>
      </c>
      <c r="G17" t="str">
        <f ca="1">IFERROR(IF(0=LEN(ReferenceData!$G$17),"",ReferenceData!$G$17),"")</f>
        <v/>
      </c>
      <c r="H17" t="str">
        <f ca="1">IFERROR(IF(0=LEN(ReferenceData!$H$17),"",ReferenceData!$H$17),"")</f>
        <v/>
      </c>
      <c r="I17" t="str">
        <f ca="1">IFERROR(IF(0=LEN(ReferenceData!$I$17),"",ReferenceData!$I$17),"")</f>
        <v/>
      </c>
      <c r="J17" t="str">
        <f ca="1">IFERROR(IF(0=LEN(ReferenceData!$J$17),"",ReferenceData!$J$17),"")</f>
        <v/>
      </c>
      <c r="K17" t="str">
        <f ca="1">IFERROR(IF(0=LEN(ReferenceData!$K$17),"",ReferenceData!$K$17),"")</f>
        <v/>
      </c>
      <c r="L17" t="str">
        <f ca="1">IFERROR(IF(0=LEN(ReferenceData!$L$17),"",ReferenceData!$L$17),"")</f>
        <v/>
      </c>
      <c r="M17" t="str">
        <f ca="1">IFERROR(IF(0=LEN(ReferenceData!$M$17),"",ReferenceData!$M$17),"")</f>
        <v/>
      </c>
      <c r="N17" t="str">
        <f ca="1">IFERROR(IF(0=LEN(ReferenceData!$N$17),"",ReferenceData!$N$17),"")</f>
        <v/>
      </c>
      <c r="O17" t="str">
        <f ca="1">IFERROR(IF(0=LEN(ReferenceData!$O$17),"",ReferenceData!$O$17),"")</f>
        <v/>
      </c>
      <c r="P17" t="str">
        <f ca="1">IFERROR(IF(0=LEN(ReferenceData!$P$17),"",ReferenceData!$P$17),"")</f>
        <v/>
      </c>
      <c r="Q17" t="str">
        <f ca="1">IFERROR(IF(0=LEN(ReferenceData!$Q$17),"",ReferenceData!$Q$17),"")</f>
        <v/>
      </c>
      <c r="R17" t="str">
        <f ca="1">IFERROR(IF(0=LEN(ReferenceData!$R$17),"",ReferenceData!$R$17),"")</f>
        <v/>
      </c>
      <c r="S17" t="str">
        <f ca="1">IFERROR(IF(0=LEN(ReferenceData!$S$17),"",ReferenceData!$S$17),"")</f>
        <v/>
      </c>
      <c r="T17" t="str">
        <f ca="1">IFERROR(IF(0=LEN(ReferenceData!$T$17),"",ReferenceData!$T$17),"")</f>
        <v/>
      </c>
      <c r="U17" t="str">
        <f ca="1">IFERROR(IF(0=LEN(ReferenceData!$U$17),"",ReferenceData!$U$17),"")</f>
        <v/>
      </c>
      <c r="V17" t="str">
        <f ca="1">IFERROR(IF(0=LEN(ReferenceData!$V$17),"",ReferenceData!$V$17),"")</f>
        <v/>
      </c>
      <c r="W17" t="str">
        <f ca="1">IFERROR(IF(0=LEN(ReferenceData!$W$17),"",ReferenceData!$W$17),"")</f>
        <v/>
      </c>
      <c r="X17" t="str">
        <f ca="1">IFERROR(IF(0=LEN(ReferenceData!$X$17),"",ReferenceData!$X$17),"")</f>
        <v/>
      </c>
      <c r="Y17" t="str">
        <f ca="1">IFERROR(IF(0=LEN(ReferenceData!$Y$17),"",ReferenceData!$Y$17),"")</f>
        <v/>
      </c>
      <c r="Z17" t="str">
        <f ca="1">IFERROR(IF(0=LEN(ReferenceData!$Z$17),"",ReferenceData!$Z$17),"")</f>
        <v/>
      </c>
      <c r="AA17" t="str">
        <f ca="1">IFERROR(IF(0=LEN(ReferenceData!$AA$17),"",ReferenceData!$AA$17),"")</f>
        <v/>
      </c>
      <c r="AB17" t="str">
        <f ca="1">IFERROR(IF(0=LEN(ReferenceData!$AB$17),"",ReferenceData!$AB$17),"")</f>
        <v/>
      </c>
      <c r="AC17" t="str">
        <f ca="1">IFERROR(IF(0=LEN(ReferenceData!$AC$17),"",ReferenceData!$AC$17),"")</f>
        <v/>
      </c>
      <c r="AD17" t="str">
        <f ca="1">IFERROR(IF(0=LEN(ReferenceData!$AD$17),"",ReferenceData!$AD$17),"")</f>
        <v/>
      </c>
      <c r="AE17" t="str">
        <f ca="1">IFERROR(IF(0=LEN(ReferenceData!$AE$17),"",ReferenceData!$AE$17),"")</f>
        <v/>
      </c>
      <c r="AF17" t="str">
        <f ca="1">IFERROR(IF(0=LEN(ReferenceData!$AF$17),"",ReferenceData!$AF$17),"")</f>
        <v/>
      </c>
      <c r="AG17" t="str">
        <f ca="1">IFERROR(IF(0=LEN(ReferenceData!$AG$17),"",ReferenceData!$AG$17),"")</f>
        <v/>
      </c>
      <c r="AH17" t="str">
        <f ca="1">IFERROR(IF(0=LEN(ReferenceData!$AH$17),"",ReferenceData!$AH$17),"")</f>
        <v/>
      </c>
      <c r="AI17" t="str">
        <f ca="1">IFERROR(IF(0=LEN(ReferenceData!$AI$17),"",ReferenceData!$AI$17),"")</f>
        <v/>
      </c>
      <c r="AJ17" t="str">
        <f ca="1">IFERROR(IF(0=LEN(ReferenceData!$AJ$17),"",ReferenceData!$AJ$17),"")</f>
        <v/>
      </c>
      <c r="AK17" t="str">
        <f ca="1">IFERROR(IF(0=LEN(ReferenceData!$AK$17),"",ReferenceData!$AK$17),"")</f>
        <v/>
      </c>
      <c r="AL17" t="str">
        <f ca="1">IFERROR(IF(0=LEN(ReferenceData!$AL$17),"",ReferenceData!$AL$17),"")</f>
        <v/>
      </c>
      <c r="AM17" t="str">
        <f ca="1">IFERROR(IF(0=LEN(ReferenceData!$AM$17),"",ReferenceData!$AM$17),"")</f>
        <v/>
      </c>
      <c r="AN17" t="str">
        <f ca="1">IFERROR(IF(0=LEN(ReferenceData!$AN$17),"",ReferenceData!$AN$17),"")</f>
        <v/>
      </c>
      <c r="AO17" t="str">
        <f ca="1">IFERROR(IF(0=LEN(ReferenceData!$AO$17),"",ReferenceData!$AO$17),"")</f>
        <v/>
      </c>
      <c r="AP17" t="str">
        <f ca="1">IFERROR(IF(0=LEN(ReferenceData!$AP$17),"",ReferenceData!$AP$17),"")</f>
        <v/>
      </c>
      <c r="AQ17" t="str">
        <f ca="1">IFERROR(IF(0=LEN(ReferenceData!$AQ$17),"",ReferenceData!$AQ$17),"")</f>
        <v/>
      </c>
      <c r="AR17" t="str">
        <f ca="1">IFERROR(IF(0=LEN(ReferenceData!$AR$17),"",ReferenceData!$AR$17),"")</f>
        <v/>
      </c>
      <c r="AS17" t="str">
        <f ca="1">IFERROR(IF(0=LEN(ReferenceData!$AS$17),"",ReferenceData!$AS$17),"")</f>
        <v/>
      </c>
      <c r="AT17" t="str">
        <f ca="1">IFERROR(IF(0=LEN(ReferenceData!$AT$17),"",ReferenceData!$AT$17),"")</f>
        <v/>
      </c>
      <c r="AU17" t="str">
        <f ca="1">IFERROR(IF(0=LEN(ReferenceData!$AU$17),"",ReferenceData!$AU$17),"")</f>
        <v/>
      </c>
      <c r="AV17" t="str">
        <f ca="1">IFERROR(IF(0=LEN(ReferenceData!$AV$17),"",ReferenceData!$AV$17),"")</f>
        <v/>
      </c>
      <c r="AW17" t="str">
        <f ca="1">IFERROR(IF(0=LEN(ReferenceData!$AW$17),"",ReferenceData!$AW$17),"")</f>
        <v/>
      </c>
      <c r="AX17" t="str">
        <f ca="1">IFERROR(IF(0=LEN(ReferenceData!$AX$17),"",ReferenceData!$AX$17),"")</f>
        <v/>
      </c>
      <c r="AY17" t="str">
        <f ca="1">IFERROR(IF(0=LEN(ReferenceData!$AY$17),"",ReferenceData!$AY$17),"")</f>
        <v/>
      </c>
      <c r="AZ17" t="str">
        <f ca="1">IFERROR(IF(0=LEN(ReferenceData!$AZ$17),"",ReferenceData!$AZ$17),"")</f>
        <v/>
      </c>
      <c r="BA17" t="str">
        <f ca="1">IFERROR(IF(0=LEN(ReferenceData!$BA$17),"",ReferenceData!$BA$17),"")</f>
        <v/>
      </c>
      <c r="BB17" t="str">
        <f ca="1">IFERROR(IF(0=LEN(ReferenceData!$BB$17),"",ReferenceData!$BB$17),"")</f>
        <v/>
      </c>
      <c r="BC17" t="str">
        <f ca="1">IFERROR(IF(0=LEN(ReferenceData!$BC$17),"",ReferenceData!$BC$17),"")</f>
        <v/>
      </c>
      <c r="BD17" t="str">
        <f ca="1">IFERROR(IF(0=LEN(ReferenceData!$BD$17),"",ReferenceData!$BD$17),"")</f>
        <v/>
      </c>
      <c r="BE17" t="str">
        <f ca="1">IFERROR(IF(0=LEN(ReferenceData!$BE$17),"",ReferenceData!$BE$17),"")</f>
        <v/>
      </c>
      <c r="BF17" t="str">
        <f ca="1">IFERROR(IF(0=LEN(ReferenceData!$BF$17),"",ReferenceData!$BF$17),"")</f>
        <v/>
      </c>
      <c r="BG17" t="str">
        <f ca="1">IFERROR(IF(0=LEN(ReferenceData!$BG$17),"",ReferenceData!$BG$17),"")</f>
        <v/>
      </c>
      <c r="BH17" t="str">
        <f ca="1">IFERROR(IF(0=LEN(ReferenceData!$BH$17),"",ReferenceData!$BH$17),"")</f>
        <v/>
      </c>
      <c r="BI17" t="str">
        <f ca="1">IFERROR(IF(0=LEN(ReferenceData!$BI$17),"",ReferenceData!$BI$17),"")</f>
        <v/>
      </c>
      <c r="BJ17" t="str">
        <f ca="1">IFERROR(IF(0=LEN(ReferenceData!$BJ$17),"",ReferenceData!$BJ$17),"")</f>
        <v/>
      </c>
      <c r="BK17" t="str">
        <f ca="1">IFERROR(IF(0=LEN(ReferenceData!$BK$17),"",ReferenceData!$BK$17),"")</f>
        <v/>
      </c>
      <c r="BL17" t="str">
        <f ca="1">IFERROR(IF(0=LEN(ReferenceData!$BL$17),"",ReferenceData!$BL$17),"")</f>
        <v/>
      </c>
      <c r="BM17" t="str">
        <f ca="1">IFERROR(IF(0=LEN(ReferenceData!$BM$17),"",ReferenceData!$BM$17),"")</f>
        <v/>
      </c>
      <c r="BN17" t="str">
        <f ca="1">IFERROR(IF(0=LEN(ReferenceData!$BN$17),"",ReferenceData!$BN$17),"")</f>
        <v/>
      </c>
      <c r="BO17" t="str">
        <f ca="1">IFERROR(IF(0=LEN(ReferenceData!$BO$17),"",ReferenceData!$BO$17),"")</f>
        <v/>
      </c>
      <c r="BP17" t="str">
        <f ca="1">IFERROR(IF(0=LEN(ReferenceData!$BP$17),"",ReferenceData!$BP$17),"")</f>
        <v/>
      </c>
      <c r="BQ17" t="str">
        <f ca="1">IFERROR(IF(0=LEN(ReferenceData!$BQ$17),"",ReferenceData!$BQ$17),"")</f>
        <v/>
      </c>
      <c r="BR17" t="str">
        <f ca="1">IFERROR(IF(0=LEN(ReferenceData!$BR$17),"",ReferenceData!$BR$17),"")</f>
        <v/>
      </c>
      <c r="BS17" t="str">
        <f ca="1">IFERROR(IF(0=LEN(ReferenceData!$BS$17),"",ReferenceData!$BS$17),"")</f>
        <v/>
      </c>
      <c r="BT17" t="str">
        <f ca="1">IFERROR(IF(0=LEN(ReferenceData!$BT$17),"",ReferenceData!$BT$17),"")</f>
        <v/>
      </c>
      <c r="BU17" t="str">
        <f ca="1">IFERROR(IF(0=LEN(ReferenceData!$BU$17),"",ReferenceData!$BU$17),"")</f>
        <v/>
      </c>
      <c r="BV17" t="str">
        <f ca="1">IFERROR(IF(0=LEN(ReferenceData!$BV$17),"",ReferenceData!$BV$17),"")</f>
        <v/>
      </c>
      <c r="BW17" t="str">
        <f ca="1">IFERROR(IF(0=LEN(ReferenceData!$BW$17),"",ReferenceData!$BW$17),"")</f>
        <v/>
      </c>
      <c r="BX17" t="str">
        <f ca="1">IFERROR(IF(0=LEN(ReferenceData!$BX$17),"",ReferenceData!$BX$17),"")</f>
        <v/>
      </c>
      <c r="BY17" t="str">
        <f ca="1">IFERROR(IF(0=LEN(ReferenceData!$BY$17),"",ReferenceData!$BY$17),"")</f>
        <v/>
      </c>
      <c r="BZ17" t="str">
        <f ca="1">IFERROR(IF(0=LEN(ReferenceData!$BZ$17),"",ReferenceData!$BZ$17),"")</f>
        <v/>
      </c>
      <c r="CA17" t="str">
        <f ca="1">IFERROR(IF(0=LEN(ReferenceData!$CA$17),"",ReferenceData!$CA$17),"")</f>
        <v/>
      </c>
      <c r="CB17" t="str">
        <f ca="1">IFERROR(IF(0=LEN(ReferenceData!$CB$17),"",ReferenceData!$CB$17),"")</f>
        <v/>
      </c>
      <c r="CC17" t="str">
        <f ca="1">IFERROR(IF(0=LEN(ReferenceData!$CC$17),"",ReferenceData!$CC$17),"")</f>
        <v/>
      </c>
      <c r="CD17" t="str">
        <f ca="1">IFERROR(IF(0=LEN(ReferenceData!$CD$17),"",ReferenceData!$CD$17),"")</f>
        <v/>
      </c>
      <c r="CE17" t="str">
        <f ca="1">IFERROR(IF(0=LEN(ReferenceData!$CE$17),"",ReferenceData!$CE$17),"")</f>
        <v/>
      </c>
      <c r="CF17" t="str">
        <f ca="1">IFERROR(IF(0=LEN(ReferenceData!$CF$17),"",ReferenceData!$CF$17),"")</f>
        <v/>
      </c>
      <c r="CG17" t="str">
        <f ca="1">IFERROR(IF(0=LEN(ReferenceData!$CG$17),"",ReferenceData!$CG$17),"")</f>
        <v/>
      </c>
      <c r="CH17" t="str">
        <f ca="1">IFERROR(IF(0=LEN(ReferenceData!$CH$17),"",ReferenceData!$CH$17),"")</f>
        <v/>
      </c>
      <c r="CI17" t="str">
        <f ca="1">IFERROR(IF(0=LEN(ReferenceData!$CI$17),"",ReferenceData!$CI$17),"")</f>
        <v/>
      </c>
      <c r="CJ17" t="str">
        <f ca="1">IFERROR(IF(0=LEN(ReferenceData!$CJ$17),"",ReferenceData!$CJ$17),"")</f>
        <v/>
      </c>
      <c r="CK17" t="str">
        <f ca="1">IFERROR(IF(0=LEN(ReferenceData!$CK$17),"",ReferenceData!$CK$17),"")</f>
        <v/>
      </c>
    </row>
    <row r="18" spans="1:89" x14ac:dyDescent="0.25">
      <c r="A18" t="str">
        <f>IFERROR(IF(0=LEN(ReferenceData!$A$18),"",ReferenceData!$A$18),"")</f>
        <v>Statistics for Major North American Ports</v>
      </c>
      <c r="B18" t="str">
        <f>IFERROR(IF(0=LEN(ReferenceData!$B$18),"",ReferenceData!$B$18),"")</f>
        <v/>
      </c>
      <c r="C18" t="str">
        <f>IFERROR(IF(0=LEN(ReferenceData!$C$18),"",ReferenceData!$C$18),"")</f>
        <v/>
      </c>
      <c r="D18" t="str">
        <f>IFERROR(IF(0=LEN(ReferenceData!$D$18),"",ReferenceData!$D$18),"")</f>
        <v/>
      </c>
      <c r="E18" t="str">
        <f>IFERROR(IF(0=LEN(ReferenceData!$E$18),"",ReferenceData!$E$18),"")</f>
        <v>Sum</v>
      </c>
      <c r="F18">
        <f ca="1">IFERROR(IF(0=LEN(ReferenceData!$F$18),"",ReferenceData!$F$18),"")</f>
        <v>3395648.1</v>
      </c>
      <c r="G18">
        <f ca="1">IFERROR(IF(0=LEN(ReferenceData!$G$18),"",ReferenceData!$G$18),"")</f>
        <v>3899702.45</v>
      </c>
      <c r="H18">
        <f ca="1">IFERROR(IF(0=LEN(ReferenceData!$H$18),"",ReferenceData!$H$18),"")</f>
        <v>3695401.25</v>
      </c>
      <c r="I18">
        <f ca="1">IFERROR(IF(0=LEN(ReferenceData!$I$18),"",ReferenceData!$I$18),"")</f>
        <v>3783510.2</v>
      </c>
      <c r="J18">
        <f ca="1">IFERROR(IF(0=LEN(ReferenceData!$J$18),"",ReferenceData!$J$18),"")</f>
        <v>3932423.75</v>
      </c>
      <c r="K18">
        <f ca="1">IFERROR(IF(0=LEN(ReferenceData!$K$18),"",ReferenceData!$K$18),"")</f>
        <v>3701940.5</v>
      </c>
      <c r="L18">
        <f ca="1">IFERROR(IF(0=LEN(ReferenceData!$L$18),"",ReferenceData!$L$18),"")</f>
        <v>3443046.75</v>
      </c>
      <c r="M18">
        <f ca="1">IFERROR(IF(0=LEN(ReferenceData!$M$18),"",ReferenceData!$M$18),"")</f>
        <v>3246269.65</v>
      </c>
      <c r="N18">
        <f ca="1">IFERROR(IF(0=LEN(ReferenceData!$N$18),"",ReferenceData!$N$18),"")</f>
        <v>3697718.2</v>
      </c>
      <c r="O18">
        <f ca="1">IFERROR(IF(0=LEN(ReferenceData!$O$18),"",ReferenceData!$O$18),"")</f>
        <v>3686560.5</v>
      </c>
      <c r="P18">
        <f ca="1">IFERROR(IF(0=LEN(ReferenceData!$P$18),"",ReferenceData!$P$18),"")</f>
        <v>3780337</v>
      </c>
      <c r="Q18">
        <f ca="1">IFERROR(IF(0=LEN(ReferenceData!$Q$18),"",ReferenceData!$Q$18),"")</f>
        <v>4200854.7</v>
      </c>
      <c r="R18">
        <f ca="1">IFERROR(IF(0=LEN(ReferenceData!$R$18),"",ReferenceData!$R$18),"")</f>
        <v>4191747</v>
      </c>
      <c r="S18">
        <f ca="1">IFERROR(IF(0=LEN(ReferenceData!$S$18),"",ReferenceData!$S$18),"")</f>
        <v>4610199.7</v>
      </c>
      <c r="T18">
        <f ca="1">IFERROR(IF(0=LEN(ReferenceData!$T$18),"",ReferenceData!$T$18),"")</f>
        <v>4405019.3</v>
      </c>
      <c r="U18">
        <f ca="1">IFERROR(IF(0=LEN(ReferenceData!$U$18),"",ReferenceData!$U$18),"")</f>
        <v>4522571.8</v>
      </c>
      <c r="V18">
        <f ca="1">IFERROR(IF(0=LEN(ReferenceData!$V$18),"",ReferenceData!$V$18),"")</f>
        <v>4816115.6500000004</v>
      </c>
      <c r="W18">
        <f ca="1">IFERROR(IF(0=LEN(ReferenceData!$W$18),"",ReferenceData!$W$18),"")</f>
        <v>4542067.3499999996</v>
      </c>
      <c r="X18">
        <f ca="1">IFERROR(IF(0=LEN(ReferenceData!$X$18),"",ReferenceData!$X$18),"")</f>
        <v>4687585.55</v>
      </c>
      <c r="Y18">
        <f ca="1">IFERROR(IF(0=LEN(ReferenceData!$Y$18),"",ReferenceData!$Y$18),"")</f>
        <v>4223221.4000000004</v>
      </c>
      <c r="Z18">
        <f ca="1">IFERROR(IF(0=LEN(ReferenceData!$Z$18),"",ReferenceData!$Z$18),"")</f>
        <v>4251604.8499999996</v>
      </c>
      <c r="AA18">
        <f ca="1">IFERROR(IF(0=LEN(ReferenceData!$AA$18),"",ReferenceData!$AA$18),"")</f>
        <v>4168059.75</v>
      </c>
      <c r="AB18">
        <f ca="1">IFERROR(IF(0=LEN(ReferenceData!$AB$18),"",ReferenceData!$AB$18),"")</f>
        <v>4225487</v>
      </c>
      <c r="AC18">
        <f ca="1">IFERROR(IF(0=LEN(ReferenceData!$AC$18),"",ReferenceData!$AC$18),"")</f>
        <v>4522769.25</v>
      </c>
      <c r="AD18">
        <f ca="1">IFERROR(IF(0=LEN(ReferenceData!$AD$18),"",ReferenceData!$AD$18),"")</f>
        <v>4313633.0999999996</v>
      </c>
      <c r="AE18">
        <f ca="1">IFERROR(IF(0=LEN(ReferenceData!$AE$18),"",ReferenceData!$AE$18),"")</f>
        <v>4571948.9000000004</v>
      </c>
      <c r="AF18">
        <f ca="1">IFERROR(IF(0=LEN(ReferenceData!$AF$18),"",ReferenceData!$AF$18),"")</f>
        <v>4360891.4000000004</v>
      </c>
      <c r="AG18">
        <f ca="1">IFERROR(IF(0=LEN(ReferenceData!$AG$18),"",ReferenceData!$AG$18),"")</f>
        <v>4279195.25</v>
      </c>
      <c r="AH18">
        <f ca="1">IFERROR(IF(0=LEN(ReferenceData!$AH$18),"",ReferenceData!$AH$18),"")</f>
        <v>4801242.25</v>
      </c>
      <c r="AI18">
        <f ca="1">IFERROR(IF(0=LEN(ReferenceData!$AI$18),"",ReferenceData!$AI$18),"")</f>
        <v>4349971.0999999996</v>
      </c>
      <c r="AJ18">
        <f ca="1">IFERROR(IF(0=LEN(ReferenceData!$AJ$18),"",ReferenceData!$AJ$18),"")</f>
        <v>4655106.4000000004</v>
      </c>
      <c r="AK18">
        <f ca="1">IFERROR(IF(0=LEN(ReferenceData!$AK$18),"",ReferenceData!$AK$18),"")</f>
        <v>3831778.4</v>
      </c>
      <c r="AL18">
        <f ca="1">IFERROR(IF(0=LEN(ReferenceData!$AL$18),"",ReferenceData!$AL$18),"")</f>
        <v>4188856.6500000004</v>
      </c>
      <c r="AM18">
        <f ca="1">IFERROR(IF(0=LEN(ReferenceData!$AM$18),"",ReferenceData!$AM$18),"")</f>
        <v>4280972.3</v>
      </c>
      <c r="AN18">
        <f ca="1">IFERROR(IF(0=LEN(ReferenceData!$AN$18),"",ReferenceData!$AN$18),"")</f>
        <v>4300730.0999999996</v>
      </c>
      <c r="AO18">
        <f ca="1">IFERROR(IF(0=LEN(ReferenceData!$AO$18),"",ReferenceData!$AO$18),"")</f>
        <v>4553359.55</v>
      </c>
      <c r="AP18">
        <f ca="1">IFERROR(IF(0=LEN(ReferenceData!$AP$18),"",ReferenceData!$AP$18),"")</f>
        <v>4233934.8</v>
      </c>
      <c r="AQ18">
        <f ca="1">IFERROR(IF(0=LEN(ReferenceData!$AQ$18),"",ReferenceData!$AQ$18),"")</f>
        <v>4224982.4000000004</v>
      </c>
      <c r="AR18">
        <f ca="1">IFERROR(IF(0=LEN(ReferenceData!$AR$18),"",ReferenceData!$AR$18),"")</f>
        <v>3929856.4499999997</v>
      </c>
      <c r="AS18">
        <f ca="1">IFERROR(IF(0=LEN(ReferenceData!$AS$18),"",ReferenceData!$AS$18),"")</f>
        <v>3414994.1</v>
      </c>
      <c r="AT18">
        <f ca="1">IFERROR(IF(0=LEN(ReferenceData!$AT$18),"",ReferenceData!$AT$18),"")</f>
        <v>3273455.7</v>
      </c>
      <c r="AU18">
        <f ca="1">IFERROR(IF(0=LEN(ReferenceData!$AU$18),"",ReferenceData!$AU$18),"")</f>
        <v>3352805.65</v>
      </c>
      <c r="AV18">
        <f ca="1">IFERROR(IF(0=LEN(ReferenceData!$AV$18),"",ReferenceData!$AV$18),"")</f>
        <v>3113277.25</v>
      </c>
      <c r="AW18">
        <f ca="1">IFERROR(IF(0=LEN(ReferenceData!$AW$18),"",ReferenceData!$AW$18),"")</f>
        <v>3295326.9499999997</v>
      </c>
      <c r="AX18">
        <f ca="1">IFERROR(IF(0=LEN(ReferenceData!$AX$18),"",ReferenceData!$AX$18),"")</f>
        <v>3780931.2</v>
      </c>
      <c r="AY18">
        <f ca="1">IFERROR(IF(0=LEN(ReferenceData!$AY$18),"",ReferenceData!$AY$18),"")</f>
        <v>3693677.8</v>
      </c>
      <c r="AZ18">
        <f ca="1">IFERROR(IF(0=LEN(ReferenceData!$AZ$18),"",ReferenceData!$AZ$18),"")</f>
        <v>3602084.75</v>
      </c>
      <c r="BA18">
        <f ca="1">IFERROR(IF(0=LEN(ReferenceData!$BA$18),"",ReferenceData!$BA$18),"")</f>
        <v>3986119.3</v>
      </c>
      <c r="BB18">
        <f ca="1">IFERROR(IF(0=LEN(ReferenceData!$BB$18),"",ReferenceData!$BB$18),"")</f>
        <v>3948298.45</v>
      </c>
      <c r="BC18">
        <f ca="1">IFERROR(IF(0=LEN(ReferenceData!$BC$18),"",ReferenceData!$BC$18),"")</f>
        <v>4146621.05</v>
      </c>
      <c r="BD18">
        <f ca="1">IFERROR(IF(0=LEN(ReferenceData!$BD$18),"",ReferenceData!$BD$18),"")</f>
        <v>4067233.85</v>
      </c>
      <c r="BE18">
        <f ca="1">IFERROR(IF(0=LEN(ReferenceData!$BE$18),"",ReferenceData!$BE$18),"")</f>
        <v>3847666.4</v>
      </c>
      <c r="BF18">
        <f ca="1">IFERROR(IF(0=LEN(ReferenceData!$BF$18),"",ReferenceData!$BF$18),"")</f>
        <v>3900445.8</v>
      </c>
      <c r="BG18">
        <f ca="1">IFERROR(IF(0=LEN(ReferenceData!$BG$18),"",ReferenceData!$BG$18),"")</f>
        <v>3789837</v>
      </c>
      <c r="BH18">
        <f ca="1">IFERROR(IF(0=LEN(ReferenceData!$BH$18),"",ReferenceData!$BH$18),"")</f>
        <v>3668896.85</v>
      </c>
      <c r="BI18">
        <f ca="1">IFERROR(IF(0=LEN(ReferenceData!$BI$18),"",ReferenceData!$BI$18),"")</f>
        <v>3403351.55</v>
      </c>
      <c r="BJ18">
        <f ca="1">IFERROR(IF(0=LEN(ReferenceData!$BJ$18),"",ReferenceData!$BJ$18),"")</f>
        <v>3992860.3</v>
      </c>
      <c r="BK18">
        <f ca="1">IFERROR(IF(0=LEN(ReferenceData!$BK$18),"",ReferenceData!$BK$18),"")</f>
        <v>4024231.9499999997</v>
      </c>
      <c r="BL18">
        <f ca="1">IFERROR(IF(0=LEN(ReferenceData!$BL$18),"",ReferenceData!$BL$18),"")</f>
        <v>3796085.5</v>
      </c>
      <c r="BM18">
        <f ca="1">IFERROR(IF(0=LEN(ReferenceData!$BM$18),"",ReferenceData!$BM$18),"")</f>
        <v>4222300.1500000004</v>
      </c>
      <c r="BN18">
        <f ca="1">IFERROR(IF(0=LEN(ReferenceData!$BN$18),"",ReferenceData!$BN$18),"")</f>
        <v>3922321.85</v>
      </c>
      <c r="BO18">
        <f ca="1">IFERROR(IF(0=LEN(ReferenceData!$BO$18),"",ReferenceData!$BO$18),"")</f>
        <v>3938682.1999999997</v>
      </c>
      <c r="BP18">
        <f ca="1">IFERROR(IF(0=LEN(ReferenceData!$BP$18),"",ReferenceData!$BP$18),"")</f>
        <v>3960084.2</v>
      </c>
      <c r="BQ18">
        <f ca="1">IFERROR(IF(0=LEN(ReferenceData!$BQ$18),"",ReferenceData!$BQ$18),"")</f>
        <v>3878718.65</v>
      </c>
      <c r="BR18">
        <f ca="1">IFERROR(IF(0=LEN(ReferenceData!$BR$18),"",ReferenceData!$BR$18),"")</f>
        <v>3826238.45</v>
      </c>
      <c r="BS18">
        <f ca="1">IFERROR(IF(0=LEN(ReferenceData!$BS$18),"",ReferenceData!$BS$18),"")</f>
        <v>3547039</v>
      </c>
      <c r="BT18">
        <f ca="1">IFERROR(IF(0=LEN(ReferenceData!$BT$18),"",ReferenceData!$BT$18),"")</f>
        <v>3471319.05</v>
      </c>
      <c r="BU18">
        <f ca="1">IFERROR(IF(0=LEN(ReferenceData!$BU$18),"",ReferenceData!$BU$18),"")</f>
        <v>3499360.6500000004</v>
      </c>
      <c r="BV18">
        <f ca="1">IFERROR(IF(0=LEN(ReferenceData!$BV$18),"",ReferenceData!$BV$18),"")</f>
        <v>3616776.5</v>
      </c>
      <c r="BW18">
        <f ca="1">IFERROR(IF(0=LEN(ReferenceData!$BW$18),"",ReferenceData!$BW$18),"")</f>
        <v>3691122.2</v>
      </c>
      <c r="BX18">
        <f ca="1">IFERROR(IF(0=LEN(ReferenceData!$BX$18),"",ReferenceData!$BX$18),"")</f>
        <v>3719812.6</v>
      </c>
      <c r="BY18">
        <f ca="1">IFERROR(IF(0=LEN(ReferenceData!$BY$18),"",ReferenceData!$BY$18),"")</f>
        <v>3809121</v>
      </c>
      <c r="BZ18">
        <f ca="1">IFERROR(IF(0=LEN(ReferenceData!$BZ$18),"",ReferenceData!$BZ$18),"")</f>
        <v>3731875.4</v>
      </c>
      <c r="CA18">
        <f ca="1">IFERROR(IF(0=LEN(ReferenceData!$CA$18),"",ReferenceData!$CA$18),"")</f>
        <v>3835807.65</v>
      </c>
      <c r="CB18">
        <f ca="1">IFERROR(IF(0=LEN(ReferenceData!$CB$18),"",ReferenceData!$CB$18),"")</f>
        <v>3761829.25</v>
      </c>
      <c r="CC18">
        <f ca="1">IFERROR(IF(0=LEN(ReferenceData!$CC$18),"",ReferenceData!$CC$18),"")</f>
        <v>3659150.45</v>
      </c>
      <c r="CD18">
        <f ca="1">IFERROR(IF(0=LEN(ReferenceData!$CD$18),"",ReferenceData!$CD$18),"")</f>
        <v>3739241.4000000004</v>
      </c>
      <c r="CE18">
        <f ca="1">IFERROR(IF(0=LEN(ReferenceData!$CE$18),"",ReferenceData!$CE$18),"")</f>
        <v>3428068.8</v>
      </c>
      <c r="CF18">
        <f ca="1">IFERROR(IF(0=LEN(ReferenceData!$CF$18),"",ReferenceData!$CF$18),"")</f>
        <v>3464736.5</v>
      </c>
      <c r="CG18">
        <f ca="1">IFERROR(IF(0=LEN(ReferenceData!$CG$18),"",ReferenceData!$CG$18),"")</f>
        <v>3153583.35</v>
      </c>
      <c r="CH18">
        <f ca="1">IFERROR(IF(0=LEN(ReferenceData!$CH$18),"",ReferenceData!$CH$18),"")</f>
        <v>3577207.15</v>
      </c>
      <c r="CI18">
        <f ca="1">IFERROR(IF(0=LEN(ReferenceData!$CI$18),"",ReferenceData!$CI$18),"")</f>
        <v>3394612.85</v>
      </c>
      <c r="CJ18">
        <f ca="1">IFERROR(IF(0=LEN(ReferenceData!$CJ$18),"",ReferenceData!$CJ$18),"")</f>
        <v>3518010.45</v>
      </c>
      <c r="CK18">
        <f ca="1">IFERROR(IF(0=LEN(ReferenceData!$CK$18),"",ReferenceData!$CK$18),"")</f>
        <v>3534514.5</v>
      </c>
    </row>
    <row r="19" spans="1:89" x14ac:dyDescent="0.25">
      <c r="A19" t="str">
        <f>IFERROR(IF(0=LEN(ReferenceData!$A$19),"",ReferenceData!$A$19),"")</f>
        <v xml:space="preserve">    Port of Los Angeles (TEU)</v>
      </c>
      <c r="B19" t="str">
        <f>IFERROR(IF(0=LEN(ReferenceData!$B$19),"",ReferenceData!$B$19),"")</f>
        <v/>
      </c>
      <c r="C19" t="str">
        <f>IFERROR(IF(0=LEN(ReferenceData!$C$19),"",ReferenceData!$C$19),"")</f>
        <v/>
      </c>
      <c r="D19" t="str">
        <f>IFERROR(IF(0=LEN(ReferenceData!$D$19),"",ReferenceData!$D$19),"")</f>
        <v/>
      </c>
      <c r="E19" t="str">
        <f>IFERROR(IF(0=LEN(ReferenceData!$E$19),"",ReferenceData!$E$19),"")</f>
        <v>Sum</v>
      </c>
      <c r="F19">
        <f ca="1">IFERROR(IF(0=LEN(ReferenceData!$F$19),"",ReferenceData!$F$19),"")</f>
        <v>748440.1</v>
      </c>
      <c r="G19">
        <f ca="1">IFERROR(IF(0=LEN(ReferenceData!$G$19),"",ReferenceData!$G$19),"")</f>
        <v>828015.7</v>
      </c>
      <c r="H19">
        <f ca="1">IFERROR(IF(0=LEN(ReferenceData!$H$19),"",ReferenceData!$H$19),"")</f>
        <v>684290.75</v>
      </c>
      <c r="I19">
        <f ca="1">IFERROR(IF(0=LEN(ReferenceData!$I$19),"",ReferenceData!$I$19),"")</f>
        <v>833035.45</v>
      </c>
      <c r="J19">
        <f ca="1">IFERROR(IF(0=LEN(ReferenceData!$J$19),"",ReferenceData!$J$19),"")</f>
        <v>779140</v>
      </c>
      <c r="K19">
        <f ca="1">IFERROR(IF(0=LEN(ReferenceData!$K$19),"",ReferenceData!$K$19),"")</f>
        <v>688109.75</v>
      </c>
      <c r="L19">
        <f ca="1">IFERROR(IF(0=LEN(ReferenceData!$L$19),"",ReferenceData!$L$19),"")</f>
        <v>623233.75</v>
      </c>
      <c r="M19">
        <f ca="1">IFERROR(IF(0=LEN(ReferenceData!$M$19),"",ReferenceData!$M$19),"")</f>
        <v>487846.15</v>
      </c>
      <c r="N19">
        <f ca="1">IFERROR(IF(0=LEN(ReferenceData!$N$19),"",ReferenceData!$N$19),"")</f>
        <v>726013.95</v>
      </c>
      <c r="O19">
        <f ca="1">IFERROR(IF(0=LEN(ReferenceData!$O$19),"",ReferenceData!$O$19),"")</f>
        <v>728871.5</v>
      </c>
      <c r="P19">
        <f ca="1">IFERROR(IF(0=LEN(ReferenceData!$P$19),"",ReferenceData!$P$19),"")</f>
        <v>639343.5</v>
      </c>
      <c r="Q19">
        <f ca="1">IFERROR(IF(0=LEN(ReferenceData!$Q$19),"",ReferenceData!$Q$19),"")</f>
        <v>678429.45</v>
      </c>
      <c r="R19">
        <f ca="1">IFERROR(IF(0=LEN(ReferenceData!$R$19),"",ReferenceData!$R$19),"")</f>
        <v>709873.3</v>
      </c>
      <c r="S19">
        <f ca="1">IFERROR(IF(0=LEN(ReferenceData!$S$19),"",ReferenceData!$S$19),"")</f>
        <v>805314.7</v>
      </c>
      <c r="T19">
        <f ca="1">IFERROR(IF(0=LEN(ReferenceData!$T$19),"",ReferenceData!$T$19),"")</f>
        <v>935423.8</v>
      </c>
      <c r="U19">
        <f ca="1">IFERROR(IF(0=LEN(ReferenceData!$U$19),"",ReferenceData!$U$19),"")</f>
        <v>876611.3</v>
      </c>
      <c r="V19">
        <f ca="1">IFERROR(IF(0=LEN(ReferenceData!$V$19),"",ReferenceData!$V$19),"")</f>
        <v>967900.15</v>
      </c>
      <c r="W19">
        <f ca="1">IFERROR(IF(0=LEN(ReferenceData!$W$19),"",ReferenceData!$W$19),"")</f>
        <v>887357.35000000009</v>
      </c>
      <c r="X19">
        <f ca="1">IFERROR(IF(0=LEN(ReferenceData!$X$19),"",ReferenceData!$X$19),"")</f>
        <v>958674.05</v>
      </c>
      <c r="Y19">
        <f ca="1">IFERROR(IF(0=LEN(ReferenceData!$Y$19),"",ReferenceData!$Y$19),"")</f>
        <v>857764.39999999991</v>
      </c>
      <c r="Z19">
        <f ca="1">IFERROR(IF(0=LEN(ReferenceData!$Z$19),"",ReferenceData!$Z$19),"")</f>
        <v>865595.35</v>
      </c>
      <c r="AA19">
        <f ca="1">IFERROR(IF(0=LEN(ReferenceData!$AA$19),"",ReferenceData!$AA$19),"")</f>
        <v>786588.75</v>
      </c>
      <c r="AB19">
        <f ca="1">IFERROR(IF(0=LEN(ReferenceData!$AB$19),"",ReferenceData!$AB$19),"")</f>
        <v>811459.9</v>
      </c>
      <c r="AC19">
        <f ca="1">IFERROR(IF(0=LEN(ReferenceData!$AC$19),"",ReferenceData!$AC$19),"")</f>
        <v>902643.9</v>
      </c>
      <c r="AD19">
        <f ca="1">IFERROR(IF(0=LEN(ReferenceData!$AD$19),"",ReferenceData!$AD$19),"")</f>
        <v>903864.60000000009</v>
      </c>
      <c r="AE19">
        <f ca="1">IFERROR(IF(0=LEN(ReferenceData!$AE$19),"",ReferenceData!$AE$19),"")</f>
        <v>954377.35000000009</v>
      </c>
      <c r="AF19">
        <f ca="1">IFERROR(IF(0=LEN(ReferenceData!$AF$19),"",ReferenceData!$AF$19),"")</f>
        <v>890799.8</v>
      </c>
      <c r="AG19">
        <f ca="1">IFERROR(IF(0=LEN(ReferenceData!$AG$19),"",ReferenceData!$AG$19),"")</f>
        <v>876430.35</v>
      </c>
      <c r="AH19">
        <f ca="1">IFERROR(IF(0=LEN(ReferenceData!$AH$19),"",ReferenceData!$AH$19),"")</f>
        <v>1012047.85</v>
      </c>
      <c r="AI19">
        <f ca="1">IFERROR(IF(0=LEN(ReferenceData!$AI$19),"",ReferenceData!$AI$19),"")</f>
        <v>946966.35</v>
      </c>
      <c r="AJ19">
        <f ca="1">IFERROR(IF(0=LEN(ReferenceData!$AJ$19),"",ReferenceData!$AJ$19),"")</f>
        <v>957599.25</v>
      </c>
      <c r="AK19">
        <f ca="1">IFERROR(IF(0=LEN(ReferenceData!$AK$19),"",ReferenceData!$AK$19),"")</f>
        <v>799315.4</v>
      </c>
      <c r="AL19">
        <f ca="1">IFERROR(IF(0=LEN(ReferenceData!$AL$19),"",ReferenceData!$AL$19),"")</f>
        <v>835516.2</v>
      </c>
      <c r="AM19">
        <f ca="1">IFERROR(IF(0=LEN(ReferenceData!$AM$19),"",ReferenceData!$AM$19),"")</f>
        <v>879186.05</v>
      </c>
      <c r="AN19">
        <f ca="1">IFERROR(IF(0=LEN(ReferenceData!$AN$19),"",ReferenceData!$AN$19),"")</f>
        <v>889746.14999999991</v>
      </c>
      <c r="AO19">
        <f ca="1">IFERROR(IF(0=LEN(ReferenceData!$AO$19),"",ReferenceData!$AO$19),"")</f>
        <v>980728.54999999993</v>
      </c>
      <c r="AP19">
        <f ca="1">IFERROR(IF(0=LEN(ReferenceData!$AP$19),"",ReferenceData!$AP$19),"")</f>
        <v>883624.8</v>
      </c>
      <c r="AQ19">
        <f ca="1">IFERROR(IF(0=LEN(ReferenceData!$AQ$19),"",ReferenceData!$AQ$19),"")</f>
        <v>961832.75</v>
      </c>
      <c r="AR19">
        <f ca="1">IFERROR(IF(0=LEN(ReferenceData!$AR$19),"",ReferenceData!$AR$19),"")</f>
        <v>856389.15</v>
      </c>
      <c r="AS19">
        <f ca="1">IFERROR(IF(0=LEN(ReferenceData!$AS$19),"",ReferenceData!$AS$19),"")</f>
        <v>691475.4</v>
      </c>
      <c r="AT19">
        <f ca="1">IFERROR(IF(0=LEN(ReferenceData!$AT$19),"",ReferenceData!$AT$19),"")</f>
        <v>581664.75</v>
      </c>
      <c r="AU19">
        <f ca="1">IFERROR(IF(0=LEN(ReferenceData!$AU$19),"",ReferenceData!$AU$19),"")</f>
        <v>688999</v>
      </c>
      <c r="AV19">
        <f ca="1">IFERROR(IF(0=LEN(ReferenceData!$AV$19),"",ReferenceData!$AV$19),"")</f>
        <v>449568.3</v>
      </c>
      <c r="AW19">
        <f ca="1">IFERROR(IF(0=LEN(ReferenceData!$AW$19),"",ReferenceData!$AW$19),"")</f>
        <v>544037.30000000005</v>
      </c>
      <c r="AX19">
        <f ca="1">IFERROR(IF(0=LEN(ReferenceData!$AX$19),"",ReferenceData!$AX$19),"")</f>
        <v>806143.75</v>
      </c>
      <c r="AY19">
        <f ca="1">IFERROR(IF(0=LEN(ReferenceData!$AY$19),"",ReferenceData!$AY$19),"")</f>
        <v>746749.75</v>
      </c>
      <c r="AZ19">
        <f ca="1">IFERROR(IF(0=LEN(ReferenceData!$AZ$19),"",ReferenceData!$AZ$19),"")</f>
        <v>728917.9</v>
      </c>
      <c r="BA19">
        <f ca="1">IFERROR(IF(0=LEN(ReferenceData!$BA$19),"",ReferenceData!$BA$19),"")</f>
        <v>770188.5</v>
      </c>
      <c r="BB19">
        <f ca="1">IFERROR(IF(0=LEN(ReferenceData!$BB$19),"",ReferenceData!$BB$19),"")</f>
        <v>779902.75</v>
      </c>
      <c r="BC19">
        <f ca="1">IFERROR(IF(0=LEN(ReferenceData!$BC$19),"",ReferenceData!$BC$19),"")</f>
        <v>861080.8</v>
      </c>
      <c r="BD19">
        <f ca="1">IFERROR(IF(0=LEN(ReferenceData!$BD$19),"",ReferenceData!$BD$19),"")</f>
        <v>912154.14999999991</v>
      </c>
      <c r="BE19">
        <f ca="1">IFERROR(IF(0=LEN(ReferenceData!$BE$19),"",ReferenceData!$BE$19),"")</f>
        <v>764777.25</v>
      </c>
      <c r="BF19">
        <f ca="1">IFERROR(IF(0=LEN(ReferenceData!$BF$19),"",ReferenceData!$BF$19),"")</f>
        <v>828662.15</v>
      </c>
      <c r="BG19">
        <f ca="1">IFERROR(IF(0=LEN(ReferenceData!$BG$19),"",ReferenceData!$BG$19),"")</f>
        <v>736465.95</v>
      </c>
      <c r="BH19">
        <f ca="1">IFERROR(IF(0=LEN(ReferenceData!$BH$19),"",ReferenceData!$BH$19),"")</f>
        <v>650977.15</v>
      </c>
      <c r="BI19">
        <f ca="1">IFERROR(IF(0=LEN(ReferenceData!$BI$19),"",ReferenceData!$BI$19),"")</f>
        <v>705306.55</v>
      </c>
      <c r="BJ19">
        <f ca="1">IFERROR(IF(0=LEN(ReferenceData!$BJ$19),"",ReferenceData!$BJ$19),"")</f>
        <v>852449.5</v>
      </c>
      <c r="BK19">
        <f ca="1">IFERROR(IF(0=LEN(ReferenceData!$BK$19),"",ReferenceData!$BK$19),"")</f>
        <v>903258.15</v>
      </c>
      <c r="BL19">
        <f ca="1">IFERROR(IF(0=LEN(ReferenceData!$BL$19),"",ReferenceData!$BL$19),"")</f>
        <v>832330.9</v>
      </c>
      <c r="BM19">
        <f ca="1">IFERROR(IF(0=LEN(ReferenceData!$BM$19),"",ReferenceData!$BM$19),"")</f>
        <v>952553.75</v>
      </c>
      <c r="BN19">
        <f ca="1">IFERROR(IF(0=LEN(ReferenceData!$BN$19),"",ReferenceData!$BN$19),"")</f>
        <v>801264.15</v>
      </c>
      <c r="BO19">
        <f ca="1">IFERROR(IF(0=LEN(ReferenceData!$BO$19),"",ReferenceData!$BO$19),"")</f>
        <v>826638.4</v>
      </c>
      <c r="BP19">
        <f ca="1">IFERROR(IF(0=LEN(ReferenceData!$BP$19),"",ReferenceData!$BP$19),"")</f>
        <v>833567.85000000009</v>
      </c>
      <c r="BQ19">
        <f ca="1">IFERROR(IF(0=LEN(ReferenceData!$BQ$19),"",ReferenceData!$BQ$19),"")</f>
        <v>723141.15</v>
      </c>
      <c r="BR19">
        <f ca="1">IFERROR(IF(0=LEN(ReferenceData!$BR$19),"",ReferenceData!$BR$19),"")</f>
        <v>768804.35000000009</v>
      </c>
      <c r="BS19">
        <f ca="1">IFERROR(IF(0=LEN(ReferenceData!$BS$19),"",ReferenceData!$BS$19),"")</f>
        <v>705535.95</v>
      </c>
      <c r="BT19">
        <f ca="1">IFERROR(IF(0=LEN(ReferenceData!$BT$19),"",ReferenceData!$BT$19),"")</f>
        <v>577865.89999999991</v>
      </c>
      <c r="BU19">
        <f ca="1">IFERROR(IF(0=LEN(ReferenceData!$BU$19),"",ReferenceData!$BU$19),"")</f>
        <v>725059.45000000007</v>
      </c>
      <c r="BV19">
        <f ca="1">IFERROR(IF(0=LEN(ReferenceData!$BV$19),"",ReferenceData!$BV$19),"")</f>
        <v>808728.5</v>
      </c>
      <c r="BW19">
        <f ca="1">IFERROR(IF(0=LEN(ReferenceData!$BW$19),"",ReferenceData!$BW$19),"")</f>
        <v>779210.95000000007</v>
      </c>
      <c r="BX19">
        <f ca="1">IFERROR(IF(0=LEN(ReferenceData!$BX$19),"",ReferenceData!$BX$19),"")</f>
        <v>924225.75</v>
      </c>
      <c r="BY19">
        <f ca="1">IFERROR(IF(0=LEN(ReferenceData!$BY$19),"",ReferenceData!$BY$19),"")</f>
        <v>748762.2</v>
      </c>
      <c r="BZ19">
        <f ca="1">IFERROR(IF(0=LEN(ReferenceData!$BZ$19),"",ReferenceData!$BZ$19),"")</f>
        <v>763784.5</v>
      </c>
      <c r="CA19">
        <f ca="1">IFERROR(IF(0=LEN(ReferenceData!$CA$19),"",ReferenceData!$CA$19),"")</f>
        <v>847857.05</v>
      </c>
      <c r="CB19">
        <f ca="1">IFERROR(IF(0=LEN(ReferenceData!$CB$19),"",ReferenceData!$CB$19),"")</f>
        <v>796804</v>
      </c>
      <c r="CC19">
        <f ca="1">IFERROR(IF(0=LEN(ReferenceData!$CC$19),"",ReferenceData!$CC$19),"")</f>
        <v>731032.35</v>
      </c>
      <c r="CD19">
        <f ca="1">IFERROR(IF(0=LEN(ReferenceData!$CD$19),"",ReferenceData!$CD$19),"")</f>
        <v>796216.70000000007</v>
      </c>
      <c r="CE19">
        <f ca="1">IFERROR(IF(0=LEN(ReferenceData!$CE$19),"",ReferenceData!$CE$19),"")</f>
        <v>714755.05</v>
      </c>
      <c r="CF19">
        <f ca="1">IFERROR(IF(0=LEN(ReferenceData!$CF$19),"",ReferenceData!$CF$19),"")</f>
        <v>788523.7</v>
      </c>
      <c r="CG19">
        <f ca="1">IFERROR(IF(0=LEN(ReferenceData!$CG$19),"",ReferenceData!$CG$19),"")</f>
        <v>625381.14999999991</v>
      </c>
      <c r="CH19">
        <f ca="1">IFERROR(IF(0=LEN(ReferenceData!$CH$19),"",ReferenceData!$CH$19),"")</f>
        <v>826639.54999999993</v>
      </c>
      <c r="CI19">
        <f ca="1">IFERROR(IF(0=LEN(ReferenceData!$CI$19),"",ReferenceData!$CI$19),"")</f>
        <v>796536.6</v>
      </c>
      <c r="CJ19">
        <f ca="1">IFERROR(IF(0=LEN(ReferenceData!$CJ$19),"",ReferenceData!$CJ$19),"")</f>
        <v>877564.2</v>
      </c>
      <c r="CK19">
        <f ca="1">IFERROR(IF(0=LEN(ReferenceData!$CK$19),"",ReferenceData!$CK$19),"")</f>
        <v>814574.5</v>
      </c>
    </row>
    <row r="20" spans="1:89" x14ac:dyDescent="0.25">
      <c r="A20" t="str">
        <f>IFERROR(IF(0=LEN(ReferenceData!$A$20),"",ReferenceData!$A$20),"")</f>
        <v xml:space="preserve">        Loaded Container Imports (TEU)</v>
      </c>
      <c r="B20" t="str">
        <f>IFERROR(IF(0=LEN(ReferenceData!$B$20),"",ReferenceData!$B$20),"")</f>
        <v>LALBLAIM Index</v>
      </c>
      <c r="C20" t="str">
        <f>IFERROR(IF(0=LEN(ReferenceData!$C$20),"",ReferenceData!$C$20),"")</f>
        <v>PX385</v>
      </c>
      <c r="D20" t="str">
        <f>IFERROR(IF(0=LEN(ReferenceData!$D$20),"",ReferenceData!$D$20),"")</f>
        <v>INTERVAL_SUM</v>
      </c>
      <c r="E20" t="str">
        <f>IFERROR(IF(0=LEN(ReferenceData!$E$20),"",ReferenceData!$E$20),"")</f>
        <v>Dynamic</v>
      </c>
      <c r="F20">
        <f ca="1">IFERROR(IF(0=LEN(ReferenceData!$F$20),"",ReferenceData!$F$20),"")</f>
        <v>392608.35</v>
      </c>
      <c r="G20">
        <f ca="1">IFERROR(IF(0=LEN(ReferenceData!$G$20),"",ReferenceData!$G$20),"")</f>
        <v>433224.25</v>
      </c>
      <c r="H20">
        <f ca="1">IFERROR(IF(0=LEN(ReferenceData!$H$20),"",ReferenceData!$H$20),"")</f>
        <v>364208.3</v>
      </c>
      <c r="I20">
        <f ca="1">IFERROR(IF(0=LEN(ReferenceData!$I$20),"",ReferenceData!$I$20),"")</f>
        <v>435306.65</v>
      </c>
      <c r="J20">
        <f ca="1">IFERROR(IF(0=LEN(ReferenceData!$J$20),"",ReferenceData!$J$20),"")</f>
        <v>409150</v>
      </c>
      <c r="K20">
        <f ca="1">IFERROR(IF(0=LEN(ReferenceData!$K$20),"",ReferenceData!$K$20),"")</f>
        <v>343688.5</v>
      </c>
      <c r="L20">
        <f ca="1">IFERROR(IF(0=LEN(ReferenceData!$L$20),"",ReferenceData!$L$20),"")</f>
        <v>319961.95</v>
      </c>
      <c r="M20">
        <f ca="1">IFERROR(IF(0=LEN(ReferenceData!$M$20),"",ReferenceData!$M$20),"")</f>
        <v>249407.45</v>
      </c>
      <c r="N20">
        <f ca="1">IFERROR(IF(0=LEN(ReferenceData!$N$20),"",ReferenceData!$N$20),"")</f>
        <v>372040</v>
      </c>
      <c r="O20">
        <f ca="1">IFERROR(IF(0=LEN(ReferenceData!$O$20),"",ReferenceData!$O$20),"")</f>
        <v>352046.35</v>
      </c>
      <c r="P20">
        <f ca="1">IFERROR(IF(0=LEN(ReferenceData!$P$20),"",ReferenceData!$P$20),"")</f>
        <v>307079.8</v>
      </c>
      <c r="Q20">
        <f ca="1">IFERROR(IF(0=LEN(ReferenceData!$Q$20),"",ReferenceData!$Q$20),"")</f>
        <v>336306.9</v>
      </c>
      <c r="R20">
        <f ca="1">IFERROR(IF(0=LEN(ReferenceData!$R$20),"",ReferenceData!$R$20),"")</f>
        <v>343461.65</v>
      </c>
      <c r="S20">
        <f ca="1">IFERROR(IF(0=LEN(ReferenceData!$S$20),"",ReferenceData!$S$20),"")</f>
        <v>403601.95</v>
      </c>
      <c r="T20">
        <f ca="1">IFERROR(IF(0=LEN(ReferenceData!$T$20),"",ReferenceData!$T$20),"")</f>
        <v>485452.25</v>
      </c>
      <c r="U20">
        <f ca="1">IFERROR(IF(0=LEN(ReferenceData!$U$20),"",ReferenceData!$U$20),"")</f>
        <v>444680.4</v>
      </c>
      <c r="V20">
        <f ca="1">IFERROR(IF(0=LEN(ReferenceData!$V$20),"",ReferenceData!$V$20),"")</f>
        <v>499960.15</v>
      </c>
      <c r="W20">
        <f ca="1">IFERROR(IF(0=LEN(ReferenceData!$W$20),"",ReferenceData!$W$20),"")</f>
        <v>456669.55</v>
      </c>
      <c r="X20">
        <f ca="1">IFERROR(IF(0=LEN(ReferenceData!$X$20),"",ReferenceData!$X$20),"")</f>
        <v>495195.8</v>
      </c>
      <c r="Y20">
        <f ca="1">IFERROR(IF(0=LEN(ReferenceData!$Y$20),"",ReferenceData!$Y$20),"")</f>
        <v>424072.85</v>
      </c>
      <c r="Z20">
        <f ca="1">IFERROR(IF(0=LEN(ReferenceData!$Z$20),"",ReferenceData!$Z$20),"")</f>
        <v>427207.7</v>
      </c>
      <c r="AA20">
        <f ca="1">IFERROR(IF(0=LEN(ReferenceData!$AA$20),"",ReferenceData!$AA$20),"")</f>
        <v>385250.7</v>
      </c>
      <c r="AB20">
        <f ca="1">IFERROR(IF(0=LEN(ReferenceData!$AB$20),"",ReferenceData!$AB$20),"")</f>
        <v>403443.9</v>
      </c>
      <c r="AC20">
        <f ca="1">IFERROR(IF(0=LEN(ReferenceData!$AC$20),"",ReferenceData!$AC$20),"")</f>
        <v>467286.65</v>
      </c>
      <c r="AD20">
        <f ca="1">IFERROR(IF(0=LEN(ReferenceData!$AD$20),"",ReferenceData!$AD$20),"")</f>
        <v>468059.15</v>
      </c>
      <c r="AE20">
        <f ca="1">IFERROR(IF(0=LEN(ReferenceData!$AE$20),"",ReferenceData!$AE$20),"")</f>
        <v>485672.15</v>
      </c>
      <c r="AF20">
        <f ca="1">IFERROR(IF(0=LEN(ReferenceData!$AF$20),"",ReferenceData!$AF$20),"")</f>
        <v>469360.85</v>
      </c>
      <c r="AG20">
        <f ca="1">IFERROR(IF(0=LEN(ReferenceData!$AG$20),"",ReferenceData!$AG$20),"")</f>
        <v>467763.25</v>
      </c>
      <c r="AH20">
        <f ca="1">IFERROR(IF(0=LEN(ReferenceData!$AH$20),"",ReferenceData!$AH$20),"")</f>
        <v>535714.19999999995</v>
      </c>
      <c r="AI20">
        <f ca="1">IFERROR(IF(0=LEN(ReferenceData!$AI$20),"",ReferenceData!$AI$20),"")</f>
        <v>490126.85</v>
      </c>
      <c r="AJ20">
        <f ca="1">IFERROR(IF(0=LEN(ReferenceData!$AJ$20),"",ReferenceData!$AJ$20),"")</f>
        <v>490115</v>
      </c>
      <c r="AK20">
        <f ca="1">IFERROR(IF(0=LEN(ReferenceData!$AK$20),"",ReferenceData!$AK$20),"")</f>
        <v>412884.25</v>
      </c>
      <c r="AL20">
        <f ca="1">IFERROR(IF(0=LEN(ReferenceData!$AL$20),"",ReferenceData!$AL$20),"")</f>
        <v>437609.2</v>
      </c>
      <c r="AM20">
        <f ca="1">IFERROR(IF(0=LEN(ReferenceData!$AM$20),"",ReferenceData!$AM$20),"")</f>
        <v>460865</v>
      </c>
      <c r="AN20">
        <f ca="1">IFERROR(IF(0=LEN(ReferenceData!$AN$20),"",ReferenceData!$AN$20),"")</f>
        <v>464819.7</v>
      </c>
      <c r="AO20">
        <f ca="1">IFERROR(IF(0=LEN(ReferenceData!$AO$20),"",ReferenceData!$AO$20),"")</f>
        <v>506613.2</v>
      </c>
      <c r="AP20">
        <f ca="1">IFERROR(IF(0=LEN(ReferenceData!$AP$20),"",ReferenceData!$AP$20),"")</f>
        <v>471794.5</v>
      </c>
      <c r="AQ20">
        <f ca="1">IFERROR(IF(0=LEN(ReferenceData!$AQ$20),"",ReferenceData!$AQ$20),"")</f>
        <v>516285.95</v>
      </c>
      <c r="AR20">
        <f ca="1">IFERROR(IF(0=LEN(ReferenceData!$AR$20),"",ReferenceData!$AR$20),"")</f>
        <v>456028.7</v>
      </c>
      <c r="AS20">
        <f ca="1">IFERROR(IF(0=LEN(ReferenceData!$AS$20),"",ReferenceData!$AS$20),"")</f>
        <v>369188.9</v>
      </c>
      <c r="AT20">
        <f ca="1">IFERROR(IF(0=LEN(ReferenceData!$AT$20),"",ReferenceData!$AT$20),"")</f>
        <v>306323</v>
      </c>
      <c r="AU20">
        <f ca="1">IFERROR(IF(0=LEN(ReferenceData!$AU$20),"",ReferenceData!$AU$20),"")</f>
        <v>370111</v>
      </c>
      <c r="AV20">
        <f ca="1">IFERROR(IF(0=LEN(ReferenceData!$AV$20),"",ReferenceData!$AV$20),"")</f>
        <v>220254.55</v>
      </c>
      <c r="AW20">
        <f ca="1">IFERROR(IF(0=LEN(ReferenceData!$AW$20),"",ReferenceData!$AW$20),"")</f>
        <v>270025.05</v>
      </c>
      <c r="AX20">
        <f ca="1">IFERROR(IF(0=LEN(ReferenceData!$AX$20),"",ReferenceData!$AX$20),"")</f>
        <v>414730.85</v>
      </c>
      <c r="AY20">
        <f ca="1">IFERROR(IF(0=LEN(ReferenceData!$AY$20),"",ReferenceData!$AY$20),"")</f>
        <v>373511</v>
      </c>
      <c r="AZ20">
        <f ca="1">IFERROR(IF(0=LEN(ReferenceData!$AZ$20),"",ReferenceData!$AZ$20),"")</f>
        <v>371349.7</v>
      </c>
      <c r="BA20">
        <f ca="1">IFERROR(IF(0=LEN(ReferenceData!$BA$20),"",ReferenceData!$BA$20),"")</f>
        <v>392768.6</v>
      </c>
      <c r="BB20">
        <f ca="1">IFERROR(IF(0=LEN(ReferenceData!$BB$20),"",ReferenceData!$BB$20),"")</f>
        <v>402319.85</v>
      </c>
      <c r="BC20">
        <f ca="1">IFERROR(IF(0=LEN(ReferenceData!$BC$20),"",ReferenceData!$BC$20),"")</f>
        <v>437613.25</v>
      </c>
      <c r="BD20">
        <f ca="1">IFERROR(IF(0=LEN(ReferenceData!$BD$20),"",ReferenceData!$BD$20),"")</f>
        <v>476438.2</v>
      </c>
      <c r="BE20">
        <f ca="1">IFERROR(IF(0=LEN(ReferenceData!$BE$20),"",ReferenceData!$BE$20),"")</f>
        <v>396306.5</v>
      </c>
      <c r="BF20">
        <f ca="1">IFERROR(IF(0=LEN(ReferenceData!$BF$20),"",ReferenceData!$BF$20),"")</f>
        <v>427789</v>
      </c>
      <c r="BG20">
        <f ca="1">IFERROR(IF(0=LEN(ReferenceData!$BG$20),"",ReferenceData!$BG$20),"")</f>
        <v>360744.65</v>
      </c>
      <c r="BH20">
        <f ca="1">IFERROR(IF(0=LEN(ReferenceData!$BH$20),"",ReferenceData!$BH$20),"")</f>
        <v>297186.95</v>
      </c>
      <c r="BI20">
        <f ca="1">IFERROR(IF(0=LEN(ReferenceData!$BI$20),"",ReferenceData!$BI$20),"")</f>
        <v>348315.75</v>
      </c>
      <c r="BJ20">
        <f ca="1">IFERROR(IF(0=LEN(ReferenceData!$BJ$20),"",ReferenceData!$BJ$20),"")</f>
        <v>429922.75</v>
      </c>
      <c r="BK20">
        <f ca="1">IFERROR(IF(0=LEN(ReferenceData!$BK$20),"",ReferenceData!$BK$20),"")</f>
        <v>468905.85</v>
      </c>
      <c r="BL20">
        <f ca="1">IFERROR(IF(0=LEN(ReferenceData!$BL$20),"",ReferenceData!$BL$20),"")</f>
        <v>422792.65</v>
      </c>
      <c r="BM20">
        <f ca="1">IFERROR(IF(0=LEN(ReferenceData!$BM$20),"",ReferenceData!$BM$20),"")</f>
        <v>485823.55</v>
      </c>
      <c r="BN20">
        <f ca="1">IFERROR(IF(0=LEN(ReferenceData!$BN$20),"",ReferenceData!$BN$20),"")</f>
        <v>414281.5</v>
      </c>
      <c r="BO20">
        <f ca="1">IFERROR(IF(0=LEN(ReferenceData!$BO$20),"",ReferenceData!$BO$20),"")</f>
        <v>420573.25</v>
      </c>
      <c r="BP20">
        <f ca="1">IFERROR(IF(0=LEN(ReferenceData!$BP$20),"",ReferenceData!$BP$20),"")</f>
        <v>438164.55</v>
      </c>
      <c r="BQ20">
        <f ca="1">IFERROR(IF(0=LEN(ReferenceData!$BQ$20),"",ReferenceData!$BQ$20),"")</f>
        <v>382964</v>
      </c>
      <c r="BR20">
        <f ca="1">IFERROR(IF(0=LEN(ReferenceData!$BR$20),"",ReferenceData!$BR$20),"")</f>
        <v>405586.8</v>
      </c>
      <c r="BS20">
        <f ca="1">IFERROR(IF(0=LEN(ReferenceData!$BS$20),"",ReferenceData!$BS$20),"")</f>
        <v>361108.3</v>
      </c>
      <c r="BT20">
        <f ca="1">IFERROR(IF(0=LEN(ReferenceData!$BT$20),"",ReferenceData!$BT$20),"")</f>
        <v>264460.05</v>
      </c>
      <c r="BU20">
        <f ca="1">IFERROR(IF(0=LEN(ReferenceData!$BU$20),"",ReferenceData!$BU$20),"")</f>
        <v>383089.55</v>
      </c>
      <c r="BV20">
        <f ca="1">IFERROR(IF(0=LEN(ReferenceData!$BV$20),"",ReferenceData!$BV$20),"")</f>
        <v>422831.95</v>
      </c>
      <c r="BW20">
        <f ca="1">IFERROR(IF(0=LEN(ReferenceData!$BW$20),"",ReferenceData!$BW$20),"")</f>
        <v>385492.05</v>
      </c>
      <c r="BX20">
        <f ca="1">IFERROR(IF(0=LEN(ReferenceData!$BX$20),"",ReferenceData!$BX$20),"")</f>
        <v>463690.9</v>
      </c>
      <c r="BY20">
        <f ca="1">IFERROR(IF(0=LEN(ReferenceData!$BY$20),"",ReferenceData!$BY$20),"")</f>
        <v>383385</v>
      </c>
      <c r="BZ20">
        <f ca="1">IFERROR(IF(0=LEN(ReferenceData!$BZ$20),"",ReferenceData!$BZ$20),"")</f>
        <v>388670.05</v>
      </c>
      <c r="CA20">
        <f ca="1">IFERROR(IF(0=LEN(ReferenceData!$CA$20),"",ReferenceData!$CA$20),"")</f>
        <v>432479.15</v>
      </c>
      <c r="CB20">
        <f ca="1">IFERROR(IF(0=LEN(ReferenceData!$CB$20),"",ReferenceData!$CB$20),"")</f>
        <v>417090.75</v>
      </c>
      <c r="CC20">
        <f ca="1">IFERROR(IF(0=LEN(ReferenceData!$CC$20),"",ReferenceData!$CC$20),"")</f>
        <v>372272.1</v>
      </c>
      <c r="CD20">
        <f ca="1">IFERROR(IF(0=LEN(ReferenceData!$CD$20),"",ReferenceData!$CD$20),"")</f>
        <v>413021.3</v>
      </c>
      <c r="CE20">
        <f ca="1">IFERROR(IF(0=LEN(ReferenceData!$CE$20),"",ReferenceData!$CE$20),"")</f>
        <v>372040.9</v>
      </c>
      <c r="CF20">
        <f ca="1">IFERROR(IF(0=LEN(ReferenceData!$CF$20),"",ReferenceData!$CF$20),"")</f>
        <v>373548.95</v>
      </c>
      <c r="CG20">
        <f ca="1">IFERROR(IF(0=LEN(ReferenceData!$CG$20),"",ReferenceData!$CG$20),"")</f>
        <v>298974.95</v>
      </c>
      <c r="CH20">
        <f ca="1">IFERROR(IF(0=LEN(ReferenceData!$CH$20),"",ReferenceData!$CH$20),"")</f>
        <v>415422.7</v>
      </c>
      <c r="CI20">
        <f ca="1">IFERROR(IF(0=LEN(ReferenceData!$CI$20),"",ReferenceData!$CI$20),"")</f>
        <v>394217.5</v>
      </c>
      <c r="CJ20">
        <f ca="1">IFERROR(IF(0=LEN(ReferenceData!$CJ$20),"",ReferenceData!$CJ$20),"")</f>
        <v>437050.2</v>
      </c>
      <c r="CK20">
        <f ca="1">IFERROR(IF(0=LEN(ReferenceData!$CK$20),"",ReferenceData!$CK$20),"")</f>
        <v>417311.05</v>
      </c>
    </row>
    <row r="21" spans="1:89" x14ac:dyDescent="0.25">
      <c r="A21" t="str">
        <f>IFERROR(IF(0=LEN(ReferenceData!$A$21),"",ReferenceData!$A$21),"")</f>
        <v xml:space="preserve">        Loaded Container Exports (TEU)</v>
      </c>
      <c r="B21" t="str">
        <f>IFERROR(IF(0=LEN(ReferenceData!$B$21),"",ReferenceData!$B$21),"")</f>
        <v>LALBLAEX Index</v>
      </c>
      <c r="C21" t="str">
        <f>IFERROR(IF(0=LEN(ReferenceData!$C$21),"",ReferenceData!$C$21),"")</f>
        <v>PX385</v>
      </c>
      <c r="D21" t="str">
        <f>IFERROR(IF(0=LEN(ReferenceData!$D$21),"",ReferenceData!$D$21),"")</f>
        <v>INTERVAL_SUM</v>
      </c>
      <c r="E21" t="str">
        <f>IFERROR(IF(0=LEN(ReferenceData!$E$21),"",ReferenceData!$E$21),"")</f>
        <v>Dynamic</v>
      </c>
      <c r="F21">
        <f ca="1">IFERROR(IF(0=LEN(ReferenceData!$F$21),"",ReferenceData!$F$21),"")</f>
        <v>120635.25</v>
      </c>
      <c r="G21">
        <f ca="1">IFERROR(IF(0=LEN(ReferenceData!$G$21),"",ReferenceData!$G$21),"")</f>
        <v>124987.5</v>
      </c>
      <c r="H21">
        <f ca="1">IFERROR(IF(0=LEN(ReferenceData!$H$21),"",ReferenceData!$H$21),"")</f>
        <v>110372.25</v>
      </c>
      <c r="I21">
        <f ca="1">IFERROR(IF(0=LEN(ReferenceData!$I$21),"",ReferenceData!$I$21),"")</f>
        <v>108049.5</v>
      </c>
      <c r="J21">
        <f ca="1">IFERROR(IF(0=LEN(ReferenceData!$J$21),"",ReferenceData!$J$21),"")</f>
        <v>101741</v>
      </c>
      <c r="K21">
        <f ca="1">IFERROR(IF(0=LEN(ReferenceData!$K$21),"",ReferenceData!$K$21),"")</f>
        <v>88201.75</v>
      </c>
      <c r="L21">
        <f ca="1">IFERROR(IF(0=LEN(ReferenceData!$L$21),"",ReferenceData!$L$21),"")</f>
        <v>98276.25</v>
      </c>
      <c r="M21">
        <f ca="1">IFERROR(IF(0=LEN(ReferenceData!$M$21),"",ReferenceData!$M$21),"")</f>
        <v>82404</v>
      </c>
      <c r="N21">
        <f ca="1">IFERROR(IF(0=LEN(ReferenceData!$N$21),"",ReferenceData!$N$21),"")</f>
        <v>102723.25</v>
      </c>
      <c r="O21">
        <f ca="1">IFERROR(IF(0=LEN(ReferenceData!$O$21),"",ReferenceData!$O$21),"")</f>
        <v>96518</v>
      </c>
      <c r="P21">
        <f ca="1">IFERROR(IF(0=LEN(ReferenceData!$P$21),"",ReferenceData!$P$21),"")</f>
        <v>90115.75</v>
      </c>
      <c r="Q21">
        <f ca="1">IFERROR(IF(0=LEN(ReferenceData!$Q$21),"",ReferenceData!$Q$21),"")</f>
        <v>89721.75</v>
      </c>
      <c r="R21">
        <f ca="1">IFERROR(IF(0=LEN(ReferenceData!$R$21),"",ReferenceData!$R$21),"")</f>
        <v>77680.25</v>
      </c>
      <c r="S21">
        <f ca="1">IFERROR(IF(0=LEN(ReferenceData!$S$21),"",ReferenceData!$S$21),"")</f>
        <v>102319.25</v>
      </c>
      <c r="T21">
        <f ca="1">IFERROR(IF(0=LEN(ReferenceData!$T$21),"",ReferenceData!$T$21),"")</f>
        <v>103899</v>
      </c>
      <c r="U21">
        <f ca="1">IFERROR(IF(0=LEN(ReferenceData!$U$21),"",ReferenceData!$U$21),"")</f>
        <v>93889.5</v>
      </c>
      <c r="V21">
        <f ca="1">IFERROR(IF(0=LEN(ReferenceData!$V$21),"",ReferenceData!$V$21),"")</f>
        <v>125655.5</v>
      </c>
      <c r="W21">
        <f ca="1">IFERROR(IF(0=LEN(ReferenceData!$W$21),"",ReferenceData!$W$21),"")</f>
        <v>99878</v>
      </c>
      <c r="X21">
        <f ca="1">IFERROR(IF(0=LEN(ReferenceData!$X$21),"",ReferenceData!$X$21),"")</f>
        <v>111781.25</v>
      </c>
      <c r="Y21">
        <f ca="1">IFERROR(IF(0=LEN(ReferenceData!$Y$21),"",ReferenceData!$Y$21),"")</f>
        <v>95441</v>
      </c>
      <c r="Z21">
        <f ca="1">IFERROR(IF(0=LEN(ReferenceData!$Z$21),"",ReferenceData!$Z$21),"")</f>
        <v>100185.25</v>
      </c>
      <c r="AA21">
        <f ca="1">IFERROR(IF(0=LEN(ReferenceData!$AA$21),"",ReferenceData!$AA$21),"")</f>
        <v>70871.75</v>
      </c>
      <c r="AB21">
        <f ca="1">IFERROR(IF(0=LEN(ReferenceData!$AB$21),"",ReferenceData!$AB$21),"")</f>
        <v>82741.350000000006</v>
      </c>
      <c r="AC21">
        <f ca="1">IFERROR(IF(0=LEN(ReferenceData!$AC$21),"",ReferenceData!$AC$21),"")</f>
        <v>98251.25</v>
      </c>
      <c r="AD21">
        <f ca="1">IFERROR(IF(0=LEN(ReferenceData!$AD$21),"",ReferenceData!$AD$21),"")</f>
        <v>75713.5</v>
      </c>
      <c r="AE21">
        <f ca="1">IFERROR(IF(0=LEN(ReferenceData!$AE$21),"",ReferenceData!$AE$21),"")</f>
        <v>101292</v>
      </c>
      <c r="AF21">
        <f ca="1">IFERROR(IF(0=LEN(ReferenceData!$AF$21),"",ReferenceData!$AF$21),"")</f>
        <v>91439.5</v>
      </c>
      <c r="AG21">
        <f ca="1">IFERROR(IF(0=LEN(ReferenceData!$AG$21),"",ReferenceData!$AG$21),"")</f>
        <v>96066.75</v>
      </c>
      <c r="AH21">
        <f ca="1">IFERROR(IF(0=LEN(ReferenceData!$AH$21),"",ReferenceData!$AH$21),"")</f>
        <v>109886</v>
      </c>
      <c r="AI21">
        <f ca="1">IFERROR(IF(0=LEN(ReferenceData!$AI$21),"",ReferenceData!$AI$21),"")</f>
        <v>114448.5</v>
      </c>
      <c r="AJ21">
        <f ca="1">IFERROR(IF(0=LEN(ReferenceData!$AJ$21),"",ReferenceData!$AJ$21),"")</f>
        <v>122899</v>
      </c>
      <c r="AK21">
        <f ca="1">IFERROR(IF(0=LEN(ReferenceData!$AK$21),"",ReferenceData!$AK$21),"")</f>
        <v>101208.15</v>
      </c>
      <c r="AL21">
        <f ca="1">IFERROR(IF(0=LEN(ReferenceData!$AL$21),"",ReferenceData!$AL$21),"")</f>
        <v>119326.75</v>
      </c>
      <c r="AM21">
        <f ca="1">IFERROR(IF(0=LEN(ReferenceData!$AM$21),"",ReferenceData!$AM$21),"")</f>
        <v>120265</v>
      </c>
      <c r="AN21">
        <f ca="1">IFERROR(IF(0=LEN(ReferenceData!$AN$21),"",ReferenceData!$AN$21),"")</f>
        <v>130916.5</v>
      </c>
      <c r="AO21">
        <f ca="1">IFERROR(IF(0=LEN(ReferenceData!$AO$21),"",ReferenceData!$AO$21),"")</f>
        <v>143935.75</v>
      </c>
      <c r="AP21">
        <f ca="1">IFERROR(IF(0=LEN(ReferenceData!$AP$21),"",ReferenceData!$AP$21),"")</f>
        <v>130396.75</v>
      </c>
      <c r="AQ21">
        <f ca="1">IFERROR(IF(0=LEN(ReferenceData!$AQ$21),"",ReferenceData!$AQ$21),"")</f>
        <v>131428.75</v>
      </c>
      <c r="AR21">
        <f ca="1">IFERROR(IF(0=LEN(ReferenceData!$AR$21),"",ReferenceData!$AR$21),"")</f>
        <v>126353.7</v>
      </c>
      <c r="AS21">
        <f ca="1">IFERROR(IF(0=LEN(ReferenceData!$AS$21),"",ReferenceData!$AS$21),"")</f>
        <v>109585.75</v>
      </c>
      <c r="AT21">
        <f ca="1">IFERROR(IF(0=LEN(ReferenceData!$AT$21),"",ReferenceData!$AT$21),"")</f>
        <v>104382</v>
      </c>
      <c r="AU21">
        <f ca="1">IFERROR(IF(0=LEN(ReferenceData!$AU$21),"",ReferenceData!$AU$21),"")</f>
        <v>130321.25</v>
      </c>
      <c r="AV21">
        <f ca="1">IFERROR(IF(0=LEN(ReferenceData!$AV$21),"",ReferenceData!$AV$21),"")</f>
        <v>121146</v>
      </c>
      <c r="AW21">
        <f ca="1">IFERROR(IF(0=LEN(ReferenceData!$AW$21),"",ReferenceData!$AW$21),"")</f>
        <v>134468.5</v>
      </c>
      <c r="AX21">
        <f ca="1">IFERROR(IF(0=LEN(ReferenceData!$AX$21),"",ReferenceData!$AX$21),"")</f>
        <v>148206</v>
      </c>
      <c r="AY21">
        <f ca="1">IFERROR(IF(0=LEN(ReferenceData!$AY$21),"",ReferenceData!$AY$21),"")</f>
        <v>130228.5</v>
      </c>
      <c r="AZ21">
        <f ca="1">IFERROR(IF(0=LEN(ReferenceData!$AZ$21),"",ReferenceData!$AZ$21),"")</f>
        <v>138544.5</v>
      </c>
      <c r="BA21">
        <f ca="1">IFERROR(IF(0=LEN(ReferenceData!$BA$21),"",ReferenceData!$BA$21),"")</f>
        <v>140331.5</v>
      </c>
      <c r="BB21">
        <f ca="1">IFERROR(IF(0=LEN(ReferenceData!$BB$21),"",ReferenceData!$BB$21),"")</f>
        <v>130768.5</v>
      </c>
      <c r="BC21">
        <f ca="1">IFERROR(IF(0=LEN(ReferenceData!$BC$21),"",ReferenceData!$BC$21),"")</f>
        <v>146284</v>
      </c>
      <c r="BD21">
        <f ca="1">IFERROR(IF(0=LEN(ReferenceData!$BD$21),"",ReferenceData!$BD$21),"")</f>
        <v>161340.25</v>
      </c>
      <c r="BE21">
        <f ca="1">IFERROR(IF(0=LEN(ReferenceData!$BE$21),"",ReferenceData!$BE$21),"")</f>
        <v>139318</v>
      </c>
      <c r="BF21">
        <f ca="1">IFERROR(IF(0=LEN(ReferenceData!$BF$21),"",ReferenceData!$BF$21),"")</f>
        <v>167357.25</v>
      </c>
      <c r="BG21">
        <f ca="1">IFERROR(IF(0=LEN(ReferenceData!$BG$21),"",ReferenceData!$BG$21),"")</f>
        <v>155532.75</v>
      </c>
      <c r="BH21">
        <f ca="1">IFERROR(IF(0=LEN(ReferenceData!$BH$21),"",ReferenceData!$BH$21),"")</f>
        <v>158923.75</v>
      </c>
      <c r="BI21">
        <f ca="1">IFERROR(IF(0=LEN(ReferenceData!$BI$21),"",ReferenceData!$BI$21),"")</f>
        <v>142554.5</v>
      </c>
      <c r="BJ21">
        <f ca="1">IFERROR(IF(0=LEN(ReferenceData!$BJ$21),"",ReferenceData!$BJ$21),"")</f>
        <v>144993</v>
      </c>
      <c r="BK21">
        <f ca="1">IFERROR(IF(0=LEN(ReferenceData!$BK$21),"",ReferenceData!$BK$21),"")</f>
        <v>147965.4</v>
      </c>
      <c r="BL21">
        <f ca="1">IFERROR(IF(0=LEN(ReferenceData!$BL$21),"",ReferenceData!$BL$21),"")</f>
        <v>152527</v>
      </c>
      <c r="BM21">
        <f ca="1">IFERROR(IF(0=LEN(ReferenceData!$BM$21),"",ReferenceData!$BM$21),"")</f>
        <v>173823.9</v>
      </c>
      <c r="BN21">
        <f ca="1">IFERROR(IF(0=LEN(ReferenceData!$BN$21),"",ReferenceData!$BN$21),"")</f>
        <v>146999.5</v>
      </c>
      <c r="BO21">
        <f ca="1">IFERROR(IF(0=LEN(ReferenceData!$BO$21),"",ReferenceData!$BO$21),"")</f>
        <v>162465.5</v>
      </c>
      <c r="BP21">
        <f ca="1">IFERROR(IF(0=LEN(ReferenceData!$BP$21),"",ReferenceData!$BP$21),"")</f>
        <v>167991.75</v>
      </c>
      <c r="BQ21">
        <f ca="1">IFERROR(IF(0=LEN(ReferenceData!$BQ$21),"",ReferenceData!$BQ$21),"")</f>
        <v>147563.25</v>
      </c>
      <c r="BR21">
        <f ca="1">IFERROR(IF(0=LEN(ReferenceData!$BR$21),"",ReferenceData!$BR$21),"")</f>
        <v>168680.75</v>
      </c>
      <c r="BS21">
        <f ca="1">IFERROR(IF(0=LEN(ReferenceData!$BS$21),"",ReferenceData!$BS$21),"")</f>
        <v>164703.65</v>
      </c>
      <c r="BT21">
        <f ca="1">IFERROR(IF(0=LEN(ReferenceData!$BT$21),"",ReferenceData!$BT$21),"")</f>
        <v>163706.65</v>
      </c>
      <c r="BU21">
        <f ca="1">IFERROR(IF(0=LEN(ReferenceData!$BU$21),"",ReferenceData!$BU$21),"")</f>
        <v>157591.25</v>
      </c>
      <c r="BV21">
        <f ca="1">IFERROR(IF(0=LEN(ReferenceData!$BV$21),"",ReferenceData!$BV$21),"")</f>
        <v>150035.25</v>
      </c>
      <c r="BW21">
        <f ca="1">IFERROR(IF(0=LEN(ReferenceData!$BW$21),"",ReferenceData!$BW$21),"")</f>
        <v>152865.5</v>
      </c>
      <c r="BX21">
        <f ca="1">IFERROR(IF(0=LEN(ReferenceData!$BX$21),"",ReferenceData!$BX$21),"")</f>
        <v>177913</v>
      </c>
      <c r="BY21">
        <f ca="1">IFERROR(IF(0=LEN(ReferenceData!$BY$21),"",ReferenceData!$BY$21),"")</f>
        <v>144209.75</v>
      </c>
      <c r="BZ21">
        <f ca="1">IFERROR(IF(0=LEN(ReferenceData!$BZ$21),"",ReferenceData!$BZ$21),"")</f>
        <v>128445.5</v>
      </c>
      <c r="CA21">
        <f ca="1">IFERROR(IF(0=LEN(ReferenceData!$CA$21),"",ReferenceData!$CA$21),"")</f>
        <v>159197</v>
      </c>
      <c r="CB21">
        <f ca="1">IFERROR(IF(0=LEN(ReferenceData!$CB$21),"",ReferenceData!$CB$21),"")</f>
        <v>154925.75</v>
      </c>
      <c r="CC21">
        <f ca="1">IFERROR(IF(0=LEN(ReferenceData!$CC$21),"",ReferenceData!$CC$21),"")</f>
        <v>145527.5</v>
      </c>
      <c r="CD21">
        <f ca="1">IFERROR(IF(0=LEN(ReferenceData!$CD$21),"",ReferenceData!$CD$21),"")</f>
        <v>169639</v>
      </c>
      <c r="CE21">
        <f ca="1">IFERROR(IF(0=LEN(ReferenceData!$CE$21),"",ReferenceData!$CE$21),"")</f>
        <v>157661.5</v>
      </c>
      <c r="CF21">
        <f ca="1">IFERROR(IF(0=LEN(ReferenceData!$CF$21),"",ReferenceData!$CF$21),"")</f>
        <v>191771.75</v>
      </c>
      <c r="CG21">
        <f ca="1">IFERROR(IF(0=LEN(ReferenceData!$CG$21),"",ReferenceData!$CG$21),"")</f>
        <v>155357.65</v>
      </c>
      <c r="CH21">
        <f ca="1">IFERROR(IF(0=LEN(ReferenceData!$CH$21),"",ReferenceData!$CH$21),"")</f>
        <v>162420</v>
      </c>
      <c r="CI21">
        <f ca="1">IFERROR(IF(0=LEN(ReferenceData!$CI$21),"",ReferenceData!$CI$21),"")</f>
        <v>164900.5</v>
      </c>
      <c r="CJ21">
        <f ca="1">IFERROR(IF(0=LEN(ReferenceData!$CJ$21),"",ReferenceData!$CJ$21),"")</f>
        <v>177359.75</v>
      </c>
      <c r="CK21">
        <f ca="1">IFERROR(IF(0=LEN(ReferenceData!$CK$21),"",ReferenceData!$CK$21),"")</f>
        <v>166406.25</v>
      </c>
    </row>
    <row r="22" spans="1:89" x14ac:dyDescent="0.25">
      <c r="A22" t="str">
        <f>IFERROR(IF(0=LEN(ReferenceData!$A$22),"",ReferenceData!$A$22),"")</f>
        <v xml:space="preserve">        Empty Containers (TEU)</v>
      </c>
      <c r="B22" t="str">
        <f>IFERROR(IF(0=LEN(ReferenceData!$B$22),"",ReferenceData!$B$22),"")</f>
        <v>LALBLAEM Index</v>
      </c>
      <c r="C22" t="str">
        <f>IFERROR(IF(0=LEN(ReferenceData!$C$22),"",ReferenceData!$C$22),"")</f>
        <v>PX385</v>
      </c>
      <c r="D22" t="str">
        <f>IFERROR(IF(0=LEN(ReferenceData!$D$22),"",ReferenceData!$D$22),"")</f>
        <v>INTERVAL_SUM</v>
      </c>
      <c r="E22" t="str">
        <f>IFERROR(IF(0=LEN(ReferenceData!$E$22),"",ReferenceData!$E$22),"")</f>
        <v>Dynamic</v>
      </c>
      <c r="F22">
        <f ca="1">IFERROR(IF(0=LEN(ReferenceData!$F$22),"",ReferenceData!$F$22),"")</f>
        <v>235196.5</v>
      </c>
      <c r="G22">
        <f ca="1">IFERROR(IF(0=LEN(ReferenceData!$G$22),"",ReferenceData!$G$22),"")</f>
        <v>269803.95</v>
      </c>
      <c r="H22">
        <f ca="1">IFERROR(IF(0=LEN(ReferenceData!$H$22),"",ReferenceData!$H$22),"")</f>
        <v>209710.2</v>
      </c>
      <c r="I22">
        <f ca="1">IFERROR(IF(0=LEN(ReferenceData!$I$22),"",ReferenceData!$I$22),"")</f>
        <v>289679.3</v>
      </c>
      <c r="J22">
        <f ca="1">IFERROR(IF(0=LEN(ReferenceData!$J$22),"",ReferenceData!$J$22),"")</f>
        <v>268249</v>
      </c>
      <c r="K22">
        <f ca="1">IFERROR(IF(0=LEN(ReferenceData!$K$22),"",ReferenceData!$K$22),"")</f>
        <v>256219.5</v>
      </c>
      <c r="L22">
        <f ca="1">IFERROR(IF(0=LEN(ReferenceData!$L$22),"",ReferenceData!$L$22),"")</f>
        <v>204995.55</v>
      </c>
      <c r="M22">
        <f ca="1">IFERROR(IF(0=LEN(ReferenceData!$M$22),"",ReferenceData!$M$22),"")</f>
        <v>156034.70000000001</v>
      </c>
      <c r="N22">
        <f ca="1">IFERROR(IF(0=LEN(ReferenceData!$N$22),"",ReferenceData!$N$22),"")</f>
        <v>251250.7</v>
      </c>
      <c r="O22">
        <f ca="1">IFERROR(IF(0=LEN(ReferenceData!$O$22),"",ReferenceData!$O$22),"")</f>
        <v>280307.15000000002</v>
      </c>
      <c r="P22">
        <f ca="1">IFERROR(IF(0=LEN(ReferenceData!$P$22),"",ReferenceData!$P$22),"")</f>
        <v>242147.95</v>
      </c>
      <c r="Q22">
        <f ca="1">IFERROR(IF(0=LEN(ReferenceData!$Q$22),"",ReferenceData!$Q$22),"")</f>
        <v>252400.8</v>
      </c>
      <c r="R22">
        <f ca="1">IFERROR(IF(0=LEN(ReferenceData!$R$22),"",ReferenceData!$R$22),"")</f>
        <v>288731.40000000002</v>
      </c>
      <c r="S22">
        <f ca="1">IFERROR(IF(0=LEN(ReferenceData!$S$22),"",ReferenceData!$S$22),"")</f>
        <v>299393.5</v>
      </c>
      <c r="T22">
        <f ca="1">IFERROR(IF(0=LEN(ReferenceData!$T$22),"",ReferenceData!$T$22),"")</f>
        <v>346072.55</v>
      </c>
      <c r="U22">
        <f ca="1">IFERROR(IF(0=LEN(ReferenceData!$U$22),"",ReferenceData!$U$22),"")</f>
        <v>338041.4</v>
      </c>
      <c r="V22">
        <f ca="1">IFERROR(IF(0=LEN(ReferenceData!$V$22),"",ReferenceData!$V$22),"")</f>
        <v>342284.5</v>
      </c>
      <c r="W22">
        <f ca="1">IFERROR(IF(0=LEN(ReferenceData!$W$22),"",ReferenceData!$W$22),"")</f>
        <v>330809.8</v>
      </c>
      <c r="X22">
        <f ca="1">IFERROR(IF(0=LEN(ReferenceData!$X$22),"",ReferenceData!$X$22),"")</f>
        <v>351697</v>
      </c>
      <c r="Y22">
        <f ca="1">IFERROR(IF(0=LEN(ReferenceData!$Y$22),"",ReferenceData!$Y$22),"")</f>
        <v>338250.55</v>
      </c>
      <c r="Z22">
        <f ca="1">IFERROR(IF(0=LEN(ReferenceData!$Z$22),"",ReferenceData!$Z$22),"")</f>
        <v>338202.4</v>
      </c>
      <c r="AA22">
        <f ca="1">IFERROR(IF(0=LEN(ReferenceData!$AA$22),"",ReferenceData!$AA$22),"")</f>
        <v>330466.3</v>
      </c>
      <c r="AB22">
        <f ca="1">IFERROR(IF(0=LEN(ReferenceData!$AB$22),"",ReferenceData!$AB$22),"")</f>
        <v>325274.65000000002</v>
      </c>
      <c r="AC22">
        <f ca="1">IFERROR(IF(0=LEN(ReferenceData!$AC$22),"",ReferenceData!$AC$22),"")</f>
        <v>337106</v>
      </c>
      <c r="AD22">
        <f ca="1">IFERROR(IF(0=LEN(ReferenceData!$AD$22),"",ReferenceData!$AD$22),"")</f>
        <v>360091.95</v>
      </c>
      <c r="AE22">
        <f ca="1">IFERROR(IF(0=LEN(ReferenceData!$AE$22),"",ReferenceData!$AE$22),"")</f>
        <v>367413.2</v>
      </c>
      <c r="AF22">
        <f ca="1">IFERROR(IF(0=LEN(ReferenceData!$AF$22),"",ReferenceData!$AF$22),"")</f>
        <v>329999.45</v>
      </c>
      <c r="AG22">
        <f ca="1">IFERROR(IF(0=LEN(ReferenceData!$AG$22),"",ReferenceData!$AG$22),"")</f>
        <v>312600.34999999998</v>
      </c>
      <c r="AH22">
        <f ca="1">IFERROR(IF(0=LEN(ReferenceData!$AH$22),"",ReferenceData!$AH$22),"")</f>
        <v>366447.65</v>
      </c>
      <c r="AI22">
        <f ca="1">IFERROR(IF(0=LEN(ReferenceData!$AI$22),"",ReferenceData!$AI$22),"")</f>
        <v>342391</v>
      </c>
      <c r="AJ22">
        <f ca="1">IFERROR(IF(0=LEN(ReferenceData!$AJ$22),"",ReferenceData!$AJ$22),"")</f>
        <v>344585.25</v>
      </c>
      <c r="AK22">
        <f ca="1">IFERROR(IF(0=LEN(ReferenceData!$AK$22),"",ReferenceData!$AK$22),"")</f>
        <v>285223</v>
      </c>
      <c r="AL22">
        <f ca="1">IFERROR(IF(0=LEN(ReferenceData!$AL$22),"",ReferenceData!$AL$22),"")</f>
        <v>278580.25</v>
      </c>
      <c r="AM22">
        <f ca="1">IFERROR(IF(0=LEN(ReferenceData!$AM$22),"",ReferenceData!$AM$22),"")</f>
        <v>298056.05</v>
      </c>
      <c r="AN22">
        <f ca="1">IFERROR(IF(0=LEN(ReferenceData!$AN$22),"",ReferenceData!$AN$22),"")</f>
        <v>294009.95</v>
      </c>
      <c r="AO22">
        <f ca="1">IFERROR(IF(0=LEN(ReferenceData!$AO$22),"",ReferenceData!$AO$22),"")</f>
        <v>330179.59999999998</v>
      </c>
      <c r="AP22">
        <f ca="1">IFERROR(IF(0=LEN(ReferenceData!$AP$22),"",ReferenceData!$AP$22),"")</f>
        <v>281433.55</v>
      </c>
      <c r="AQ22">
        <f ca="1">IFERROR(IF(0=LEN(ReferenceData!$AQ$22),"",ReferenceData!$AQ$22),"")</f>
        <v>314118.05</v>
      </c>
      <c r="AR22">
        <f ca="1">IFERROR(IF(0=LEN(ReferenceData!$AR$22),"",ReferenceData!$AR$22),"")</f>
        <v>274006.75</v>
      </c>
      <c r="AS22">
        <f ca="1">IFERROR(IF(0=LEN(ReferenceData!$AS$22),"",ReferenceData!$AS$22),"")</f>
        <v>212700.75</v>
      </c>
      <c r="AT22">
        <f ca="1">IFERROR(IF(0=LEN(ReferenceData!$AT$22),"",ReferenceData!$AT$22),"")</f>
        <v>170959.75</v>
      </c>
      <c r="AU22">
        <f ca="1">IFERROR(IF(0=LEN(ReferenceData!$AU$22),"",ReferenceData!$AU$22),"")</f>
        <v>188566.75</v>
      </c>
      <c r="AV22">
        <f ca="1">IFERROR(IF(0=LEN(ReferenceData!$AV$22),"",ReferenceData!$AV$22),"")</f>
        <v>108167.75</v>
      </c>
      <c r="AW22">
        <f ca="1">IFERROR(IF(0=LEN(ReferenceData!$AW$22),"",ReferenceData!$AW$22),"")</f>
        <v>139543.75</v>
      </c>
      <c r="AX22">
        <f ca="1">IFERROR(IF(0=LEN(ReferenceData!$AX$22),"",ReferenceData!$AX$22),"")</f>
        <v>243206.9</v>
      </c>
      <c r="AY22">
        <f ca="1">IFERROR(IF(0=LEN(ReferenceData!$AY$22),"",ReferenceData!$AY$22),"")</f>
        <v>243010.25</v>
      </c>
      <c r="AZ22">
        <f ca="1">IFERROR(IF(0=LEN(ReferenceData!$AZ$22),"",ReferenceData!$AZ$22),"")</f>
        <v>219023.7</v>
      </c>
      <c r="BA22">
        <f ca="1">IFERROR(IF(0=LEN(ReferenceData!$BA$22),"",ReferenceData!$BA$22),"")</f>
        <v>237088.4</v>
      </c>
      <c r="BB22">
        <f ca="1">IFERROR(IF(0=LEN(ReferenceData!$BB$22),"",ReferenceData!$BB$22),"")</f>
        <v>246814.4</v>
      </c>
      <c r="BC22">
        <f ca="1">IFERROR(IF(0=LEN(ReferenceData!$BC$22),"",ReferenceData!$BC$22),"")</f>
        <v>277183.55</v>
      </c>
      <c r="BD22">
        <f ca="1">IFERROR(IF(0=LEN(ReferenceData!$BD$22),"",ReferenceData!$BD$22),"")</f>
        <v>274375.7</v>
      </c>
      <c r="BE22">
        <f ca="1">IFERROR(IF(0=LEN(ReferenceData!$BE$22),"",ReferenceData!$BE$22),"")</f>
        <v>229152.75</v>
      </c>
      <c r="BF22">
        <f ca="1">IFERROR(IF(0=LEN(ReferenceData!$BF$22),"",ReferenceData!$BF$22),"")</f>
        <v>233515.9</v>
      </c>
      <c r="BG22">
        <f ca="1">IFERROR(IF(0=LEN(ReferenceData!$BG$22),"",ReferenceData!$BG$22),"")</f>
        <v>220188.55</v>
      </c>
      <c r="BH22">
        <f ca="1">IFERROR(IF(0=LEN(ReferenceData!$BH$22),"",ReferenceData!$BH$22),"")</f>
        <v>194866.45</v>
      </c>
      <c r="BI22">
        <f ca="1">IFERROR(IF(0=LEN(ReferenceData!$BI$22),"",ReferenceData!$BI$22),"")</f>
        <v>214436.3</v>
      </c>
      <c r="BJ22">
        <f ca="1">IFERROR(IF(0=LEN(ReferenceData!$BJ$22),"",ReferenceData!$BJ$22),"")</f>
        <v>277533.75</v>
      </c>
      <c r="BK22">
        <f ca="1">IFERROR(IF(0=LEN(ReferenceData!$BK$22),"",ReferenceData!$BK$22),"")</f>
        <v>286386.90000000002</v>
      </c>
      <c r="BL22">
        <f ca="1">IFERROR(IF(0=LEN(ReferenceData!$BL$22),"",ReferenceData!$BL$22),"")</f>
        <v>257011.25</v>
      </c>
      <c r="BM22">
        <f ca="1">IFERROR(IF(0=LEN(ReferenceData!$BM$22),"",ReferenceData!$BM$22),"")</f>
        <v>292906.3</v>
      </c>
      <c r="BN22">
        <f ca="1">IFERROR(IF(0=LEN(ReferenceData!$BN$22),"",ReferenceData!$BN$22),"")</f>
        <v>239983.15</v>
      </c>
      <c r="BO22">
        <f ca="1">IFERROR(IF(0=LEN(ReferenceData!$BO$22),"",ReferenceData!$BO$22),"")</f>
        <v>243599.65</v>
      </c>
      <c r="BP22">
        <f ca="1">IFERROR(IF(0=LEN(ReferenceData!$BP$22),"",ReferenceData!$BP$22),"")</f>
        <v>227411.55</v>
      </c>
      <c r="BQ22">
        <f ca="1">IFERROR(IF(0=LEN(ReferenceData!$BQ$22),"",ReferenceData!$BQ$22),"")</f>
        <v>192613.9</v>
      </c>
      <c r="BR22">
        <f ca="1">IFERROR(IF(0=LEN(ReferenceData!$BR$22),"",ReferenceData!$BR$22),"")</f>
        <v>194536.8</v>
      </c>
      <c r="BS22">
        <f ca="1">IFERROR(IF(0=LEN(ReferenceData!$BS$22),"",ReferenceData!$BS$22),"")</f>
        <v>179724</v>
      </c>
      <c r="BT22">
        <f ca="1">IFERROR(IF(0=LEN(ReferenceData!$BT$22),"",ReferenceData!$BT$22),"")</f>
        <v>149699.20000000001</v>
      </c>
      <c r="BU22">
        <f ca="1">IFERROR(IF(0=LEN(ReferenceData!$BU$22),"",ReferenceData!$BU$22),"")</f>
        <v>184378.65</v>
      </c>
      <c r="BV22">
        <f ca="1">IFERROR(IF(0=LEN(ReferenceData!$BV$22),"",ReferenceData!$BV$22),"")</f>
        <v>235861.3</v>
      </c>
      <c r="BW22">
        <f ca="1">IFERROR(IF(0=LEN(ReferenceData!$BW$22),"",ReferenceData!$BW$22),"")</f>
        <v>240853.4</v>
      </c>
      <c r="BX22">
        <f ca="1">IFERROR(IF(0=LEN(ReferenceData!$BX$22),"",ReferenceData!$BX$22),"")</f>
        <v>282621.84999999998</v>
      </c>
      <c r="BY22">
        <f ca="1">IFERROR(IF(0=LEN(ReferenceData!$BY$22),"",ReferenceData!$BY$22),"")</f>
        <v>221167.45</v>
      </c>
      <c r="BZ22">
        <f ca="1">IFERROR(IF(0=LEN(ReferenceData!$BZ$22),"",ReferenceData!$BZ$22),"")</f>
        <v>246668.95</v>
      </c>
      <c r="CA22">
        <f ca="1">IFERROR(IF(0=LEN(ReferenceData!$CA$22),"",ReferenceData!$CA$22),"")</f>
        <v>256180.9</v>
      </c>
      <c r="CB22">
        <f ca="1">IFERROR(IF(0=LEN(ReferenceData!$CB$22),"",ReferenceData!$CB$22),"")</f>
        <v>224787.5</v>
      </c>
      <c r="CC22">
        <f ca="1">IFERROR(IF(0=LEN(ReferenceData!$CC$22),"",ReferenceData!$CC$22),"")</f>
        <v>213232.75</v>
      </c>
      <c r="CD22">
        <f ca="1">IFERROR(IF(0=LEN(ReferenceData!$CD$22),"",ReferenceData!$CD$22),"")</f>
        <v>213556.4</v>
      </c>
      <c r="CE22">
        <f ca="1">IFERROR(IF(0=LEN(ReferenceData!$CE$22),"",ReferenceData!$CE$22),"")</f>
        <v>185052.65</v>
      </c>
      <c r="CF22">
        <f ca="1">IFERROR(IF(0=LEN(ReferenceData!$CF$22),"",ReferenceData!$CF$22),"")</f>
        <v>223203</v>
      </c>
      <c r="CG22">
        <f ca="1">IFERROR(IF(0=LEN(ReferenceData!$CG$22),"",ReferenceData!$CG$22),"")</f>
        <v>171048.55</v>
      </c>
      <c r="CH22">
        <f ca="1">IFERROR(IF(0=LEN(ReferenceData!$CH$22),"",ReferenceData!$CH$22),"")</f>
        <v>248796.85</v>
      </c>
      <c r="CI22">
        <f ca="1">IFERROR(IF(0=LEN(ReferenceData!$CI$22),"",ReferenceData!$CI$22),"")</f>
        <v>237418.6</v>
      </c>
      <c r="CJ22">
        <f ca="1">IFERROR(IF(0=LEN(ReferenceData!$CJ$22),"",ReferenceData!$CJ$22),"")</f>
        <v>263154.25</v>
      </c>
      <c r="CK22">
        <f ca="1">IFERROR(IF(0=LEN(ReferenceData!$CK$22),"",ReferenceData!$CK$22),"")</f>
        <v>230857.2</v>
      </c>
    </row>
    <row r="23" spans="1:89" x14ac:dyDescent="0.25">
      <c r="A23" t="str">
        <f>IFERROR(IF(0=LEN(ReferenceData!$A$23),"",ReferenceData!$A$23),"")</f>
        <v xml:space="preserve">    Port of Long Beach (TEU)</v>
      </c>
      <c r="B23" t="str">
        <f>IFERROR(IF(0=LEN(ReferenceData!$B$23),"",ReferenceData!$B$23),"")</f>
        <v/>
      </c>
      <c r="C23" t="str">
        <f>IFERROR(IF(0=LEN(ReferenceData!$C$23),"",ReferenceData!$C$23),"")</f>
        <v/>
      </c>
      <c r="D23" t="str">
        <f>IFERROR(IF(0=LEN(ReferenceData!$D$23),"",ReferenceData!$D$23),"")</f>
        <v/>
      </c>
      <c r="E23" t="str">
        <f>IFERROR(IF(0=LEN(ReferenceData!$E$23),"",ReferenceData!$E$23),"")</f>
        <v>Sum</v>
      </c>
      <c r="F23">
        <f ca="1">IFERROR(IF(0=LEN(ReferenceData!$F$23),"",ReferenceData!$F$23),"")</f>
        <v>829429</v>
      </c>
      <c r="G23">
        <f ca="1">IFERROR(IF(0=LEN(ReferenceData!$G$23),"",ReferenceData!$G$23),"")</f>
        <v>682313</v>
      </c>
      <c r="H23">
        <f ca="1">IFERROR(IF(0=LEN(ReferenceData!$H$23),"",ReferenceData!$H$23),"")</f>
        <v>578250</v>
      </c>
      <c r="I23">
        <f ca="1">IFERROR(IF(0=LEN(ReferenceData!$I$23),"",ReferenceData!$I$23),"")</f>
        <v>597076</v>
      </c>
      <c r="J23">
        <f ca="1">IFERROR(IF(0=LEN(ReferenceData!$J$23),"",ReferenceData!$J$23),"")</f>
        <v>758226</v>
      </c>
      <c r="K23">
        <f ca="1">IFERROR(IF(0=LEN(ReferenceData!$K$23),"",ReferenceData!$K$23),"")</f>
        <v>656049</v>
      </c>
      <c r="L23">
        <f ca="1">IFERROR(IF(0=LEN(ReferenceData!$L$23),"",ReferenceData!$L$23),"")</f>
        <v>603879</v>
      </c>
      <c r="M23">
        <f ca="1">IFERROR(IF(0=LEN(ReferenceData!$M$23),"",ReferenceData!$M$23),"")</f>
        <v>543676</v>
      </c>
      <c r="N23">
        <f ca="1">IFERROR(IF(0=LEN(ReferenceData!$N$23),"",ReferenceData!$N$23),"")</f>
        <v>573773</v>
      </c>
      <c r="O23">
        <f ca="1">IFERROR(IF(0=LEN(ReferenceData!$O$23),"",ReferenceData!$O$23),"")</f>
        <v>544105</v>
      </c>
      <c r="P23">
        <f ca="1">IFERROR(IF(0=LEN(ReferenceData!$P$23),"",ReferenceData!$P$23),"")</f>
        <v>588743</v>
      </c>
      <c r="Q23">
        <f ca="1">IFERROR(IF(0=LEN(ReferenceData!$Q$23),"",ReferenceData!$Q$23),"")</f>
        <v>658428</v>
      </c>
      <c r="R23">
        <f ca="1">IFERROR(IF(0=LEN(ReferenceData!$R$23),"",ReferenceData!$R$23),"")</f>
        <v>741823</v>
      </c>
      <c r="S23">
        <f ca="1">IFERROR(IF(0=LEN(ReferenceData!$S$23),"",ReferenceData!$S$23),"")</f>
        <v>806940</v>
      </c>
      <c r="T23">
        <f ca="1">IFERROR(IF(0=LEN(ReferenceData!$T$23),"",ReferenceData!$T$23),"")</f>
        <v>785843</v>
      </c>
      <c r="U23">
        <f ca="1">IFERROR(IF(0=LEN(ReferenceData!$U$23),"",ReferenceData!$U$23),"")</f>
        <v>835412</v>
      </c>
      <c r="V23">
        <f ca="1">IFERROR(IF(0=LEN(ReferenceData!$V$23),"",ReferenceData!$V$23),"")</f>
        <v>890989</v>
      </c>
      <c r="W23">
        <f ca="1">IFERROR(IF(0=LEN(ReferenceData!$W$23),"",ReferenceData!$W$23),"")</f>
        <v>820719</v>
      </c>
      <c r="X23">
        <f ca="1">IFERROR(IF(0=LEN(ReferenceData!$X$23),"",ReferenceData!$X$23),"")</f>
        <v>863156</v>
      </c>
      <c r="Y23">
        <f ca="1">IFERROR(IF(0=LEN(ReferenceData!$Y$23),"",ReferenceData!$Y$23),"")</f>
        <v>796560</v>
      </c>
      <c r="Z23">
        <f ca="1">IFERROR(IF(0=LEN(ReferenceData!$Z$23),"",ReferenceData!$Z$23),"")</f>
        <v>800944</v>
      </c>
      <c r="AA23">
        <f ca="1">IFERROR(IF(0=LEN(ReferenceData!$AA$23),"",ReferenceData!$AA$23),"")</f>
        <v>754314</v>
      </c>
      <c r="AB23">
        <f ca="1">IFERROR(IF(0=LEN(ReferenceData!$AB$23),"",ReferenceData!$AB$23),"")</f>
        <v>745489</v>
      </c>
      <c r="AC23">
        <f ca="1">IFERROR(IF(0=LEN(ReferenceData!$AC$23),"",ReferenceData!$AC$23),"")</f>
        <v>789716</v>
      </c>
      <c r="AD23">
        <f ca="1">IFERROR(IF(0=LEN(ReferenceData!$AD$23),"",ReferenceData!$AD$23),"")</f>
        <v>748473</v>
      </c>
      <c r="AE23">
        <f ca="1">IFERROR(IF(0=LEN(ReferenceData!$AE$23),"",ReferenceData!$AE$23),"")</f>
        <v>807705</v>
      </c>
      <c r="AF23">
        <f ca="1">IFERROR(IF(0=LEN(ReferenceData!$AF$23),"",ReferenceData!$AF$23),"")</f>
        <v>784846</v>
      </c>
      <c r="AG23">
        <f ca="1">IFERROR(IF(0=LEN(ReferenceData!$AG$23),"",ReferenceData!$AG$23),"")</f>
        <v>724297</v>
      </c>
      <c r="AH23">
        <f ca="1">IFERROR(IF(0=LEN(ReferenceData!$AH$23),"",ReferenceData!$AH$23),"")</f>
        <v>907216</v>
      </c>
      <c r="AI23">
        <f ca="1">IFERROR(IF(0=LEN(ReferenceData!$AI$23),"",ReferenceData!$AI$23),"")</f>
        <v>746189</v>
      </c>
      <c r="AJ23">
        <f ca="1">IFERROR(IF(0=LEN(ReferenceData!$AJ$23),"",ReferenceData!$AJ$23),"")</f>
        <v>840386</v>
      </c>
      <c r="AK23">
        <f ca="1">IFERROR(IF(0=LEN(ReferenceData!$AK$23),"",ReferenceData!$AK$23),"")</f>
        <v>771735</v>
      </c>
      <c r="AL23">
        <f ca="1">IFERROR(IF(0=LEN(ReferenceData!$AL$23),"",ReferenceData!$AL$23),"")</f>
        <v>764007</v>
      </c>
      <c r="AM23">
        <f ca="1">IFERROR(IF(0=LEN(ReferenceData!$AM$23),"",ReferenceData!$AM$23),"")</f>
        <v>815886</v>
      </c>
      <c r="AN23">
        <f ca="1">IFERROR(IF(0=LEN(ReferenceData!$AN$23),"",ReferenceData!$AN$23),"")</f>
        <v>783523</v>
      </c>
      <c r="AO23">
        <f ca="1">IFERROR(IF(0=LEN(ReferenceData!$AO$23),"",ReferenceData!$AO$23),"")</f>
        <v>806604</v>
      </c>
      <c r="AP23">
        <f ca="1">IFERROR(IF(0=LEN(ReferenceData!$AP$23),"",ReferenceData!$AP$23),"")</f>
        <v>795580</v>
      </c>
      <c r="AQ23">
        <f ca="1">IFERROR(IF(0=LEN(ReferenceData!$AQ$23),"",ReferenceData!$AQ$23),"")</f>
        <v>725611</v>
      </c>
      <c r="AR23">
        <f ca="1">IFERROR(IF(0=LEN(ReferenceData!$AR$23),"",ReferenceData!$AR$23),"")</f>
        <v>753081</v>
      </c>
      <c r="AS23">
        <f ca="1">IFERROR(IF(0=LEN(ReferenceData!$AS$23),"",ReferenceData!$AS$23),"")</f>
        <v>602180</v>
      </c>
      <c r="AT23">
        <f ca="1">IFERROR(IF(0=LEN(ReferenceData!$AT$23),"",ReferenceData!$AT$23),"")</f>
        <v>628206</v>
      </c>
      <c r="AU23">
        <f ca="1">IFERROR(IF(0=LEN(ReferenceData!$AU$23),"",ReferenceData!$AU$23),"")</f>
        <v>519731</v>
      </c>
      <c r="AV23">
        <f ca="1">IFERROR(IF(0=LEN(ReferenceData!$AV$23),"",ReferenceData!$AV$23),"")</f>
        <v>517664</v>
      </c>
      <c r="AW23">
        <f ca="1">IFERROR(IF(0=LEN(ReferenceData!$AW$23),"",ReferenceData!$AW$23),"")</f>
        <v>538428</v>
      </c>
      <c r="AX23">
        <f ca="1">IFERROR(IF(0=LEN(ReferenceData!$AX$23),"",ReferenceData!$AX$23),"")</f>
        <v>626829</v>
      </c>
      <c r="AY23">
        <f ca="1">IFERROR(IF(0=LEN(ReferenceData!$AY$23),"",ReferenceData!$AY$23),"")</f>
        <v>665261</v>
      </c>
      <c r="AZ23">
        <f ca="1">IFERROR(IF(0=LEN(ReferenceData!$AZ$23),"",ReferenceData!$AZ$23),"")</f>
        <v>599984</v>
      </c>
      <c r="BA23">
        <f ca="1">IFERROR(IF(0=LEN(ReferenceData!$BA$23),"",ReferenceData!$BA$23),"")</f>
        <v>688425</v>
      </c>
      <c r="BB23">
        <f ca="1">IFERROR(IF(0=LEN(ReferenceData!$BB$23),"",ReferenceData!$BB$23),"")</f>
        <v>706955</v>
      </c>
      <c r="BC23">
        <f ca="1">IFERROR(IF(0=LEN(ReferenceData!$BC$23),"",ReferenceData!$BC$23),"")</f>
        <v>663993</v>
      </c>
      <c r="BD23">
        <f ca="1">IFERROR(IF(0=LEN(ReferenceData!$BD$23),"",ReferenceData!$BD$23),"")</f>
        <v>621781</v>
      </c>
      <c r="BE23">
        <f ca="1">IFERROR(IF(0=LEN(ReferenceData!$BE$23),"",ReferenceData!$BE$23),"")</f>
        <v>677168</v>
      </c>
      <c r="BF23">
        <f ca="1">IFERROR(IF(0=LEN(ReferenceData!$BF$23),"",ReferenceData!$BF$23),"")</f>
        <v>573624</v>
      </c>
      <c r="BG23">
        <f ca="1">IFERROR(IF(0=LEN(ReferenceData!$BG$23),"",ReferenceData!$BG$23),"")</f>
        <v>628122</v>
      </c>
      <c r="BH23">
        <f ca="1">IFERROR(IF(0=LEN(ReferenceData!$BH$23),"",ReferenceData!$BH$23),"")</f>
        <v>552821</v>
      </c>
      <c r="BI23">
        <f ca="1">IFERROR(IF(0=LEN(ReferenceData!$BI$23),"",ReferenceData!$BI$23),"")</f>
        <v>596617</v>
      </c>
      <c r="BJ23">
        <f ca="1">IFERROR(IF(0=LEN(ReferenceData!$BJ$23),"",ReferenceData!$BJ$23),"")</f>
        <v>657286</v>
      </c>
      <c r="BK23">
        <f ca="1">IFERROR(IF(0=LEN(ReferenceData!$BK$23),"",ReferenceData!$BK$23),"")</f>
        <v>741647</v>
      </c>
      <c r="BL23">
        <f ca="1">IFERROR(IF(0=LEN(ReferenceData!$BL$23),"",ReferenceData!$BL$23),"")</f>
        <v>621834</v>
      </c>
      <c r="BM23">
        <f ca="1">IFERROR(IF(0=LEN(ReferenceData!$BM$23),"",ReferenceData!$BM$23),"")</f>
        <v>705408</v>
      </c>
      <c r="BN23">
        <f ca="1">IFERROR(IF(0=LEN(ReferenceData!$BN$23),"",ReferenceData!$BN$23),"")</f>
        <v>701205</v>
      </c>
      <c r="BO23">
        <f ca="1">IFERROR(IF(0=LEN(ReferenceData!$BO$23),"",ReferenceData!$BO$23),"")</f>
        <v>679543</v>
      </c>
      <c r="BP23">
        <f ca="1">IFERROR(IF(0=LEN(ReferenceData!$BP$23),"",ReferenceData!$BP$23),"")</f>
        <v>688458</v>
      </c>
      <c r="BQ23">
        <f ca="1">IFERROR(IF(0=LEN(ReferenceData!$BQ$23),"",ReferenceData!$BQ$23),"")</f>
        <v>752189</v>
      </c>
      <c r="BR23">
        <f ca="1">IFERROR(IF(0=LEN(ReferenceData!$BR$23),"",ReferenceData!$BR$23),"")</f>
        <v>687427</v>
      </c>
      <c r="BS23">
        <f ca="1">IFERROR(IF(0=LEN(ReferenceData!$BS$23),"",ReferenceData!$BS$23),"")</f>
        <v>618439</v>
      </c>
      <c r="BT23">
        <f ca="1">IFERROR(IF(0=LEN(ReferenceData!$BT$23),"",ReferenceData!$BT$23),"")</f>
        <v>575258</v>
      </c>
      <c r="BU23">
        <f ca="1">IFERROR(IF(0=LEN(ReferenceData!$BU$23),"",ReferenceData!$BU$23),"")</f>
        <v>661791</v>
      </c>
      <c r="BV23">
        <f ca="1">IFERROR(IF(0=LEN(ReferenceData!$BV$23),"",ReferenceData!$BV$23),"")</f>
        <v>657830</v>
      </c>
      <c r="BW23">
        <f ca="1">IFERROR(IF(0=LEN(ReferenceData!$BW$23),"",ReferenceData!$BW$23),"")</f>
        <v>696919</v>
      </c>
      <c r="BX23">
        <f ca="1">IFERROR(IF(0=LEN(ReferenceData!$BX$23),"",ReferenceData!$BX$23),"")</f>
        <v>612659</v>
      </c>
      <c r="BY23">
        <f ca="1">IFERROR(IF(0=LEN(ReferenceData!$BY$23),"",ReferenceData!$BY$23),"")</f>
        <v>669218</v>
      </c>
      <c r="BZ23">
        <f ca="1">IFERROR(IF(0=LEN(ReferenceData!$BZ$23),"",ReferenceData!$BZ$23),"")</f>
        <v>701619</v>
      </c>
      <c r="CA23">
        <f ca="1">IFERROR(IF(0=LEN(ReferenceData!$CA$23),"",ReferenceData!$CA$23),"")</f>
        <v>692375</v>
      </c>
      <c r="CB23">
        <f ca="1">IFERROR(IF(0=LEN(ReferenceData!$CB$23),"",ReferenceData!$CB$23),"")</f>
        <v>720312</v>
      </c>
      <c r="CC23">
        <f ca="1">IFERROR(IF(0=LEN(ReferenceData!$CC$23),"",ReferenceData!$CC$23),"")</f>
        <v>658727</v>
      </c>
      <c r="CD23">
        <f ca="1">IFERROR(IF(0=LEN(ReferenceData!$CD$23),"",ReferenceData!$CD$23),"")</f>
        <v>648288</v>
      </c>
      <c r="CE23">
        <f ca="1">IFERROR(IF(0=LEN(ReferenceData!$CE$23),"",ReferenceData!$CE$23),"")</f>
        <v>558014</v>
      </c>
      <c r="CF23">
        <f ca="1">IFERROR(IF(0=LEN(ReferenceData!$CF$23),"",ReferenceData!$CF$23),"")</f>
        <v>505382</v>
      </c>
      <c r="CG23">
        <f ca="1">IFERROR(IF(0=LEN(ReferenceData!$CG$23),"",ReferenceData!$CG$23),"")</f>
        <v>498312</v>
      </c>
      <c r="CH23">
        <f ca="1">IFERROR(IF(0=LEN(ReferenceData!$CH$23),"",ReferenceData!$CH$23),"")</f>
        <v>582689</v>
      </c>
      <c r="CI23">
        <f ca="1">IFERROR(IF(0=LEN(ReferenceData!$CI$23),"",ReferenceData!$CI$23),"")</f>
        <v>548929</v>
      </c>
      <c r="CJ23">
        <f ca="1">IFERROR(IF(0=LEN(ReferenceData!$CJ$23),"",ReferenceData!$CJ$23),"")</f>
        <v>534308</v>
      </c>
      <c r="CK23">
        <f ca="1">IFERROR(IF(0=LEN(ReferenceData!$CK$23),"",ReferenceData!$CK$23),"")</f>
        <v>581808</v>
      </c>
    </row>
    <row r="24" spans="1:89" x14ac:dyDescent="0.25">
      <c r="A24" t="str">
        <f>IFERROR(IF(0=LEN(ReferenceData!$A$24),"",ReferenceData!$A$24),"")</f>
        <v xml:space="preserve">        Loaded Inbound Containers (TEU)</v>
      </c>
      <c r="B24" t="str">
        <f>IFERROR(IF(0=LEN(ReferenceData!$B$24),"",ReferenceData!$B$24),"")</f>
        <v>LALBLBIM Index</v>
      </c>
      <c r="C24" t="str">
        <f>IFERROR(IF(0=LEN(ReferenceData!$C$24),"",ReferenceData!$C$24),"")</f>
        <v>PX385</v>
      </c>
      <c r="D24" t="str">
        <f>IFERROR(IF(0=LEN(ReferenceData!$D$24),"",ReferenceData!$D$24),"")</f>
        <v>INTERVAL_SUM</v>
      </c>
      <c r="E24" t="str">
        <f>IFERROR(IF(0=LEN(ReferenceData!$E$24),"",ReferenceData!$E$24),"")</f>
        <v>Dynamic</v>
      </c>
      <c r="F24">
        <f ca="1">IFERROR(IF(0=LEN(ReferenceData!$F$24),"",ReferenceData!$F$24),"")</f>
        <v>408926</v>
      </c>
      <c r="G24">
        <f ca="1">IFERROR(IF(0=LEN(ReferenceData!$G$24),"",ReferenceData!$G$24),"")</f>
        <v>325436</v>
      </c>
      <c r="H24">
        <f ca="1">IFERROR(IF(0=LEN(ReferenceData!$H$24),"",ReferenceData!$H$24),"")</f>
        <v>271086</v>
      </c>
      <c r="I24">
        <f ca="1">IFERROR(IF(0=LEN(ReferenceData!$I$24),"",ReferenceData!$I$24),"")</f>
        <v>274325</v>
      </c>
      <c r="J24">
        <f ca="1">IFERROR(IF(0=LEN(ReferenceData!$J$24),"",ReferenceData!$J$24),"")</f>
        <v>361661</v>
      </c>
      <c r="K24">
        <f ca="1">IFERROR(IF(0=LEN(ReferenceData!$K$24),"",ReferenceData!$K$24),"")</f>
        <v>313444</v>
      </c>
      <c r="L24">
        <f ca="1">IFERROR(IF(0=LEN(ReferenceData!$L$24),"",ReferenceData!$L$24),"")</f>
        <v>279148</v>
      </c>
      <c r="M24">
        <f ca="1">IFERROR(IF(0=LEN(ReferenceData!$M$24),"",ReferenceData!$M$24),"")</f>
        <v>254970</v>
      </c>
      <c r="N24">
        <f ca="1">IFERROR(IF(0=LEN(ReferenceData!$N$24),"",ReferenceData!$N$24),"")</f>
        <v>263394</v>
      </c>
      <c r="O24">
        <f ca="1">IFERROR(IF(0=LEN(ReferenceData!$O$24),"",ReferenceData!$O$24),"")</f>
        <v>241643</v>
      </c>
      <c r="P24">
        <f ca="1">IFERROR(IF(0=LEN(ReferenceData!$P$24),"",ReferenceData!$P$24),"")</f>
        <v>259442</v>
      </c>
      <c r="Q24">
        <f ca="1">IFERROR(IF(0=LEN(ReferenceData!$Q$24),"",ReferenceData!$Q$24),"")</f>
        <v>293924</v>
      </c>
      <c r="R24">
        <f ca="1">IFERROR(IF(0=LEN(ReferenceData!$R$24),"",ReferenceData!$R$24),"")</f>
        <v>342671</v>
      </c>
      <c r="S24">
        <f ca="1">IFERROR(IF(0=LEN(ReferenceData!$S$24),"",ReferenceData!$S$24),"")</f>
        <v>384530</v>
      </c>
      <c r="T24">
        <f ca="1">IFERROR(IF(0=LEN(ReferenceData!$T$24),"",ReferenceData!$T$24),"")</f>
        <v>376175</v>
      </c>
      <c r="U24">
        <f ca="1">IFERROR(IF(0=LEN(ReferenceData!$U$24),"",ReferenceData!$U$24),"")</f>
        <v>415677</v>
      </c>
      <c r="V24">
        <f ca="1">IFERROR(IF(0=LEN(ReferenceData!$V$24),"",ReferenceData!$V$24),"")</f>
        <v>436977</v>
      </c>
      <c r="W24">
        <f ca="1">IFERROR(IF(0=LEN(ReferenceData!$W$24),"",ReferenceData!$W$24),"")</f>
        <v>400803</v>
      </c>
      <c r="X24">
        <f ca="1">IFERROR(IF(0=LEN(ReferenceData!$X$24),"",ReferenceData!$X$24),"")</f>
        <v>427280</v>
      </c>
      <c r="Y24">
        <f ca="1">IFERROR(IF(0=LEN(ReferenceData!$Y$24),"",ReferenceData!$Y$24),"")</f>
        <v>390335</v>
      </c>
      <c r="Z24">
        <f ca="1">IFERROR(IF(0=LEN(ReferenceData!$Z$24),"",ReferenceData!$Z$24),"")</f>
        <v>389334</v>
      </c>
      <c r="AA24">
        <f ca="1">IFERROR(IF(0=LEN(ReferenceData!$AA$24),"",ReferenceData!$AA$24),"")</f>
        <v>358687</v>
      </c>
      <c r="AB24">
        <f ca="1">IFERROR(IF(0=LEN(ReferenceData!$AB$24),"",ReferenceData!$AB$24),"")</f>
        <v>362394</v>
      </c>
      <c r="AC24">
        <f ca="1">IFERROR(IF(0=LEN(ReferenceData!$AC$24),"",ReferenceData!$AC$24),"")</f>
        <v>385000</v>
      </c>
      <c r="AD24">
        <f ca="1">IFERROR(IF(0=LEN(ReferenceData!$AD$24),"",ReferenceData!$AD$24),"")</f>
        <v>370230</v>
      </c>
      <c r="AE24">
        <f ca="1">IFERROR(IF(0=LEN(ReferenceData!$AE$24),"",ReferenceData!$AE$24),"")</f>
        <v>407426</v>
      </c>
      <c r="AF24">
        <f ca="1">IFERROR(IF(0=LEN(ReferenceData!$AF$24),"",ReferenceData!$AF$24),"")</f>
        <v>382940</v>
      </c>
      <c r="AG24">
        <f ca="1">IFERROR(IF(0=LEN(ReferenceData!$AG$24),"",ReferenceData!$AG$24),"")</f>
        <v>357101</v>
      </c>
      <c r="AH24">
        <f ca="1">IFERROR(IF(0=LEN(ReferenceData!$AH$24),"",ReferenceData!$AH$24),"")</f>
        <v>444736</v>
      </c>
      <c r="AI24">
        <f ca="1">IFERROR(IF(0=LEN(ReferenceData!$AI$24),"",ReferenceData!$AI$24),"")</f>
        <v>367151</v>
      </c>
      <c r="AJ24">
        <f ca="1">IFERROR(IF(0=LEN(ReferenceData!$AJ$24),"",ReferenceData!$AJ$24),"")</f>
        <v>408172</v>
      </c>
      <c r="AK24">
        <f ca="1">IFERROR(IF(0=LEN(ReferenceData!$AK$24),"",ReferenceData!$AK$24),"")</f>
        <v>373756</v>
      </c>
      <c r="AL24">
        <f ca="1">IFERROR(IF(0=LEN(ReferenceData!$AL$24),"",ReferenceData!$AL$24),"")</f>
        <v>364255</v>
      </c>
      <c r="AM24">
        <f ca="1">IFERROR(IF(0=LEN(ReferenceData!$AM$24),"",ReferenceData!$AM$24),"")</f>
        <v>406072</v>
      </c>
      <c r="AN24">
        <f ca="1">IFERROR(IF(0=LEN(ReferenceData!$AN$24),"",ReferenceData!$AN$24),"")</f>
        <v>382677</v>
      </c>
      <c r="AO24">
        <f ca="1">IFERROR(IF(0=LEN(ReferenceData!$AO$24),"",ReferenceData!$AO$24),"")</f>
        <v>402408</v>
      </c>
      <c r="AP24">
        <f ca="1">IFERROR(IF(0=LEN(ReferenceData!$AP$24),"",ReferenceData!$AP$24),"")</f>
        <v>405618</v>
      </c>
      <c r="AQ24">
        <f ca="1">IFERROR(IF(0=LEN(ReferenceData!$AQ$24),"",ReferenceData!$AQ$24),"")</f>
        <v>364792</v>
      </c>
      <c r="AR24">
        <f ca="1">IFERROR(IF(0=LEN(ReferenceData!$AR$24),"",ReferenceData!$AR$24),"")</f>
        <v>376807</v>
      </c>
      <c r="AS24">
        <f ca="1">IFERROR(IF(0=LEN(ReferenceData!$AS$24),"",ReferenceData!$AS$24),"")</f>
        <v>300714</v>
      </c>
      <c r="AT24">
        <f ca="1">IFERROR(IF(0=LEN(ReferenceData!$AT$24),"",ReferenceData!$AT$24),"")</f>
        <v>312590</v>
      </c>
      <c r="AU24">
        <f ca="1">IFERROR(IF(0=LEN(ReferenceData!$AU$24),"",ReferenceData!$AU$24),"")</f>
        <v>253540</v>
      </c>
      <c r="AV24">
        <f ca="1">IFERROR(IF(0=LEN(ReferenceData!$AV$24),"",ReferenceData!$AV$24),"")</f>
        <v>234570</v>
      </c>
      <c r="AW24">
        <f ca="1">IFERROR(IF(0=LEN(ReferenceData!$AW$24),"",ReferenceData!$AW$24),"")</f>
        <v>248592</v>
      </c>
      <c r="AX24">
        <f ca="1">IFERROR(IF(0=LEN(ReferenceData!$AX$24),"",ReferenceData!$AX$24),"")</f>
        <v>309961</v>
      </c>
      <c r="AY24">
        <f ca="1">IFERROR(IF(0=LEN(ReferenceData!$AY$24),"",ReferenceData!$AY$24),"")</f>
        <v>323231</v>
      </c>
      <c r="AZ24">
        <f ca="1">IFERROR(IF(0=LEN(ReferenceData!$AZ$24),"",ReferenceData!$AZ$24),"")</f>
        <v>293287</v>
      </c>
      <c r="BA24">
        <f ca="1">IFERROR(IF(0=LEN(ReferenceData!$BA$24),"",ReferenceData!$BA$24),"")</f>
        <v>337062</v>
      </c>
      <c r="BB24">
        <f ca="1">IFERROR(IF(0=LEN(ReferenceData!$BB$24),"",ReferenceData!$BB$24),"")</f>
        <v>354919</v>
      </c>
      <c r="BC24">
        <f ca="1">IFERROR(IF(0=LEN(ReferenceData!$BC$24),"",ReferenceData!$BC$24),"")</f>
        <v>322780</v>
      </c>
      <c r="BD24">
        <f ca="1">IFERROR(IF(0=LEN(ReferenceData!$BD$24),"",ReferenceData!$BD$24),"")</f>
        <v>313350</v>
      </c>
      <c r="BE24">
        <f ca="1">IFERROR(IF(0=LEN(ReferenceData!$BE$24),"",ReferenceData!$BE$24),"")</f>
        <v>331617</v>
      </c>
      <c r="BF24">
        <f ca="1">IFERROR(IF(0=LEN(ReferenceData!$BF$24),"",ReferenceData!$BF$24),"")</f>
        <v>290568</v>
      </c>
      <c r="BG24">
        <f ca="1">IFERROR(IF(0=LEN(ReferenceData!$BG$24),"",ReferenceData!$BG$24),"")</f>
        <v>317883</v>
      </c>
      <c r="BH24">
        <f ca="1">IFERROR(IF(0=LEN(ReferenceData!$BH$24),"",ReferenceData!$BH$24),"")</f>
        <v>247039</v>
      </c>
      <c r="BI24">
        <f ca="1">IFERROR(IF(0=LEN(ReferenceData!$BI$24),"",ReferenceData!$BI$24),"")</f>
        <v>302865</v>
      </c>
      <c r="BJ24">
        <f ca="1">IFERROR(IF(0=LEN(ReferenceData!$BJ$24),"",ReferenceData!$BJ$24),"")</f>
        <v>323838</v>
      </c>
      <c r="BK24">
        <f ca="1">IFERROR(IF(0=LEN(ReferenceData!$BK$24),"",ReferenceData!$BK$24),"")</f>
        <v>373098</v>
      </c>
      <c r="BL24">
        <f ca="1">IFERROR(IF(0=LEN(ReferenceData!$BL$24),"",ReferenceData!$BL$24),"")</f>
        <v>319877</v>
      </c>
      <c r="BM24">
        <f ca="1">IFERROR(IF(0=LEN(ReferenceData!$BM$24),"",ReferenceData!$BM$24),"")</f>
        <v>364084</v>
      </c>
      <c r="BN24">
        <f ca="1">IFERROR(IF(0=LEN(ReferenceData!$BN$24),"",ReferenceData!$BN$24),"")</f>
        <v>357301</v>
      </c>
      <c r="BO24">
        <f ca="1">IFERROR(IF(0=LEN(ReferenceData!$BO$24),"",ReferenceData!$BO$24),"")</f>
        <v>343029</v>
      </c>
      <c r="BP24">
        <f ca="1">IFERROR(IF(0=LEN(ReferenceData!$BP$24),"",ReferenceData!$BP$24),"")</f>
        <v>347736</v>
      </c>
      <c r="BQ24">
        <f ca="1">IFERROR(IF(0=LEN(ReferenceData!$BQ$24),"",ReferenceData!$BQ$24),"")</f>
        <v>384095</v>
      </c>
      <c r="BR24">
        <f ca="1">IFERROR(IF(0=LEN(ReferenceData!$BR$24),"",ReferenceData!$BR$24),"")</f>
        <v>361056</v>
      </c>
      <c r="BS24">
        <f ca="1">IFERROR(IF(0=LEN(ReferenceData!$BS$24),"",ReferenceData!$BS$24),"")</f>
        <v>312376</v>
      </c>
      <c r="BT24">
        <f ca="1">IFERROR(IF(0=LEN(ReferenceData!$BT$24),"",ReferenceData!$BT$24),"")</f>
        <v>267824</v>
      </c>
      <c r="BU24">
        <f ca="1">IFERROR(IF(0=LEN(ReferenceData!$BU$24),"",ReferenceData!$BU$24),"")</f>
        <v>342247</v>
      </c>
      <c r="BV24">
        <f ca="1">IFERROR(IF(0=LEN(ReferenceData!$BV$24),"",ReferenceData!$BV$24),"")</f>
        <v>324656</v>
      </c>
      <c r="BW24">
        <f ca="1">IFERROR(IF(0=LEN(ReferenceData!$BW$24),"",ReferenceData!$BW$24),"")</f>
        <v>345721</v>
      </c>
      <c r="BX24">
        <f ca="1">IFERROR(IF(0=LEN(ReferenceData!$BX$24),"",ReferenceData!$BX$24),"")</f>
        <v>319210</v>
      </c>
      <c r="BY24">
        <f ca="1">IFERROR(IF(0=LEN(ReferenceData!$BY$24),"",ReferenceData!$BY$24),"")</f>
        <v>339013</v>
      </c>
      <c r="BZ24">
        <f ca="1">IFERROR(IF(0=LEN(ReferenceData!$BZ$24),"",ReferenceData!$BZ$24),"")</f>
        <v>366298</v>
      </c>
      <c r="CA24">
        <f ca="1">IFERROR(IF(0=LEN(ReferenceData!$CA$24),"",ReferenceData!$CA$24),"")</f>
        <v>355715</v>
      </c>
      <c r="CB24">
        <f ca="1">IFERROR(IF(0=LEN(ReferenceData!$CB$24),"",ReferenceData!$CB$24),"")</f>
        <v>378820</v>
      </c>
      <c r="CC24">
        <f ca="1">IFERROR(IF(0=LEN(ReferenceData!$CC$24),"",ReferenceData!$CC$24),"")</f>
        <v>335328</v>
      </c>
      <c r="CD24">
        <f ca="1">IFERROR(IF(0=LEN(ReferenceData!$CD$24),"",ReferenceData!$CD$24),"")</f>
        <v>336594</v>
      </c>
      <c r="CE24">
        <f ca="1">IFERROR(IF(0=LEN(ReferenceData!$CE$24),"",ReferenceData!$CE$24),"")</f>
        <v>288207</v>
      </c>
      <c r="CF24">
        <f ca="1">IFERROR(IF(0=LEN(ReferenceData!$CF$24),"",ReferenceData!$CF$24),"")</f>
        <v>249534</v>
      </c>
      <c r="CG24">
        <f ca="1">IFERROR(IF(0=LEN(ReferenceData!$CG$24),"",ReferenceData!$CG$24),"")</f>
        <v>249759</v>
      </c>
      <c r="CH24">
        <f ca="1">IFERROR(IF(0=LEN(ReferenceData!$CH$24),"",ReferenceData!$CH$24),"")</f>
        <v>298990</v>
      </c>
      <c r="CI24">
        <f ca="1">IFERROR(IF(0=LEN(ReferenceData!$CI$24),"",ReferenceData!$CI$24),"")</f>
        <v>271599</v>
      </c>
      <c r="CJ24">
        <f ca="1">IFERROR(IF(0=LEN(ReferenceData!$CJ$24),"",ReferenceData!$CJ$24),"")</f>
        <v>270610</v>
      </c>
      <c r="CK24">
        <f ca="1">IFERROR(IF(0=LEN(ReferenceData!$CK$24),"",ReferenceData!$CK$24),"")</f>
        <v>296711</v>
      </c>
    </row>
    <row r="25" spans="1:89" x14ac:dyDescent="0.25">
      <c r="A25" t="str">
        <f>IFERROR(IF(0=LEN(ReferenceData!$A$25),"",ReferenceData!$A$25),"")</f>
        <v xml:space="preserve">        Loaded Outbound Containers (TEU)</v>
      </c>
      <c r="B25" t="str">
        <f>IFERROR(IF(0=LEN(ReferenceData!$B$25),"",ReferenceData!$B$25),"")</f>
        <v>LALBLBEX Index</v>
      </c>
      <c r="C25" t="str">
        <f>IFERROR(IF(0=LEN(ReferenceData!$C$25),"",ReferenceData!$C$25),"")</f>
        <v>PX385</v>
      </c>
      <c r="D25" t="str">
        <f>IFERROR(IF(0=LEN(ReferenceData!$D$25),"",ReferenceData!$D$25),"")</f>
        <v>INTERVAL_SUM</v>
      </c>
      <c r="E25" t="str">
        <f>IFERROR(IF(0=LEN(ReferenceData!$E$25),"",ReferenceData!$E$25),"")</f>
        <v>Dynamic</v>
      </c>
      <c r="F25">
        <f ca="1">IFERROR(IF(0=LEN(ReferenceData!$F$25),"",ReferenceData!$F$25),"")</f>
        <v>101248</v>
      </c>
      <c r="G25">
        <f ca="1">IFERROR(IF(0=LEN(ReferenceData!$G$25),"",ReferenceData!$G$25),"")</f>
        <v>93402</v>
      </c>
      <c r="H25">
        <f ca="1">IFERROR(IF(0=LEN(ReferenceData!$H$25),"",ReferenceData!$H$25),"")</f>
        <v>90134</v>
      </c>
      <c r="I25">
        <f ca="1">IFERROR(IF(0=LEN(ReferenceData!$I$25),"",ReferenceData!$I$25),"")</f>
        <v>94508</v>
      </c>
      <c r="J25">
        <f ca="1">IFERROR(IF(0=LEN(ReferenceData!$J$25),"",ReferenceData!$J$25),"")</f>
        <v>127870</v>
      </c>
      <c r="K25">
        <f ca="1">IFERROR(IF(0=LEN(ReferenceData!$K$25),"",ReferenceData!$K$25),"")</f>
        <v>122663</v>
      </c>
      <c r="L25">
        <f ca="1">IFERROR(IF(0=LEN(ReferenceData!$L$25),"",ReferenceData!$L$25),"")</f>
        <v>133512</v>
      </c>
      <c r="M25">
        <f ca="1">IFERROR(IF(0=LEN(ReferenceData!$M$25),"",ReferenceData!$M$25),"")</f>
        <v>110919</v>
      </c>
      <c r="N25">
        <f ca="1">IFERROR(IF(0=LEN(ReferenceData!$N$25),"",ReferenceData!$N$25),"")</f>
        <v>105623</v>
      </c>
      <c r="O25">
        <f ca="1">IFERROR(IF(0=LEN(ReferenceData!$O$25),"",ReferenceData!$O$25),"")</f>
        <v>115782</v>
      </c>
      <c r="P25">
        <f ca="1">IFERROR(IF(0=LEN(ReferenceData!$P$25),"",ReferenceData!$P$25),"")</f>
        <v>124988</v>
      </c>
      <c r="Q25">
        <f ca="1">IFERROR(IF(0=LEN(ReferenceData!$Q$25),"",ReferenceData!$Q$25),"")</f>
        <v>119761</v>
      </c>
      <c r="R25">
        <f ca="1">IFERROR(IF(0=LEN(ReferenceData!$R$25),"",ReferenceData!$R$25),"")</f>
        <v>112940</v>
      </c>
      <c r="S25">
        <f ca="1">IFERROR(IF(0=LEN(ReferenceData!$S$25),"",ReferenceData!$S$25),"")</f>
        <v>121408</v>
      </c>
      <c r="T25">
        <f ca="1">IFERROR(IF(0=LEN(ReferenceData!$T$25),"",ReferenceData!$T$25),"")</f>
        <v>109411</v>
      </c>
      <c r="U25">
        <f ca="1">IFERROR(IF(0=LEN(ReferenceData!$U$25),"",ReferenceData!$U$25),"")</f>
        <v>115303</v>
      </c>
      <c r="V25">
        <f ca="1">IFERROR(IF(0=LEN(ReferenceData!$V$25),"",ReferenceData!$V$25),"")</f>
        <v>118234</v>
      </c>
      <c r="W25">
        <f ca="1">IFERROR(IF(0=LEN(ReferenceData!$W$25),"",ReferenceData!$W$25),"")</f>
        <v>121876</v>
      </c>
      <c r="X25">
        <f ca="1">IFERROR(IF(0=LEN(ReferenceData!$X$25),"",ReferenceData!$X$25),"")</f>
        <v>114185</v>
      </c>
      <c r="Y25">
        <f ca="1">IFERROR(IF(0=LEN(ReferenceData!$Y$25),"",ReferenceData!$Y$25),"")</f>
        <v>117935</v>
      </c>
      <c r="Z25">
        <f ca="1">IFERROR(IF(0=LEN(ReferenceData!$Z$25),"",ReferenceData!$Z$25),"")</f>
        <v>123060</v>
      </c>
      <c r="AA25">
        <f ca="1">IFERROR(IF(0=LEN(ReferenceData!$AA$25),"",ReferenceData!$AA$25),"")</f>
        <v>113918</v>
      </c>
      <c r="AB25">
        <f ca="1">IFERROR(IF(0=LEN(ReferenceData!$AB$25),"",ReferenceData!$AB$25),"")</f>
        <v>109821</v>
      </c>
      <c r="AC25">
        <f ca="1">IFERROR(IF(0=LEN(ReferenceData!$AC$25),"",ReferenceData!$AC$25),"")</f>
        <v>122214</v>
      </c>
      <c r="AD25">
        <f ca="1">IFERROR(IF(0=LEN(ReferenceData!$AD$25),"",ReferenceData!$AD$25),"")</f>
        <v>110787</v>
      </c>
      <c r="AE25">
        <f ca="1">IFERROR(IF(0=LEN(ReferenceData!$AE$25),"",ReferenceData!$AE$25),"")</f>
        <v>119485</v>
      </c>
      <c r="AF25">
        <f ca="1">IFERROR(IF(0=LEN(ReferenceData!$AF$25),"",ReferenceData!$AF$25),"")</f>
        <v>109951</v>
      </c>
      <c r="AG25">
        <f ca="1">IFERROR(IF(0=LEN(ReferenceData!$AG$25),"",ReferenceData!$AG$25),"")</f>
        <v>116947</v>
      </c>
      <c r="AH25">
        <f ca="1">IFERROR(IF(0=LEN(ReferenceData!$AH$25),"",ReferenceData!$AH$25),"")</f>
        <v>135345</v>
      </c>
      <c r="AI25">
        <f ca="1">IFERROR(IF(0=LEN(ReferenceData!$AI$25),"",ReferenceData!$AI$25),"")</f>
        <v>124069</v>
      </c>
      <c r="AJ25">
        <f ca="1">IFERROR(IF(0=LEN(ReferenceData!$AJ$25),"",ReferenceData!$AJ$25),"")</f>
        <v>139710</v>
      </c>
      <c r="AK25">
        <f ca="1">IFERROR(IF(0=LEN(ReferenceData!$AK$25),"",ReferenceData!$AK$25),"")</f>
        <v>119416</v>
      </c>
      <c r="AL25">
        <f ca="1">IFERROR(IF(0=LEN(ReferenceData!$AL$25),"",ReferenceData!$AL$25),"")</f>
        <v>116254</v>
      </c>
      <c r="AM25">
        <f ca="1">IFERROR(IF(0=LEN(ReferenceData!$AM$25),"",ReferenceData!$AM$25),"")</f>
        <v>132374</v>
      </c>
      <c r="AN25">
        <f ca="1">IFERROR(IF(0=LEN(ReferenceData!$AN$25),"",ReferenceData!$AN$25),"")</f>
        <v>117283</v>
      </c>
      <c r="AO25">
        <f ca="1">IFERROR(IF(0=LEN(ReferenceData!$AO$25),"",ReferenceData!$AO$25),"")</f>
        <v>114679</v>
      </c>
      <c r="AP25">
        <f ca="1">IFERROR(IF(0=LEN(ReferenceData!$AP$25),"",ReferenceData!$AP$25),"")</f>
        <v>112556</v>
      </c>
      <c r="AQ25">
        <f ca="1">IFERROR(IF(0=LEN(ReferenceData!$AQ$25),"",ReferenceData!$AQ$25),"")</f>
        <v>126177</v>
      </c>
      <c r="AR25">
        <f ca="1">IFERROR(IF(0=LEN(ReferenceData!$AR$25),"",ReferenceData!$AR$25),"")</f>
        <v>138602</v>
      </c>
      <c r="AS25">
        <f ca="1">IFERROR(IF(0=LEN(ReferenceData!$AS$25),"",ReferenceData!$AS$25),"")</f>
        <v>117538</v>
      </c>
      <c r="AT25">
        <f ca="1">IFERROR(IF(0=LEN(ReferenceData!$AT$25),"",ReferenceData!$AT$25),"")</f>
        <v>134556</v>
      </c>
      <c r="AU25">
        <f ca="1">IFERROR(IF(0=LEN(ReferenceData!$AU$25),"",ReferenceData!$AU$25),"")</f>
        <v>102502</v>
      </c>
      <c r="AV25">
        <f ca="1">IFERROR(IF(0=LEN(ReferenceData!$AV$25),"",ReferenceData!$AV$25),"")</f>
        <v>145442</v>
      </c>
      <c r="AW25">
        <f ca="1">IFERROR(IF(0=LEN(ReferenceData!$AW$25),"",ReferenceData!$AW$25),"")</f>
        <v>125559</v>
      </c>
      <c r="AX25">
        <f ca="1">IFERROR(IF(0=LEN(ReferenceData!$AX$25),"",ReferenceData!$AX$25),"")</f>
        <v>108624</v>
      </c>
      <c r="AY25">
        <f ca="1">IFERROR(IF(0=LEN(ReferenceData!$AY$25),"",ReferenceData!$AY$25),"")</f>
        <v>125395</v>
      </c>
      <c r="AZ25">
        <f ca="1">IFERROR(IF(0=LEN(ReferenceData!$AZ$25),"",ReferenceData!$AZ$25),"")</f>
        <v>123705</v>
      </c>
      <c r="BA25">
        <f ca="1">IFERROR(IF(0=LEN(ReferenceData!$BA$25),"",ReferenceData!$BA$25),"")</f>
        <v>131635</v>
      </c>
      <c r="BB25">
        <f ca="1">IFERROR(IF(0=LEN(ReferenceData!$BB$25),"",ReferenceData!$BB$25),"")</f>
        <v>123215</v>
      </c>
      <c r="BC25">
        <f ca="1">IFERROR(IF(0=LEN(ReferenceData!$BC$25),"",ReferenceData!$BC$25),"")</f>
        <v>124975</v>
      </c>
      <c r="BD25">
        <f ca="1">IFERROR(IF(0=LEN(ReferenceData!$BD$25),"",ReferenceData!$BD$25),"")</f>
        <v>111654</v>
      </c>
      <c r="BE25">
        <f ca="1">IFERROR(IF(0=LEN(ReferenceData!$BE$25),"",ReferenceData!$BE$25),"")</f>
        <v>133833</v>
      </c>
      <c r="BF25">
        <f ca="1">IFERROR(IF(0=LEN(ReferenceData!$BF$25),"",ReferenceData!$BF$25),"")</f>
        <v>120577</v>
      </c>
      <c r="BG25">
        <f ca="1">IFERROR(IF(0=LEN(ReferenceData!$BG$25),"",ReferenceData!$BG$25),"")</f>
        <v>123804</v>
      </c>
      <c r="BH25">
        <f ca="1">IFERROR(IF(0=LEN(ReferenceData!$BH$25),"",ReferenceData!$BH$25),"")</f>
        <v>131436</v>
      </c>
      <c r="BI25">
        <f ca="1">IFERROR(IF(0=LEN(ReferenceData!$BI$25),"",ReferenceData!$BI$25),"")</f>
        <v>105287</v>
      </c>
      <c r="BJ25">
        <f ca="1">IFERROR(IF(0=LEN(ReferenceData!$BJ$25),"",ReferenceData!$BJ$25),"")</f>
        <v>117288</v>
      </c>
      <c r="BK25">
        <f ca="1">IFERROR(IF(0=LEN(ReferenceData!$BK$25),"",ReferenceData!$BK$25),"")</f>
        <v>113329</v>
      </c>
      <c r="BL25">
        <f ca="1">IFERROR(IF(0=LEN(ReferenceData!$BL$25),"",ReferenceData!$BL$25),"")</f>
        <v>115774</v>
      </c>
      <c r="BM25">
        <f ca="1">IFERROR(IF(0=LEN(ReferenceData!$BM$25),"",ReferenceData!$BM$25),"")</f>
        <v>119837</v>
      </c>
      <c r="BN25">
        <f ca="1">IFERROR(IF(0=LEN(ReferenceData!$BN$25),"",ReferenceData!$BN$25),"")</f>
        <v>121561</v>
      </c>
      <c r="BO25">
        <f ca="1">IFERROR(IF(0=LEN(ReferenceData!$BO$25),"",ReferenceData!$BO$25),"")</f>
        <v>119546</v>
      </c>
      <c r="BP25">
        <f ca="1">IFERROR(IF(0=LEN(ReferenceData!$BP$25),"",ReferenceData!$BP$25),"")</f>
        <v>119747</v>
      </c>
      <c r="BQ25">
        <f ca="1">IFERROR(IF(0=LEN(ReferenceData!$BQ$25),"",ReferenceData!$BQ$25),"")</f>
        <v>135168</v>
      </c>
      <c r="BR25">
        <f ca="1">IFERROR(IF(0=LEN(ReferenceData!$BR$25),"",ReferenceData!$BR$25),"")</f>
        <v>142412</v>
      </c>
      <c r="BS25">
        <f ca="1">IFERROR(IF(0=LEN(ReferenceData!$BS$25),"",ReferenceData!$BS$25),"")</f>
        <v>141799</v>
      </c>
      <c r="BT25">
        <f ca="1">IFERROR(IF(0=LEN(ReferenceData!$BT$25),"",ReferenceData!$BT$25),"")</f>
        <v>142419</v>
      </c>
      <c r="BU25">
        <f ca="1">IFERROR(IF(0=LEN(ReferenceData!$BU$25),"",ReferenceData!$BU$25),"")</f>
        <v>130916</v>
      </c>
      <c r="BV25">
        <f ca="1">IFERROR(IF(0=LEN(ReferenceData!$BV$25),"",ReferenceData!$BV$25),"")</f>
        <v>120503</v>
      </c>
      <c r="BW25">
        <f ca="1">IFERROR(IF(0=LEN(ReferenceData!$BW$25),"",ReferenceData!$BW$25),"")</f>
        <v>137449</v>
      </c>
      <c r="BX25">
        <f ca="1">IFERROR(IF(0=LEN(ReferenceData!$BX$25),"",ReferenceData!$BX$25),"")</f>
        <v>126364</v>
      </c>
      <c r="BY25">
        <f ca="1">IFERROR(IF(0=LEN(ReferenceData!$BY$25),"",ReferenceData!$BY$25),"")</f>
        <v>126150</v>
      </c>
      <c r="BZ25">
        <f ca="1">IFERROR(IF(0=LEN(ReferenceData!$BZ$25),"",ReferenceData!$BZ$25),"")</f>
        <v>125336</v>
      </c>
      <c r="CA25">
        <f ca="1">IFERROR(IF(0=LEN(ReferenceData!$CA$25),"",ReferenceData!$CA$25),"")</f>
        <v>117290</v>
      </c>
      <c r="CB25">
        <f ca="1">IFERROR(IF(0=LEN(ReferenceData!$CB$25),"",ReferenceData!$CB$25),"")</f>
        <v>126098</v>
      </c>
      <c r="CC25">
        <f ca="1">IFERROR(IF(0=LEN(ReferenceData!$CC$25),"",ReferenceData!$CC$25),"")</f>
        <v>118304</v>
      </c>
      <c r="CD25">
        <f ca="1">IFERROR(IF(0=LEN(ReferenceData!$CD$25),"",ReferenceData!$CD$25),"")</f>
        <v>118786</v>
      </c>
      <c r="CE25">
        <f ca="1">IFERROR(IF(0=LEN(ReferenceData!$CE$25),"",ReferenceData!$CE$25),"")</f>
        <v>116260</v>
      </c>
      <c r="CF25">
        <f ca="1">IFERROR(IF(0=LEN(ReferenceData!$CF$25),"",ReferenceData!$CF$25),"")</f>
        <v>120435</v>
      </c>
      <c r="CG25">
        <f ca="1">IFERROR(IF(0=LEN(ReferenceData!$CG$25),"",ReferenceData!$CG$25),"")</f>
        <v>119811</v>
      </c>
      <c r="CH25">
        <f ca="1">IFERROR(IF(0=LEN(ReferenceData!$CH$25),"",ReferenceData!$CH$25),"")</f>
        <v>118234</v>
      </c>
      <c r="CI25">
        <f ca="1">IFERROR(IF(0=LEN(ReferenceData!$CI$25),"",ReferenceData!$CI$25),"")</f>
        <v>122933</v>
      </c>
      <c r="CJ25">
        <f ca="1">IFERROR(IF(0=LEN(ReferenceData!$CJ$25),"",ReferenceData!$CJ$25),"")</f>
        <v>120897</v>
      </c>
      <c r="CK25">
        <f ca="1">IFERROR(IF(0=LEN(ReferenceData!$CK$25),"",ReferenceData!$CK$25),"")</f>
        <v>126770</v>
      </c>
    </row>
    <row r="26" spans="1:89" x14ac:dyDescent="0.25">
      <c r="A26" t="str">
        <f>IFERROR(IF(0=LEN(ReferenceData!$A$26),"",ReferenceData!$A$26),"")</f>
        <v xml:space="preserve">        Empty Containers (TEU)</v>
      </c>
      <c r="B26" t="str">
        <f>IFERROR(IF(0=LEN(ReferenceData!$B$26),"",ReferenceData!$B$26),"")</f>
        <v>LALBLBEM Index</v>
      </c>
      <c r="C26" t="str">
        <f>IFERROR(IF(0=LEN(ReferenceData!$C$26),"",ReferenceData!$C$26),"")</f>
        <v>PX385</v>
      </c>
      <c r="D26" t="str">
        <f>IFERROR(IF(0=LEN(ReferenceData!$D$26),"",ReferenceData!$D$26),"")</f>
        <v>INTERVAL_SUM</v>
      </c>
      <c r="E26" t="str">
        <f>IFERROR(IF(0=LEN(ReferenceData!$E$26),"",ReferenceData!$E$26),"")</f>
        <v>Dynamic</v>
      </c>
      <c r="F26">
        <f ca="1">IFERROR(IF(0=LEN(ReferenceData!$F$26),"",ReferenceData!$F$26),"")</f>
        <v>319255</v>
      </c>
      <c r="G26">
        <f ca="1">IFERROR(IF(0=LEN(ReferenceData!$G$26),"",ReferenceData!$G$26),"")</f>
        <v>263475</v>
      </c>
      <c r="H26">
        <f ca="1">IFERROR(IF(0=LEN(ReferenceData!$H$26),"",ReferenceData!$H$26),"")</f>
        <v>217030</v>
      </c>
      <c r="I26">
        <f ca="1">IFERROR(IF(0=LEN(ReferenceData!$I$26),"",ReferenceData!$I$26),"")</f>
        <v>228243</v>
      </c>
      <c r="J26">
        <f ca="1">IFERROR(IF(0=LEN(ReferenceData!$J$26),"",ReferenceData!$J$26),"")</f>
        <v>268695</v>
      </c>
      <c r="K26">
        <f ca="1">IFERROR(IF(0=LEN(ReferenceData!$K$26),"",ReferenceData!$K$26),"")</f>
        <v>219942</v>
      </c>
      <c r="L26">
        <f ca="1">IFERROR(IF(0=LEN(ReferenceData!$L$26),"",ReferenceData!$L$26),"")</f>
        <v>191219</v>
      </c>
      <c r="M26">
        <f ca="1">IFERROR(IF(0=LEN(ReferenceData!$M$26),"",ReferenceData!$M$26),"")</f>
        <v>177787</v>
      </c>
      <c r="N26">
        <f ca="1">IFERROR(IF(0=LEN(ReferenceData!$N$26),"",ReferenceData!$N$26),"")</f>
        <v>204756</v>
      </c>
      <c r="O26">
        <f ca="1">IFERROR(IF(0=LEN(ReferenceData!$O$26),"",ReferenceData!$O$26),"")</f>
        <v>186680</v>
      </c>
      <c r="P26">
        <f ca="1">IFERROR(IF(0=LEN(ReferenceData!$P$26),"",ReferenceData!$P$26),"")</f>
        <v>204313</v>
      </c>
      <c r="Q26">
        <f ca="1">IFERROR(IF(0=LEN(ReferenceData!$Q$26),"",ReferenceData!$Q$26),"")</f>
        <v>244743</v>
      </c>
      <c r="R26">
        <f ca="1">IFERROR(IF(0=LEN(ReferenceData!$R$26),"",ReferenceData!$R$26),"")</f>
        <v>286212</v>
      </c>
      <c r="S26">
        <f ca="1">IFERROR(IF(0=LEN(ReferenceData!$S$26),"",ReferenceData!$S$26),"")</f>
        <v>301002</v>
      </c>
      <c r="T26">
        <f ca="1">IFERROR(IF(0=LEN(ReferenceData!$T$26),"",ReferenceData!$T$26),"")</f>
        <v>300257</v>
      </c>
      <c r="U26">
        <f ca="1">IFERROR(IF(0=LEN(ReferenceData!$U$26),"",ReferenceData!$U$26),"")</f>
        <v>304432</v>
      </c>
      <c r="V26">
        <f ca="1">IFERROR(IF(0=LEN(ReferenceData!$V$26),"",ReferenceData!$V$26),"")</f>
        <v>335778</v>
      </c>
      <c r="W26">
        <f ca="1">IFERROR(IF(0=LEN(ReferenceData!$W$26),"",ReferenceData!$W$26),"")</f>
        <v>298040</v>
      </c>
      <c r="X26">
        <f ca="1">IFERROR(IF(0=LEN(ReferenceData!$X$26),"",ReferenceData!$X$26),"")</f>
        <v>321691</v>
      </c>
      <c r="Y26">
        <f ca="1">IFERROR(IF(0=LEN(ReferenceData!$Y$26),"",ReferenceData!$Y$26),"")</f>
        <v>288290</v>
      </c>
      <c r="Z26">
        <f ca="1">IFERROR(IF(0=LEN(ReferenceData!$Z$26),"",ReferenceData!$Z$26),"")</f>
        <v>288550</v>
      </c>
      <c r="AA26">
        <f ca="1">IFERROR(IF(0=LEN(ReferenceData!$AA$26),"",ReferenceData!$AA$26),"")</f>
        <v>281709</v>
      </c>
      <c r="AB26">
        <f ca="1">IFERROR(IF(0=LEN(ReferenceData!$AB$26),"",ReferenceData!$AB$26),"")</f>
        <v>273274</v>
      </c>
      <c r="AC26">
        <f ca="1">IFERROR(IF(0=LEN(ReferenceData!$AC$26),"",ReferenceData!$AC$26),"")</f>
        <v>282502</v>
      </c>
      <c r="AD26">
        <f ca="1">IFERROR(IF(0=LEN(ReferenceData!$AD$26),"",ReferenceData!$AD$26),"")</f>
        <v>267456</v>
      </c>
      <c r="AE26">
        <f ca="1">IFERROR(IF(0=LEN(ReferenceData!$AE$26),"",ReferenceData!$AE$26),"")</f>
        <v>280794</v>
      </c>
      <c r="AF26">
        <f ca="1">IFERROR(IF(0=LEN(ReferenceData!$AF$26),"",ReferenceData!$AF$26),"")</f>
        <v>291955</v>
      </c>
      <c r="AG26">
        <f ca="1">IFERROR(IF(0=LEN(ReferenceData!$AG$26),"",ReferenceData!$AG$26),"")</f>
        <v>250249</v>
      </c>
      <c r="AH26">
        <f ca="1">IFERROR(IF(0=LEN(ReferenceData!$AH$26),"",ReferenceData!$AH$26),"")</f>
        <v>327135</v>
      </c>
      <c r="AI26">
        <f ca="1">IFERROR(IF(0=LEN(ReferenceData!$AI$26),"",ReferenceData!$AI$26),"")</f>
        <v>254969</v>
      </c>
      <c r="AJ26">
        <f ca="1">IFERROR(IF(0=LEN(ReferenceData!$AJ$26),"",ReferenceData!$AJ$26),"")</f>
        <v>292504</v>
      </c>
      <c r="AK26">
        <f ca="1">IFERROR(IF(0=LEN(ReferenceData!$AK$26),"",ReferenceData!$AK$26),"")</f>
        <v>278563</v>
      </c>
      <c r="AL26">
        <f ca="1">IFERROR(IF(0=LEN(ReferenceData!$AL$26),"",ReferenceData!$AL$26),"")</f>
        <v>283498</v>
      </c>
      <c r="AM26">
        <f ca="1">IFERROR(IF(0=LEN(ReferenceData!$AM$26),"",ReferenceData!$AM$26),"")</f>
        <v>277440</v>
      </c>
      <c r="AN26">
        <f ca="1">IFERROR(IF(0=LEN(ReferenceData!$AN$26),"",ReferenceData!$AN$26),"")</f>
        <v>283563</v>
      </c>
      <c r="AO26">
        <f ca="1">IFERROR(IF(0=LEN(ReferenceData!$AO$26),"",ReferenceData!$AO$26),"")</f>
        <v>289517</v>
      </c>
      <c r="AP26">
        <f ca="1">IFERROR(IF(0=LEN(ReferenceData!$AP$26),"",ReferenceData!$AP$26),"")</f>
        <v>277406</v>
      </c>
      <c r="AQ26">
        <f ca="1">IFERROR(IF(0=LEN(ReferenceData!$AQ$26),"",ReferenceData!$AQ$26),"")</f>
        <v>234642</v>
      </c>
      <c r="AR26">
        <f ca="1">IFERROR(IF(0=LEN(ReferenceData!$AR$26),"",ReferenceData!$AR$26),"")</f>
        <v>237672</v>
      </c>
      <c r="AS26">
        <f ca="1">IFERROR(IF(0=LEN(ReferenceData!$AS$26),"",ReferenceData!$AS$26),"")</f>
        <v>183928</v>
      </c>
      <c r="AT26">
        <f ca="1">IFERROR(IF(0=LEN(ReferenceData!$AT$26),"",ReferenceData!$AT$26),"")</f>
        <v>181060</v>
      </c>
      <c r="AU26">
        <f ca="1">IFERROR(IF(0=LEN(ReferenceData!$AU$26),"",ReferenceData!$AU$26),"")</f>
        <v>163689</v>
      </c>
      <c r="AV26">
        <f ca="1">IFERROR(IF(0=LEN(ReferenceData!$AV$26),"",ReferenceData!$AV$26),"")</f>
        <v>137652</v>
      </c>
      <c r="AW26">
        <f ca="1">IFERROR(IF(0=LEN(ReferenceData!$AW$26),"",ReferenceData!$AW$26),"")</f>
        <v>164277</v>
      </c>
      <c r="AX26">
        <f ca="1">IFERROR(IF(0=LEN(ReferenceData!$AX$26),"",ReferenceData!$AX$26),"")</f>
        <v>208244</v>
      </c>
      <c r="AY26">
        <f ca="1">IFERROR(IF(0=LEN(ReferenceData!$AY$26),"",ReferenceData!$AY$26),"")</f>
        <v>216635</v>
      </c>
      <c r="AZ26">
        <f ca="1">IFERROR(IF(0=LEN(ReferenceData!$AZ$26),"",ReferenceData!$AZ$26),"")</f>
        <v>182992</v>
      </c>
      <c r="BA26">
        <f ca="1">IFERROR(IF(0=LEN(ReferenceData!$BA$26),"",ReferenceData!$BA$26),"")</f>
        <v>219728</v>
      </c>
      <c r="BB26">
        <f ca="1">IFERROR(IF(0=LEN(ReferenceData!$BB$26),"",ReferenceData!$BB$26),"")</f>
        <v>228821</v>
      </c>
      <c r="BC26">
        <f ca="1">IFERROR(IF(0=LEN(ReferenceData!$BC$26),"",ReferenceData!$BC$26),"")</f>
        <v>216238</v>
      </c>
      <c r="BD26">
        <f ca="1">IFERROR(IF(0=LEN(ReferenceData!$BD$26),"",ReferenceData!$BD$26),"")</f>
        <v>196777</v>
      </c>
      <c r="BE26">
        <f ca="1">IFERROR(IF(0=LEN(ReferenceData!$BE$26),"",ReferenceData!$BE$26),"")</f>
        <v>211718</v>
      </c>
      <c r="BF26">
        <f ca="1">IFERROR(IF(0=LEN(ReferenceData!$BF$26),"",ReferenceData!$BF$26),"")</f>
        <v>162479</v>
      </c>
      <c r="BG26">
        <f ca="1">IFERROR(IF(0=LEN(ReferenceData!$BG$26),"",ReferenceData!$BG$26),"")</f>
        <v>186435</v>
      </c>
      <c r="BH26">
        <f ca="1">IFERROR(IF(0=LEN(ReferenceData!$BH$26),"",ReferenceData!$BH$26),"")</f>
        <v>174346</v>
      </c>
      <c r="BI26">
        <f ca="1">IFERROR(IF(0=LEN(ReferenceData!$BI$26),"",ReferenceData!$BI$26),"")</f>
        <v>188465</v>
      </c>
      <c r="BJ26">
        <f ca="1">IFERROR(IF(0=LEN(ReferenceData!$BJ$26),"",ReferenceData!$BJ$26),"")</f>
        <v>216160</v>
      </c>
      <c r="BK26">
        <f ca="1">IFERROR(IF(0=LEN(ReferenceData!$BK$26),"",ReferenceData!$BK$26),"")</f>
        <v>255220</v>
      </c>
      <c r="BL26">
        <f ca="1">IFERROR(IF(0=LEN(ReferenceData!$BL$26),"",ReferenceData!$BL$26),"")</f>
        <v>186183</v>
      </c>
      <c r="BM26">
        <f ca="1">IFERROR(IF(0=LEN(ReferenceData!$BM$26),"",ReferenceData!$BM$26),"")</f>
        <v>221487</v>
      </c>
      <c r="BN26">
        <f ca="1">IFERROR(IF(0=LEN(ReferenceData!$BN$26),"",ReferenceData!$BN$26),"")</f>
        <v>222343</v>
      </c>
      <c r="BO26">
        <f ca="1">IFERROR(IF(0=LEN(ReferenceData!$BO$26),"",ReferenceData!$BO$26),"")</f>
        <v>216968</v>
      </c>
      <c r="BP26">
        <f ca="1">IFERROR(IF(0=LEN(ReferenceData!$BP$26),"",ReferenceData!$BP$26),"")</f>
        <v>220975</v>
      </c>
      <c r="BQ26">
        <f ca="1">IFERROR(IF(0=LEN(ReferenceData!$BQ$26),"",ReferenceData!$BQ$26),"")</f>
        <v>232926</v>
      </c>
      <c r="BR26">
        <f ca="1">IFERROR(IF(0=LEN(ReferenceData!$BR$26),"",ReferenceData!$BR$26),"")</f>
        <v>183959</v>
      </c>
      <c r="BS26">
        <f ca="1">IFERROR(IF(0=LEN(ReferenceData!$BS$26),"",ReferenceData!$BS$26),"")</f>
        <v>164264</v>
      </c>
      <c r="BT26">
        <f ca="1">IFERROR(IF(0=LEN(ReferenceData!$BT$26),"",ReferenceData!$BT$26),"")</f>
        <v>165015</v>
      </c>
      <c r="BU26">
        <f ca="1">IFERROR(IF(0=LEN(ReferenceData!$BU$26),"",ReferenceData!$BU$26),"")</f>
        <v>188628</v>
      </c>
      <c r="BV26">
        <f ca="1">IFERROR(IF(0=LEN(ReferenceData!$BV$26),"",ReferenceData!$BV$26),"")</f>
        <v>212671</v>
      </c>
      <c r="BW26">
        <f ca="1">IFERROR(IF(0=LEN(ReferenceData!$BW$26),"",ReferenceData!$BW$26),"")</f>
        <v>213749</v>
      </c>
      <c r="BX26">
        <f ca="1">IFERROR(IF(0=LEN(ReferenceData!$BX$26),"",ReferenceData!$BX$26),"")</f>
        <v>167085</v>
      </c>
      <c r="BY26">
        <f ca="1">IFERROR(IF(0=LEN(ReferenceData!$BY$26),"",ReferenceData!$BY$26),"")</f>
        <v>204055</v>
      </c>
      <c r="BZ26">
        <f ca="1">IFERROR(IF(0=LEN(ReferenceData!$BZ$26),"",ReferenceData!$BZ$26),"")</f>
        <v>209985</v>
      </c>
      <c r="CA26">
        <f ca="1">IFERROR(IF(0=LEN(ReferenceData!$CA$26),"",ReferenceData!$CA$26),"")</f>
        <v>219370</v>
      </c>
      <c r="CB26">
        <f ca="1">IFERROR(IF(0=LEN(ReferenceData!$CB$26),"",ReferenceData!$CB$26),"")</f>
        <v>215394</v>
      </c>
      <c r="CC26">
        <f ca="1">IFERROR(IF(0=LEN(ReferenceData!$CC$26),"",ReferenceData!$CC$26),"")</f>
        <v>205095</v>
      </c>
      <c r="CD26">
        <f ca="1">IFERROR(IF(0=LEN(ReferenceData!$CD$26),"",ReferenceData!$CD$26),"")</f>
        <v>192908</v>
      </c>
      <c r="CE26">
        <f ca="1">IFERROR(IF(0=LEN(ReferenceData!$CE$26),"",ReferenceData!$CE$26),"")</f>
        <v>153547</v>
      </c>
      <c r="CF26">
        <f ca="1">IFERROR(IF(0=LEN(ReferenceData!$CF$26),"",ReferenceData!$CF$26),"")</f>
        <v>135413</v>
      </c>
      <c r="CG26">
        <f ca="1">IFERROR(IF(0=LEN(ReferenceData!$CG$26),"",ReferenceData!$CG$26),"")</f>
        <v>128742</v>
      </c>
      <c r="CH26">
        <f ca="1">IFERROR(IF(0=LEN(ReferenceData!$CH$26),"",ReferenceData!$CH$26),"")</f>
        <v>165465</v>
      </c>
      <c r="CI26">
        <f ca="1">IFERROR(IF(0=LEN(ReferenceData!$CI$26),"",ReferenceData!$CI$26),"")</f>
        <v>154397</v>
      </c>
      <c r="CJ26">
        <f ca="1">IFERROR(IF(0=LEN(ReferenceData!$CJ$26),"",ReferenceData!$CJ$26),"")</f>
        <v>142801</v>
      </c>
      <c r="CK26">
        <f ca="1">IFERROR(IF(0=LEN(ReferenceData!$CK$26),"",ReferenceData!$CK$26),"")</f>
        <v>158327</v>
      </c>
    </row>
    <row r="27" spans="1:89" x14ac:dyDescent="0.25">
      <c r="A27" t="str">
        <f>IFERROR(IF(0=LEN(ReferenceData!$A$27),"",ReferenceData!$A$27),"")</f>
        <v xml:space="preserve">    Port of New York New Jersey (TEU)</v>
      </c>
      <c r="B27" t="str">
        <f>IFERROR(IF(0=LEN(ReferenceData!$B$27),"",ReferenceData!$B$27),"")</f>
        <v>PONYTOTL Index</v>
      </c>
      <c r="C27" t="str">
        <f>IFERROR(IF(0=LEN(ReferenceData!$C$27),"",ReferenceData!$C$27),"")</f>
        <v>PX385</v>
      </c>
      <c r="D27" t="str">
        <f>IFERROR(IF(0=LEN(ReferenceData!$D$27),"",ReferenceData!$D$27),"")</f>
        <v>INTERVAL_SUM</v>
      </c>
      <c r="E27" t="str">
        <f>IFERROR(IF(0=LEN(ReferenceData!$E$27),"",ReferenceData!$E$27),"")</f>
        <v>Dynamic</v>
      </c>
      <c r="F27">
        <f ca="1">IFERROR(IF(0=LEN(ReferenceData!$F$27),"",ReferenceData!$F$27),"")</f>
        <v>439412</v>
      </c>
      <c r="G27">
        <f ca="1">IFERROR(IF(0=LEN(ReferenceData!$G$27),"",ReferenceData!$G$27),"")</f>
        <v>454946</v>
      </c>
      <c r="H27">
        <f ca="1">IFERROR(IF(0=LEN(ReferenceData!$H$27),"",ReferenceData!$H$27),"")</f>
        <v>472334</v>
      </c>
      <c r="I27">
        <f ca="1">IFERROR(IF(0=LEN(ReferenceData!$I$27),"",ReferenceData!$I$27),"")</f>
        <v>428190</v>
      </c>
      <c r="J27">
        <f ca="1">IFERROR(IF(0=LEN(ReferenceData!$J$27),"",ReferenceData!$J$27),"")</f>
        <v>462125</v>
      </c>
      <c r="K27">
        <f ca="1">IFERROR(IF(0=LEN(ReferenceData!$K$27),"",ReferenceData!$K$27),"")</f>
        <v>431191</v>
      </c>
      <c r="L27">
        <f ca="1">IFERROR(IF(0=LEN(ReferenceData!$L$27),"",ReferenceData!$L$27),"")</f>
        <v>404066</v>
      </c>
      <c r="M27">
        <f ca="1">IFERROR(IF(0=LEN(ReferenceData!$M$27),"",ReferenceData!$M$27),"")</f>
        <v>387006</v>
      </c>
      <c r="N27">
        <f ca="1">IFERROR(IF(0=LEN(ReferenceData!$N$27),"",ReferenceData!$N$27),"")</f>
        <v>436250</v>
      </c>
      <c r="O27">
        <f ca="1">IFERROR(IF(0=LEN(ReferenceData!$O$27),"",ReferenceData!$O$27),"")</f>
        <v>498878</v>
      </c>
      <c r="P27">
        <f ca="1">IFERROR(IF(0=LEN(ReferenceData!$P$27),"",ReferenceData!$P$27),"")</f>
        <v>459769</v>
      </c>
      <c r="Q27">
        <f ca="1">IFERROR(IF(0=LEN(ReferenceData!$Q$27),"",ReferenceData!$Q$27),"")</f>
        <v>494778</v>
      </c>
      <c r="R27">
        <f ca="1">IFERROR(IF(0=LEN(ReferenceData!$R$27),"",ReferenceData!$R$27),"")</f>
        <v>526687</v>
      </c>
      <c r="S27">
        <f ca="1">IFERROR(IF(0=LEN(ReferenceData!$S$27),"",ReferenceData!$S$27),"")</f>
        <v>537779</v>
      </c>
      <c r="T27">
        <f ca="1">IFERROR(IF(0=LEN(ReferenceData!$T$27),"",ReferenceData!$T$27),"")</f>
        <v>498792</v>
      </c>
      <c r="U27">
        <f ca="1">IFERROR(IF(0=LEN(ReferenceData!$U$27),"",ReferenceData!$U$27),"")</f>
        <v>550647</v>
      </c>
      <c r="V27">
        <f ca="1">IFERROR(IF(0=LEN(ReferenceData!$V$27),"",ReferenceData!$V$27),"")</f>
        <v>544975</v>
      </c>
      <c r="W27">
        <f ca="1">IFERROR(IF(0=LEN(ReferenceData!$W$27),"",ReferenceData!$W$27),"")</f>
        <v>533194</v>
      </c>
      <c r="X27">
        <f ca="1">IFERROR(IF(0=LEN(ReferenceData!$X$27),"",ReferenceData!$X$27),"")</f>
        <v>562224</v>
      </c>
      <c r="Y27">
        <f ca="1">IFERROR(IF(0=LEN(ReferenceData!$Y$27),"",ReferenceData!$Y$27),"")</f>
        <v>489321</v>
      </c>
      <c r="Z27">
        <f ca="1">IFERROR(IF(0=LEN(ReferenceData!$Z$27),"",ReferenceData!$Z$27),"")</f>
        <v>498878</v>
      </c>
      <c r="AA27">
        <f ca="1">IFERROR(IF(0=LEN(ReferenceData!$AA$27),"",ReferenceData!$AA$27),"")</f>
        <v>498878</v>
      </c>
      <c r="AB27">
        <f ca="1">IFERROR(IF(0=LEN(ReferenceData!$AB$27),"",ReferenceData!$AB$27),"")</f>
        <v>500229</v>
      </c>
      <c r="AC27">
        <f ca="1">IFERROR(IF(0=LEN(ReferenceData!$AC$27),"",ReferenceData!$AC$27),"")</f>
        <v>518785</v>
      </c>
      <c r="AD27">
        <f ca="1">IFERROR(IF(0=LEN(ReferenceData!$AD$27),"",ReferenceData!$AD$27),"")</f>
        <v>479083</v>
      </c>
      <c r="AE27">
        <f ca="1">IFERROR(IF(0=LEN(ReferenceData!$AE$27),"",ReferenceData!$AE$27),"")</f>
        <v>503602</v>
      </c>
      <c r="AF27">
        <f ca="1">IFERROR(IF(0=LEN(ReferenceData!$AF$27),"",ReferenceData!$AF$27),"")</f>
        <v>505104</v>
      </c>
      <c r="AG27">
        <f ca="1">IFERROR(IF(0=LEN(ReferenceData!$AG$27),"",ReferenceData!$AG$27),"")</f>
        <v>499758</v>
      </c>
      <c r="AH27">
        <f ca="1">IFERROR(IF(0=LEN(ReferenceData!$AH$27),"",ReferenceData!$AH$27),"")</f>
        <v>530875</v>
      </c>
      <c r="AI27">
        <f ca="1">IFERROR(IF(0=LEN(ReferenceData!$AI$27),"",ReferenceData!$AI$27),"")</f>
        <v>480936</v>
      </c>
      <c r="AJ27">
        <f ca="1">IFERROR(IF(0=LEN(ReferenceData!$AJ$27),"",ReferenceData!$AJ$27),"")</f>
        <v>519858</v>
      </c>
      <c r="AK27">
        <f ca="1">IFERROR(IF(0=LEN(ReferenceData!$AK$27),"",ReferenceData!$AK$27),"")</f>
        <v>428874</v>
      </c>
      <c r="AL27">
        <f ca="1">IFERROR(IF(0=LEN(ReferenceData!$AL$27),"",ReferenceData!$AL$27),"")</f>
        <v>480130</v>
      </c>
      <c r="AM27">
        <f ca="1">IFERROR(IF(0=LEN(ReferenceData!$AM$27),"",ReferenceData!$AM$27),"")</f>
        <v>462216</v>
      </c>
      <c r="AN27">
        <f ca="1">IFERROR(IF(0=LEN(ReferenceData!$AN$27),"",ReferenceData!$AN$27),"")</f>
        <v>501674</v>
      </c>
      <c r="AO27">
        <f ca="1">IFERROR(IF(0=LEN(ReferenceData!$AO$27),"",ReferenceData!$AO$27),"")</f>
        <v>521384</v>
      </c>
      <c r="AP27">
        <f ca="1">IFERROR(IF(0=LEN(ReferenceData!$AP$27),"",ReferenceData!$AP$27),"")</f>
        <v>489339</v>
      </c>
      <c r="AQ27">
        <f ca="1">IFERROR(IF(0=LEN(ReferenceData!$AQ$27),"",ReferenceData!$AQ$27),"")</f>
        <v>469954</v>
      </c>
      <c r="AR27">
        <f ca="1">IFERROR(IF(0=LEN(ReferenceData!$AR$27),"",ReferenceData!$AR$27),"")</f>
        <v>428819</v>
      </c>
      <c r="AS27">
        <f ca="1">IFERROR(IF(0=LEN(ReferenceData!$AS$27),"",ReferenceData!$AS$27),"")</f>
        <v>361823</v>
      </c>
      <c r="AT27">
        <f ca="1">IFERROR(IF(0=LEN(ReferenceData!$AT$27),"",ReferenceData!$AT$27),"")</f>
        <v>361466</v>
      </c>
      <c r="AU27">
        <f ca="1">IFERROR(IF(0=LEN(ReferenceData!$AU$27),"",ReferenceData!$AU$27),"")</f>
        <v>381386</v>
      </c>
      <c r="AV27">
        <f ca="1">IFERROR(IF(0=LEN(ReferenceData!$AV$27),"",ReferenceData!$AV$27),"")</f>
        <v>408291</v>
      </c>
      <c r="AW27">
        <f ca="1">IFERROR(IF(0=LEN(ReferenceData!$AW$27),"",ReferenceData!$AW$27),"")</f>
        <v>414246</v>
      </c>
      <c r="AX27">
        <f ca="1">IFERROR(IF(0=LEN(ReferenceData!$AX$27),"",ReferenceData!$AX$27),"")</f>
        <v>441131</v>
      </c>
      <c r="AY27">
        <f ca="1">IFERROR(IF(0=LEN(ReferenceData!$AY$27),"",ReferenceData!$AY$27),"")</f>
        <v>399732</v>
      </c>
      <c r="AZ27">
        <f ca="1">IFERROR(IF(0=LEN(ReferenceData!$AZ$27),"",ReferenceData!$AZ$27),"")</f>
        <v>420545</v>
      </c>
      <c r="BA27">
        <f ca="1">IFERROR(IF(0=LEN(ReferenceData!$BA$27),"",ReferenceData!$BA$27),"")</f>
        <v>466699</v>
      </c>
      <c r="BB27">
        <f ca="1">IFERROR(IF(0=LEN(ReferenceData!$BB$27),"",ReferenceData!$BB$27),"")</f>
        <v>432097</v>
      </c>
      <c r="BC27">
        <f ca="1">IFERROR(IF(0=LEN(ReferenceData!$BC$27),"",ReferenceData!$BC$27),"")</f>
        <v>469778</v>
      </c>
      <c r="BD27">
        <f ca="1">IFERROR(IF(0=LEN(ReferenceData!$BD$27),"",ReferenceData!$BD$27),"")</f>
        <v>454987</v>
      </c>
      <c r="BE27">
        <f ca="1">IFERROR(IF(0=LEN(ReferenceData!$BE$27),"",ReferenceData!$BE$27),"")</f>
        <v>424371</v>
      </c>
      <c r="BF27">
        <f ca="1">IFERROR(IF(0=LEN(ReferenceData!$BF$27),"",ReferenceData!$BF$27),"")</f>
        <v>472995</v>
      </c>
      <c r="BG27">
        <f ca="1">IFERROR(IF(0=LEN(ReferenceData!$BG$27),"",ReferenceData!$BG$27),"")</f>
        <v>429136</v>
      </c>
      <c r="BH27">
        <f ca="1">IFERROR(IF(0=LEN(ReferenceData!$BH$27),"",ReferenceData!$BH$27),"")</f>
        <v>413019</v>
      </c>
      <c r="BI27">
        <f ca="1">IFERROR(IF(0=LEN(ReferenceData!$BI$27),"",ReferenceData!$BI$27),"")</f>
        <v>408881</v>
      </c>
      <c r="BJ27">
        <f ca="1">IFERROR(IF(0=LEN(ReferenceData!$BJ$27),"",ReferenceData!$BJ$27),"")</f>
        <v>439178</v>
      </c>
      <c r="BK27">
        <f ca="1">IFERROR(IF(0=LEN(ReferenceData!$BK$27),"",ReferenceData!$BK$27),"")</f>
        <v>433259</v>
      </c>
      <c r="BL27">
        <f ca="1">IFERROR(IF(0=LEN(ReferenceData!$BL$27),"",ReferenceData!$BL$27),"")</f>
        <v>417241</v>
      </c>
      <c r="BM27">
        <f ca="1">IFERROR(IF(0=LEN(ReferenceData!$BM$27),"",ReferenceData!$BM$27),"")</f>
        <v>470384</v>
      </c>
      <c r="BN27">
        <f ca="1">IFERROR(IF(0=LEN(ReferenceData!$BN$27),"",ReferenceData!$BN$27),"")</f>
        <v>420836</v>
      </c>
      <c r="BO27">
        <f ca="1">IFERROR(IF(0=LEN(ReferenceData!$BO$27),"",ReferenceData!$BO$27),"")</f>
        <v>458682</v>
      </c>
      <c r="BP27">
        <f ca="1">IFERROR(IF(0=LEN(ReferenceData!$BP$27),"",ReferenceData!$BP$27),"")</f>
        <v>438534</v>
      </c>
      <c r="BQ27">
        <f ca="1">IFERROR(IF(0=LEN(ReferenceData!$BQ$27),"",ReferenceData!$BQ$27),"")</f>
        <v>439986</v>
      </c>
      <c r="BR27">
        <f ca="1">IFERROR(IF(0=LEN(ReferenceData!$BR$27),"",ReferenceData!$BR$27),"")</f>
        <v>432422</v>
      </c>
      <c r="BS27">
        <f ca="1">IFERROR(IF(0=LEN(ReferenceData!$BS$27),"",ReferenceData!$BS$27),"")</f>
        <v>407746</v>
      </c>
      <c r="BT27">
        <f ca="1">IFERROR(IF(0=LEN(ReferenceData!$BT$27),"",ReferenceData!$BT$27),"")</f>
        <v>420567</v>
      </c>
      <c r="BU27">
        <f ca="1">IFERROR(IF(0=LEN(ReferenceData!$BU$27),"",ReferenceData!$BU$27),"")</f>
        <v>391340</v>
      </c>
      <c r="BV27">
        <f ca="1">IFERROR(IF(0=LEN(ReferenceData!$BV$27),"",ReferenceData!$BV$27),"")</f>
        <v>421896</v>
      </c>
      <c r="BW27">
        <f ca="1">IFERROR(IF(0=LEN(ReferenceData!$BW$27),"",ReferenceData!$BW$27),"")</f>
        <v>395459</v>
      </c>
      <c r="BX27">
        <f ca="1">IFERROR(IF(0=LEN(ReferenceData!$BX$27),"",ReferenceData!$BX$27),"")</f>
        <v>413830</v>
      </c>
      <c r="BY27">
        <f ca="1">IFERROR(IF(0=LEN(ReferenceData!$BY$27),"",ReferenceData!$BY$27),"")</f>
        <v>426932</v>
      </c>
      <c r="BZ27">
        <f ca="1">IFERROR(IF(0=LEN(ReferenceData!$BZ$27),"",ReferenceData!$BZ$27),"")</f>
        <v>401492</v>
      </c>
      <c r="CA27">
        <f ca="1">IFERROR(IF(0=LEN(ReferenceData!$CA$27),"",ReferenceData!$CA$27),"")</f>
        <v>446160</v>
      </c>
      <c r="CB27">
        <f ca="1">IFERROR(IF(0=LEN(ReferenceData!$CB$27),"",ReferenceData!$CB$27),"")</f>
        <v>404454</v>
      </c>
      <c r="CC27">
        <f ca="1">IFERROR(IF(0=LEN(ReferenceData!$CC$27),"",ReferenceData!$CC$27),"")</f>
        <v>413524</v>
      </c>
      <c r="CD27">
        <f ca="1">IFERROR(IF(0=LEN(ReferenceData!$CD$27),"",ReferenceData!$CD$27),"")</f>
        <v>402753</v>
      </c>
      <c r="CE27">
        <f ca="1">IFERROR(IF(0=LEN(ReferenceData!$CE$27),"",ReferenceData!$CE$27),"")</f>
        <v>398283</v>
      </c>
      <c r="CF27">
        <f ca="1">IFERROR(IF(0=LEN(ReferenceData!$CF$27),"",ReferenceData!$CF$27),"")</f>
        <v>364892</v>
      </c>
      <c r="CG27">
        <f ca="1">IFERROR(IF(0=LEN(ReferenceData!$CG$27),"",ReferenceData!$CG$27),"")</f>
        <v>368513</v>
      </c>
      <c r="CH27">
        <f ca="1">IFERROR(IF(0=LEN(ReferenceData!$CH$27),"",ReferenceData!$CH$27),"")</f>
        <v>421896</v>
      </c>
      <c r="CI27">
        <f ca="1">IFERROR(IF(0=LEN(ReferenceData!$CI$27),"",ReferenceData!$CI$27),"")</f>
        <v>376282</v>
      </c>
      <c r="CJ27">
        <f ca="1">IFERROR(IF(0=LEN(ReferenceData!$CJ$27),"",ReferenceData!$CJ$27),"")</f>
        <v>386639</v>
      </c>
      <c r="CK27">
        <f ca="1">IFERROR(IF(0=LEN(ReferenceData!$CK$27),"",ReferenceData!$CK$27),"")</f>
        <v>406071</v>
      </c>
    </row>
    <row r="28" spans="1:89" x14ac:dyDescent="0.25">
      <c r="A28" t="str">
        <f>IFERROR(IF(0=LEN(ReferenceData!$A$28),"",ReferenceData!$A$28),"")</f>
        <v xml:space="preserve">    Port of Savannah (TEU)</v>
      </c>
      <c r="B28" t="str">
        <f>IFERROR(IF(0=LEN(ReferenceData!$B$28),"",ReferenceData!$B$28),"")</f>
        <v>POSATOTL Index</v>
      </c>
      <c r="C28" t="str">
        <f>IFERROR(IF(0=LEN(ReferenceData!$C$28),"",ReferenceData!$C$28),"")</f>
        <v>PX385</v>
      </c>
      <c r="D28" t="str">
        <f>IFERROR(IF(0=LEN(ReferenceData!$D$28),"",ReferenceData!$D$28),"")</f>
        <v>INTERVAL_SUM</v>
      </c>
      <c r="E28" t="str">
        <f>IFERROR(IF(0=LEN(ReferenceData!$E$28),"",ReferenceData!$E$28),"")</f>
        <v>Dynamic</v>
      </c>
      <c r="F28" t="str">
        <f ca="1">IFERROR(IF(0=LEN(ReferenceData!$F$28),"",ReferenceData!$F$28),"")</f>
        <v/>
      </c>
      <c r="G28">
        <f ca="1">IFERROR(IF(0=LEN(ReferenceData!$G$28),"",ReferenceData!$G$28),"")</f>
        <v>413294</v>
      </c>
      <c r="H28">
        <f ca="1">IFERROR(IF(0=LEN(ReferenceData!$H$28),"",ReferenceData!$H$28),"")</f>
        <v>447587</v>
      </c>
      <c r="I28">
        <f ca="1">IFERROR(IF(0=LEN(ReferenceData!$I$28),"",ReferenceData!$I$28),"")</f>
        <v>381825</v>
      </c>
      <c r="J28">
        <f ca="1">IFERROR(IF(0=LEN(ReferenceData!$J$28),"",ReferenceData!$J$28),"")</f>
        <v>400511</v>
      </c>
      <c r="K28">
        <f ca="1">IFERROR(IF(0=LEN(ReferenceData!$K$28),"",ReferenceData!$K$28),"")</f>
        <v>408686</v>
      </c>
      <c r="L28">
        <f ca="1">IFERROR(IF(0=LEN(ReferenceData!$L$28),"",ReferenceData!$L$28),"")</f>
        <v>367880</v>
      </c>
      <c r="M28">
        <f ca="1">IFERROR(IF(0=LEN(ReferenceData!$M$28),"",ReferenceData!$M$28),"")</f>
        <v>394793</v>
      </c>
      <c r="N28">
        <f ca="1">IFERROR(IF(0=LEN(ReferenceData!$N$28),"",ReferenceData!$N$28),"")</f>
        <v>421714</v>
      </c>
      <c r="O28">
        <f ca="1">IFERROR(IF(0=LEN(ReferenceData!$O$28),"",ReferenceData!$O$28),"")</f>
        <v>440759</v>
      </c>
      <c r="P28">
        <f ca="1">IFERROR(IF(0=LEN(ReferenceData!$P$28),"",ReferenceData!$P$28),"")</f>
        <v>464883</v>
      </c>
      <c r="Q28">
        <f ca="1">IFERROR(IF(0=LEN(ReferenceData!$Q$28),"",ReferenceData!$Q$28),"")</f>
        <v>552806</v>
      </c>
      <c r="R28">
        <f ca="1">IFERROR(IF(0=LEN(ReferenceData!$R$28),"",ReferenceData!$R$28),"")</f>
        <v>436279</v>
      </c>
      <c r="S28">
        <f ca="1">IFERROR(IF(0=LEN(ReferenceData!$S$28),"",ReferenceData!$S$28),"")</f>
        <v>575513</v>
      </c>
      <c r="T28">
        <f ca="1">IFERROR(IF(0=LEN(ReferenceData!$T$28),"",ReferenceData!$T$28),"")</f>
        <v>530800</v>
      </c>
      <c r="U28">
        <f ca="1">IFERROR(IF(0=LEN(ReferenceData!$U$28),"",ReferenceData!$U$28),"")</f>
        <v>494107</v>
      </c>
      <c r="V28">
        <f ca="1">IFERROR(IF(0=LEN(ReferenceData!$V$28),"",ReferenceData!$V$28),"")</f>
        <v>519388</v>
      </c>
      <c r="W28">
        <f ca="1">IFERROR(IF(0=LEN(ReferenceData!$W$28),"",ReferenceData!$W$28),"")</f>
        <v>495782</v>
      </c>
      <c r="X28">
        <f ca="1">IFERROR(IF(0=LEN(ReferenceData!$X$28),"",ReferenceData!$X$28),"")</f>
        <v>444690</v>
      </c>
      <c r="Y28">
        <f ca="1">IFERROR(IF(0=LEN(ReferenceData!$Y$28),"",ReferenceData!$Y$28),"")</f>
        <v>460413</v>
      </c>
      <c r="Z28">
        <f ca="1">IFERROR(IF(0=LEN(ReferenceData!$Z$28),"",ReferenceData!$Z$28),"")</f>
        <v>476713</v>
      </c>
      <c r="AA28">
        <f ca="1">IFERROR(IF(0=LEN(ReferenceData!$AA$28),"",ReferenceData!$AA$28),"")</f>
        <v>464951</v>
      </c>
      <c r="AB28">
        <f ca="1">IFERROR(IF(0=LEN(ReferenceData!$AB$28),"",ReferenceData!$AB$28),"")</f>
        <v>495749</v>
      </c>
      <c r="AC28">
        <f ca="1">IFERROR(IF(0=LEN(ReferenceData!$AC$28),"",ReferenceData!$AC$28),"")</f>
        <v>504347</v>
      </c>
      <c r="AD28">
        <f ca="1">IFERROR(IF(0=LEN(ReferenceData!$AD$28),"",ReferenceData!$AD$28),"")</f>
        <v>472062</v>
      </c>
      <c r="AE28">
        <f ca="1">IFERROR(IF(0=LEN(ReferenceData!$AE$28),"",ReferenceData!$AE$28),"")</f>
        <v>485595</v>
      </c>
      <c r="AF28">
        <f ca="1">IFERROR(IF(0=LEN(ReferenceData!$AF$28),"",ReferenceData!$AF$28),"")</f>
        <v>449916</v>
      </c>
      <c r="AG28">
        <f ca="1">IFERROR(IF(0=LEN(ReferenceData!$AG$28),"",ReferenceData!$AG$28),"")</f>
        <v>446815</v>
      </c>
      <c r="AH28">
        <f ca="1">IFERROR(IF(0=LEN(ReferenceData!$AH$28),"",ReferenceData!$AH$28),"")</f>
        <v>478620</v>
      </c>
      <c r="AI28">
        <f ca="1">IFERROR(IF(0=LEN(ReferenceData!$AI$28),"",ReferenceData!$AI$28),"")</f>
        <v>466633</v>
      </c>
      <c r="AJ28">
        <f ca="1">IFERROR(IF(0=LEN(ReferenceData!$AJ$28),"",ReferenceData!$AJ$28),"")</f>
        <v>498064</v>
      </c>
      <c r="AK28">
        <f ca="1">IFERROR(IF(0=LEN(ReferenceData!$AK$28),"",ReferenceData!$AK$28),"")</f>
        <v>390804</v>
      </c>
      <c r="AL28">
        <f ca="1">IFERROR(IF(0=LEN(ReferenceData!$AL$28),"",ReferenceData!$AL$28),"")</f>
        <v>459608</v>
      </c>
      <c r="AM28">
        <f ca="1">IFERROR(IF(0=LEN(ReferenceData!$AM$28),"",ReferenceData!$AM$28),"")</f>
        <v>447519</v>
      </c>
      <c r="AN28">
        <f ca="1">IFERROR(IF(0=LEN(ReferenceData!$AN$28),"",ReferenceData!$AN$28),"")</f>
        <v>464804</v>
      </c>
      <c r="AO28">
        <f ca="1">IFERROR(IF(0=LEN(ReferenceData!$AO$28),"",ReferenceData!$AO$28),"")</f>
        <v>464095</v>
      </c>
      <c r="AP28">
        <f ca="1">IFERROR(IF(0=LEN(ReferenceData!$AP$28),"",ReferenceData!$AP$28),"")</f>
        <v>412138</v>
      </c>
      <c r="AQ28">
        <f ca="1">IFERROR(IF(0=LEN(ReferenceData!$AQ$28),"",ReferenceData!$AQ$28),"")</f>
        <v>441596</v>
      </c>
      <c r="AR28">
        <f ca="1">IFERROR(IF(0=LEN(ReferenceData!$AR$28),"",ReferenceData!$AR$28),"")</f>
        <v>360697</v>
      </c>
      <c r="AS28">
        <f ca="1">IFERROR(IF(0=LEN(ReferenceData!$AS$28),"",ReferenceData!$AS$28),"")</f>
        <v>338287</v>
      </c>
      <c r="AT28">
        <f ca="1">IFERROR(IF(0=LEN(ReferenceData!$AT$28),"",ReferenceData!$AT$28),"")</f>
        <v>337359</v>
      </c>
      <c r="AU28">
        <f ca="1">IFERROR(IF(0=LEN(ReferenceData!$AU$28),"",ReferenceData!$AU$28),"")</f>
        <v>337890</v>
      </c>
      <c r="AV28">
        <f ca="1">IFERROR(IF(0=LEN(ReferenceData!$AV$28),"",ReferenceData!$AV$28),"")</f>
        <v>335789</v>
      </c>
      <c r="AW28">
        <f ca="1">IFERROR(IF(0=LEN(ReferenceData!$AW$28),"",ReferenceData!$AW$28),"")</f>
        <v>364405</v>
      </c>
      <c r="AX28">
        <f ca="1">IFERROR(IF(0=LEN(ReferenceData!$AX$28),"",ReferenceData!$AX$28),"")</f>
        <v>377671</v>
      </c>
      <c r="AY28">
        <f ca="1">IFERROR(IF(0=LEN(ReferenceData!$AY$28),"",ReferenceData!$AY$28),"")</f>
        <v>360834</v>
      </c>
      <c r="AZ28">
        <f ca="1">IFERROR(IF(0=LEN(ReferenceData!$AZ$28),"",ReferenceData!$AZ$28),"")</f>
        <v>362964</v>
      </c>
      <c r="BA28">
        <f ca="1">IFERROR(IF(0=LEN(ReferenceData!$BA$28),"",ReferenceData!$BA$28),"")</f>
        <v>428381</v>
      </c>
      <c r="BB28">
        <f ca="1">IFERROR(IF(0=LEN(ReferenceData!$BB$28),"",ReferenceData!$BB$28),"")</f>
        <v>369999</v>
      </c>
      <c r="BC28">
        <f ca="1">IFERROR(IF(0=LEN(ReferenceData!$BC$28),"",ReferenceData!$BC$28),"")</f>
        <v>437747</v>
      </c>
      <c r="BD28">
        <f ca="1">IFERROR(IF(0=LEN(ReferenceData!$BD$28),"",ReferenceData!$BD$28),"")</f>
        <v>387022</v>
      </c>
      <c r="BE28">
        <f ca="1">IFERROR(IF(0=LEN(ReferenceData!$BE$28),"",ReferenceData!$BE$28),"")</f>
        <v>361906</v>
      </c>
      <c r="BF28">
        <f ca="1">IFERROR(IF(0=LEN(ReferenceData!$BF$28),"",ReferenceData!$BF$28),"")</f>
        <v>373394</v>
      </c>
      <c r="BG28">
        <f ca="1">IFERROR(IF(0=LEN(ReferenceData!$BG$28),"",ReferenceData!$BG$28),"")</f>
        <v>364481</v>
      </c>
      <c r="BH28">
        <f ca="1">IFERROR(IF(0=LEN(ReferenceData!$BH$28),"",ReferenceData!$BH$28),"")</f>
        <v>410326</v>
      </c>
      <c r="BI28">
        <f ca="1">IFERROR(IF(0=LEN(ReferenceData!$BI$28),"",ReferenceData!$BI$28),"")</f>
        <v>312042</v>
      </c>
      <c r="BJ28">
        <f ca="1">IFERROR(IF(0=LEN(ReferenceData!$BJ$28),"",ReferenceData!$BJ$28),"")</f>
        <v>430079</v>
      </c>
      <c r="BK28">
        <f ca="1">IFERROR(IF(0=LEN(ReferenceData!$BK$28),"",ReferenceData!$BK$28),"")</f>
        <v>351366</v>
      </c>
      <c r="BL28">
        <f ca="1">IFERROR(IF(0=LEN(ReferenceData!$BL$28),"",ReferenceData!$BL$28),"")</f>
        <v>344506</v>
      </c>
      <c r="BM28">
        <f ca="1">IFERROR(IF(0=LEN(ReferenceData!$BM$28),"",ReferenceData!$BM$28),"")</f>
        <v>413778</v>
      </c>
      <c r="BN28">
        <f ca="1">IFERROR(IF(0=LEN(ReferenceData!$BN$28),"",ReferenceData!$BN$28),"")</f>
        <v>364150</v>
      </c>
      <c r="BO28">
        <f ca="1">IFERROR(IF(0=LEN(ReferenceData!$BO$28),"",ReferenceData!$BO$28),"")</f>
        <v>375844</v>
      </c>
      <c r="BP28">
        <f ca="1">IFERROR(IF(0=LEN(ReferenceData!$BP$28),"",ReferenceData!$BP$28),"")</f>
        <v>378767</v>
      </c>
      <c r="BQ28">
        <f ca="1">IFERROR(IF(0=LEN(ReferenceData!$BQ$28),"",ReferenceData!$BQ$28),"")</f>
        <v>370726</v>
      </c>
      <c r="BR28">
        <f ca="1">IFERROR(IF(0=LEN(ReferenceData!$BR$28),"",ReferenceData!$BR$28),"")</f>
        <v>361029</v>
      </c>
      <c r="BS28">
        <f ca="1">IFERROR(IF(0=LEN(ReferenceData!$BS$28),"",ReferenceData!$BS$28),"")</f>
        <v>356717</v>
      </c>
      <c r="BT28">
        <f ca="1">IFERROR(IF(0=LEN(ReferenceData!$BT$28),"",ReferenceData!$BT$28),"")</f>
        <v>355208</v>
      </c>
      <c r="BU28">
        <f ca="1">IFERROR(IF(0=LEN(ReferenceData!$BU$28),"",ReferenceData!$BU$28),"")</f>
        <v>341094</v>
      </c>
      <c r="BV28">
        <f ca="1">IFERROR(IF(0=LEN(ReferenceData!$BV$28),"",ReferenceData!$BV$28),"")</f>
        <v>338793</v>
      </c>
      <c r="BW28">
        <f ca="1">IFERROR(IF(0=LEN(ReferenceData!$BW$28),"",ReferenceData!$BW$28),"")</f>
        <v>323117</v>
      </c>
      <c r="BX28">
        <f ca="1">IFERROR(IF(0=LEN(ReferenceData!$BX$28),"",ReferenceData!$BX$28),"")</f>
        <v>309147</v>
      </c>
      <c r="BY28">
        <f ca="1">IFERROR(IF(0=LEN(ReferenceData!$BY$28),"",ReferenceData!$BY$28),"")</f>
        <v>409814</v>
      </c>
      <c r="BZ28">
        <f ca="1">IFERROR(IF(0=LEN(ReferenceData!$BZ$28),"",ReferenceData!$BZ$28),"")</f>
        <v>325141</v>
      </c>
      <c r="CA28">
        <f ca="1">IFERROR(IF(0=LEN(ReferenceData!$CA$28),"",ReferenceData!$CA$28),"")</f>
        <v>348297</v>
      </c>
      <c r="CB28">
        <f ca="1">IFERROR(IF(0=LEN(ReferenceData!$CB$28),"",ReferenceData!$CB$28),"")</f>
        <v>336099</v>
      </c>
      <c r="CC28">
        <f ca="1">IFERROR(IF(0=LEN(ReferenceData!$CC$28),"",ReferenceData!$CC$28),"")</f>
        <v>337711</v>
      </c>
      <c r="CD28">
        <f ca="1">IFERROR(IF(0=LEN(ReferenceData!$CD$28),"",ReferenceData!$CD$28),"")</f>
        <v>350104</v>
      </c>
      <c r="CE28">
        <f ca="1">IFERROR(IF(0=LEN(ReferenceData!$CE$28),"",ReferenceData!$CE$28),"")</f>
        <v>333006</v>
      </c>
      <c r="CF28">
        <f ca="1">IFERROR(IF(0=LEN(ReferenceData!$CF$28),"",ReferenceData!$CF$28),"")</f>
        <v>311770</v>
      </c>
      <c r="CG28">
        <f ca="1">IFERROR(IF(0=LEN(ReferenceData!$CG$28),"",ReferenceData!$CG$28),"")</f>
        <v>330539</v>
      </c>
      <c r="CH28">
        <f ca="1">IFERROR(IF(0=LEN(ReferenceData!$CH$28),"",ReferenceData!$CH$28),"")</f>
        <v>331468</v>
      </c>
      <c r="CI28">
        <f ca="1">IFERROR(IF(0=LEN(ReferenceData!$CI$28),"",ReferenceData!$CI$28),"")</f>
        <v>292173</v>
      </c>
      <c r="CJ28">
        <f ca="1">IFERROR(IF(0=LEN(ReferenceData!$CJ$28),"",ReferenceData!$CJ$28),"")</f>
        <v>300671</v>
      </c>
      <c r="CK28">
        <f ca="1">IFERROR(IF(0=LEN(ReferenceData!$CK$28),"",ReferenceData!$CK$28),"")</f>
        <v>310393</v>
      </c>
    </row>
    <row r="29" spans="1:89" x14ac:dyDescent="0.25">
      <c r="A29" t="str">
        <f>IFERROR(IF(0=LEN(ReferenceData!$A$29),"",ReferenceData!$A$29),"")</f>
        <v xml:space="preserve">    Port of Vancouver (TEU)</v>
      </c>
      <c r="B29" t="str">
        <f>IFERROR(IF(0=LEN(ReferenceData!$B$29),"",ReferenceData!$B$29),"")</f>
        <v>PVANTOTL Index</v>
      </c>
      <c r="C29" t="str">
        <f>IFERROR(IF(0=LEN(ReferenceData!$C$29),"",ReferenceData!$C$29),"")</f>
        <v>PX385</v>
      </c>
      <c r="D29" t="str">
        <f>IFERROR(IF(0=LEN(ReferenceData!$D$29),"",ReferenceData!$D$29),"")</f>
        <v>INTERVAL_SUM</v>
      </c>
      <c r="E29" t="str">
        <f>IFERROR(IF(0=LEN(ReferenceData!$E$29),"",ReferenceData!$E$29),"")</f>
        <v>Dynamic</v>
      </c>
      <c r="F29">
        <f ca="1">IFERROR(IF(0=LEN(ReferenceData!$F$29),"",ReferenceData!$F$29),"")</f>
        <v>286241</v>
      </c>
      <c r="G29">
        <f ca="1">IFERROR(IF(0=LEN(ReferenceData!$G$29),"",ReferenceData!$G$29),"")</f>
        <v>253978</v>
      </c>
      <c r="H29">
        <f ca="1">IFERROR(IF(0=LEN(ReferenceData!$H$29),"",ReferenceData!$H$29),"")</f>
        <v>197511</v>
      </c>
      <c r="I29">
        <f ca="1">IFERROR(IF(0=LEN(ReferenceData!$I$29),"",ReferenceData!$I$29),"")</f>
        <v>285162</v>
      </c>
      <c r="J29">
        <f ca="1">IFERROR(IF(0=LEN(ReferenceData!$J$29),"",ReferenceData!$J$29),"")</f>
        <v>280296</v>
      </c>
      <c r="K29">
        <f ca="1">IFERROR(IF(0=LEN(ReferenceData!$K$29),"",ReferenceData!$K$29),"")</f>
        <v>281171</v>
      </c>
      <c r="L29">
        <f ca="1">IFERROR(IF(0=LEN(ReferenceData!$L$29),"",ReferenceData!$L$29),"")</f>
        <v>226852</v>
      </c>
      <c r="M29">
        <f ca="1">IFERROR(IF(0=LEN(ReferenceData!$M$29),"",ReferenceData!$M$29),"")</f>
        <v>233950</v>
      </c>
      <c r="N29">
        <f ca="1">IFERROR(IF(0=LEN(ReferenceData!$N$29),"",ReferenceData!$N$29),"")</f>
        <v>247473</v>
      </c>
      <c r="O29">
        <f ca="1">IFERROR(IF(0=LEN(ReferenceData!$O$29),"",ReferenceData!$O$29),"")</f>
        <v>207013</v>
      </c>
      <c r="P29">
        <f ca="1">IFERROR(IF(0=LEN(ReferenceData!$P$29),"",ReferenceData!$P$29),"")</f>
        <v>275601</v>
      </c>
      <c r="Q29">
        <f ca="1">IFERROR(IF(0=LEN(ReferenceData!$Q$29),"",ReferenceData!$Q$29),"")</f>
        <v>308542</v>
      </c>
      <c r="R29">
        <f ca="1">IFERROR(IF(0=LEN(ReferenceData!$R$29),"",ReferenceData!$R$29),"")</f>
        <v>325187</v>
      </c>
      <c r="S29">
        <f ca="1">IFERROR(IF(0=LEN(ReferenceData!$S$29),"",ReferenceData!$S$29),"")</f>
        <v>331874</v>
      </c>
      <c r="T29">
        <f ca="1">IFERROR(IF(0=LEN(ReferenceData!$T$29),"",ReferenceData!$T$29),"")</f>
        <v>305600</v>
      </c>
      <c r="U29">
        <f ca="1">IFERROR(IF(0=LEN(ReferenceData!$U$29),"",ReferenceData!$U$29),"")</f>
        <v>319894</v>
      </c>
      <c r="V29">
        <f ca="1">IFERROR(IF(0=LEN(ReferenceData!$V$29),"",ReferenceData!$V$29),"")</f>
        <v>320182</v>
      </c>
      <c r="W29">
        <f ca="1">IFERROR(IF(0=LEN(ReferenceData!$W$29),"",ReferenceData!$W$29),"")</f>
        <v>327562</v>
      </c>
      <c r="X29">
        <f ca="1">IFERROR(IF(0=LEN(ReferenceData!$X$29),"",ReferenceData!$X$29),"")</f>
        <v>330693</v>
      </c>
      <c r="Y29">
        <f ca="1">IFERROR(IF(0=LEN(ReferenceData!$Y$29),"",ReferenceData!$Y$29),"")</f>
        <v>252536</v>
      </c>
      <c r="Z29">
        <f ca="1">IFERROR(IF(0=LEN(ReferenceData!$Z$29),"",ReferenceData!$Z$29),"")</f>
        <v>252612</v>
      </c>
      <c r="AA29">
        <f ca="1">IFERROR(IF(0=LEN(ReferenceData!$AA$29),"",ReferenceData!$AA$29),"")</f>
        <v>254617</v>
      </c>
      <c r="AB29">
        <f ca="1">IFERROR(IF(0=LEN(ReferenceData!$AB$29),"",ReferenceData!$AB$29),"")</f>
        <v>240583</v>
      </c>
      <c r="AC29">
        <f ca="1">IFERROR(IF(0=LEN(ReferenceData!$AC$29),"",ReferenceData!$AC$29),"")</f>
        <v>327146</v>
      </c>
      <c r="AD29">
        <f ca="1">IFERROR(IF(0=LEN(ReferenceData!$AD$29),"",ReferenceData!$AD$29),"")</f>
        <v>311855</v>
      </c>
      <c r="AE29">
        <f ca="1">IFERROR(IF(0=LEN(ReferenceData!$AE$29),"",ReferenceData!$AE$29),"")</f>
        <v>336695</v>
      </c>
      <c r="AF29">
        <f ca="1">IFERROR(IF(0=LEN(ReferenceData!$AF$29),"",ReferenceData!$AF$29),"")</f>
        <v>265593</v>
      </c>
      <c r="AG29">
        <f ca="1">IFERROR(IF(0=LEN(ReferenceData!$AG$29),"",ReferenceData!$AG$29),"")</f>
        <v>302003</v>
      </c>
      <c r="AH29">
        <f ca="1">IFERROR(IF(0=LEN(ReferenceData!$AH$29),"",ReferenceData!$AH$29),"")</f>
        <v>371855</v>
      </c>
      <c r="AI29">
        <f ca="1">IFERROR(IF(0=LEN(ReferenceData!$AI$29),"",ReferenceData!$AI$29),"")</f>
        <v>337271</v>
      </c>
      <c r="AJ29">
        <f ca="1">IFERROR(IF(0=LEN(ReferenceData!$AJ$29),"",ReferenceData!$AJ$29),"")</f>
        <v>332258</v>
      </c>
      <c r="AK29">
        <f ca="1">IFERROR(IF(0=LEN(ReferenceData!$AK$29),"",ReferenceData!$AK$29),"")</f>
        <v>280733</v>
      </c>
      <c r="AL29">
        <f ca="1">IFERROR(IF(0=LEN(ReferenceData!$AL$29),"",ReferenceData!$AL$29),"")</f>
        <v>319972</v>
      </c>
      <c r="AM29">
        <f ca="1">IFERROR(IF(0=LEN(ReferenceData!$AM$29),"",ReferenceData!$AM$29),"")</f>
        <v>321302</v>
      </c>
      <c r="AN29">
        <f ca="1">IFERROR(IF(0=LEN(ReferenceData!$AN$29),"",ReferenceData!$AN$29),"")</f>
        <v>315721</v>
      </c>
      <c r="AO29">
        <f ca="1">IFERROR(IF(0=LEN(ReferenceData!$AO$29),"",ReferenceData!$AO$29),"")</f>
        <v>359384</v>
      </c>
      <c r="AP29">
        <f ca="1">IFERROR(IF(0=LEN(ReferenceData!$AP$29),"",ReferenceData!$AP$29),"")</f>
        <v>302737</v>
      </c>
      <c r="AQ29">
        <f ca="1">IFERROR(IF(0=LEN(ReferenceData!$AQ$29),"",ReferenceData!$AQ$29),"")</f>
        <v>300341</v>
      </c>
      <c r="AR29">
        <f ca="1">IFERROR(IF(0=LEN(ReferenceData!$AR$29),"",ReferenceData!$AR$29),"")</f>
        <v>303559</v>
      </c>
      <c r="AS29">
        <f ca="1">IFERROR(IF(0=LEN(ReferenceData!$AS$29),"",ReferenceData!$AS$29),"")</f>
        <v>275171</v>
      </c>
      <c r="AT29">
        <f ca="1">IFERROR(IF(0=LEN(ReferenceData!$AT$29),"",ReferenceData!$AT$29),"")</f>
        <v>276230</v>
      </c>
      <c r="AU29">
        <f ca="1">IFERROR(IF(0=LEN(ReferenceData!$AU$29),"",ReferenceData!$AU$29),"")</f>
        <v>278223</v>
      </c>
      <c r="AV29">
        <f ca="1">IFERROR(IF(0=LEN(ReferenceData!$AV$29),"",ReferenceData!$AV$29),"")</f>
        <v>237696</v>
      </c>
      <c r="AW29">
        <f ca="1">IFERROR(IF(0=LEN(ReferenceData!$AW$29),"",ReferenceData!$AW$29),"")</f>
        <v>231560</v>
      </c>
      <c r="AX29">
        <f ca="1">IFERROR(IF(0=LEN(ReferenceData!$AX$29),"",ReferenceData!$AX$29),"")</f>
        <v>265599</v>
      </c>
      <c r="AY29">
        <f ca="1">IFERROR(IF(0=LEN(ReferenceData!$AY$29),"",ReferenceData!$AY$29),"")</f>
        <v>271868</v>
      </c>
      <c r="AZ29">
        <f ca="1">IFERROR(IF(0=LEN(ReferenceData!$AZ$29),"",ReferenceData!$AZ$29),"")</f>
        <v>257943</v>
      </c>
      <c r="BA29">
        <f ca="1">IFERROR(IF(0=LEN(ReferenceData!$BA$29),"",ReferenceData!$BA$29),"")</f>
        <v>272899</v>
      </c>
      <c r="BB29">
        <f ca="1">IFERROR(IF(0=LEN(ReferenceData!$BB$29),"",ReferenceData!$BB$29),"")</f>
        <v>303835</v>
      </c>
      <c r="BC29">
        <f ca="1">IFERROR(IF(0=LEN(ReferenceData!$BC$29),"",ReferenceData!$BC$29),"")</f>
        <v>295765</v>
      </c>
      <c r="BD29">
        <f ca="1">IFERROR(IF(0=LEN(ReferenceData!$BD$29),"",ReferenceData!$BD$29),"")</f>
        <v>301174</v>
      </c>
      <c r="BE29">
        <f ca="1">IFERROR(IF(0=LEN(ReferenceData!$BE$29),"",ReferenceData!$BE$29),"")</f>
        <v>285593</v>
      </c>
      <c r="BF29">
        <f ca="1">IFERROR(IF(0=LEN(ReferenceData!$BF$29),"",ReferenceData!$BF$29),"")</f>
        <v>276115</v>
      </c>
      <c r="BG29">
        <f ca="1">IFERROR(IF(0=LEN(ReferenceData!$BG$29),"",ReferenceData!$BG$29),"")</f>
        <v>290630</v>
      </c>
      <c r="BH29">
        <f ca="1">IFERROR(IF(0=LEN(ReferenceData!$BH$29),"",ReferenceData!$BH$29),"")</f>
        <v>269681</v>
      </c>
      <c r="BI29">
        <f ca="1">IFERROR(IF(0=LEN(ReferenceData!$BI$29),"",ReferenceData!$BI$29),"")</f>
        <v>259831</v>
      </c>
      <c r="BJ29">
        <f ca="1">IFERROR(IF(0=LEN(ReferenceData!$BJ$29),"",ReferenceData!$BJ$29),"")</f>
        <v>313527</v>
      </c>
      <c r="BK29">
        <f ca="1">IFERROR(IF(0=LEN(ReferenceData!$BK$29),"",ReferenceData!$BK$29),"")</f>
        <v>271715</v>
      </c>
      <c r="BL29">
        <f ca="1">IFERROR(IF(0=LEN(ReferenceData!$BL$29),"",ReferenceData!$BL$29),"")</f>
        <v>305325</v>
      </c>
      <c r="BM29">
        <f ca="1">IFERROR(IF(0=LEN(ReferenceData!$BM$29),"",ReferenceData!$BM$29),"")</f>
        <v>299258</v>
      </c>
      <c r="BN29">
        <f ca="1">IFERROR(IF(0=LEN(ReferenceData!$BN$29),"",ReferenceData!$BN$29),"")</f>
        <v>310982</v>
      </c>
      <c r="BO29">
        <f ca="1">IFERROR(IF(0=LEN(ReferenceData!$BO$29),"",ReferenceData!$BO$29),"")</f>
        <v>273638</v>
      </c>
      <c r="BP29">
        <f ca="1">IFERROR(IF(0=LEN(ReferenceData!$BP$29),"",ReferenceData!$BP$29),"")</f>
        <v>298093</v>
      </c>
      <c r="BQ29">
        <f ca="1">IFERROR(IF(0=LEN(ReferenceData!$BQ$29),"",ReferenceData!$BQ$29),"")</f>
        <v>285082</v>
      </c>
      <c r="BR29">
        <f ca="1">IFERROR(IF(0=LEN(ReferenceData!$BR$29),"",ReferenceData!$BR$29),"")</f>
        <v>292273</v>
      </c>
      <c r="BS29">
        <f ca="1">IFERROR(IF(0=LEN(ReferenceData!$BS$29),"",ReferenceData!$BS$29),"")</f>
        <v>258869</v>
      </c>
      <c r="BT29">
        <f ca="1">IFERROR(IF(0=LEN(ReferenceData!$BT$29),"",ReferenceData!$BT$29),"")</f>
        <v>286563</v>
      </c>
      <c r="BU29">
        <f ca="1">IFERROR(IF(0=LEN(ReferenceData!$BU$29),"",ReferenceData!$BU$29),"")</f>
        <v>248583</v>
      </c>
      <c r="BV29">
        <f ca="1">IFERROR(IF(0=LEN(ReferenceData!$BV$29),"",ReferenceData!$BV$29),"")</f>
        <v>266071</v>
      </c>
      <c r="BW29">
        <f ca="1">IFERROR(IF(0=LEN(ReferenceData!$BW$29),"",ReferenceData!$BW$29),"")</f>
        <v>270488</v>
      </c>
      <c r="BX29">
        <f ca="1">IFERROR(IF(0=LEN(ReferenceData!$BX$29),"",ReferenceData!$BX$29),"")</f>
        <v>289576</v>
      </c>
      <c r="BY29">
        <f ca="1">IFERROR(IF(0=LEN(ReferenceData!$BY$29),"",ReferenceData!$BY$29),"")</f>
        <v>277257</v>
      </c>
      <c r="BZ29">
        <f ca="1">IFERROR(IF(0=LEN(ReferenceData!$BZ$29),"",ReferenceData!$BZ$29),"")</f>
        <v>284965</v>
      </c>
      <c r="CA29">
        <f ca="1">IFERROR(IF(0=LEN(ReferenceData!$CA$29),"",ReferenceData!$CA$29),"")</f>
        <v>278538</v>
      </c>
      <c r="CB29">
        <f ca="1">IFERROR(IF(0=LEN(ReferenceData!$CB$29),"",ReferenceData!$CB$29),"")</f>
        <v>292867</v>
      </c>
      <c r="CC29">
        <f ca="1">IFERROR(IF(0=LEN(ReferenceData!$CC$29),"",ReferenceData!$CC$29),"")</f>
        <v>270895</v>
      </c>
      <c r="CD29">
        <f ca="1">IFERROR(IF(0=LEN(ReferenceData!$CD$29),"",ReferenceData!$CD$29),"")</f>
        <v>289948</v>
      </c>
      <c r="CE29">
        <f ca="1">IFERROR(IF(0=LEN(ReferenceData!$CE$29),"",ReferenceData!$CE$29),"")</f>
        <v>257451</v>
      </c>
      <c r="CF29">
        <f ca="1">IFERROR(IF(0=LEN(ReferenceData!$CF$29),"",ReferenceData!$CF$29),"")</f>
        <v>250204</v>
      </c>
      <c r="CG29">
        <f ca="1">IFERROR(IF(0=LEN(ReferenceData!$CG$29),"",ReferenceData!$CG$29),"")</f>
        <v>250514</v>
      </c>
      <c r="CH29">
        <f ca="1">IFERROR(IF(0=LEN(ReferenceData!$CH$29),"",ReferenceData!$CH$29),"")</f>
        <v>239522</v>
      </c>
      <c r="CI29">
        <f ca="1">IFERROR(IF(0=LEN(ReferenceData!$CI$29),"",ReferenceData!$CI$29),"")</f>
        <v>239090</v>
      </c>
      <c r="CJ29">
        <f ca="1">IFERROR(IF(0=LEN(ReferenceData!$CJ$29),"",ReferenceData!$CJ$29),"")</f>
        <v>245883</v>
      </c>
      <c r="CK29">
        <f ca="1">IFERROR(IF(0=LEN(ReferenceData!$CK$29),"",ReferenceData!$CK$29),"")</f>
        <v>258657</v>
      </c>
    </row>
    <row r="30" spans="1:89" x14ac:dyDescent="0.25">
      <c r="A30" t="str">
        <f>IFERROR(IF(0=LEN(ReferenceData!$A$30),"",ReferenceData!$A$30),"")</f>
        <v xml:space="preserve">    Ports of Seattle/Tacoma Seaport Alliance (TEU)</v>
      </c>
      <c r="B30" t="str">
        <f>IFERROR(IF(0=LEN(ReferenceData!$B$30),"",ReferenceData!$B$30),"")</f>
        <v>SEAXTOTL Index</v>
      </c>
      <c r="C30" t="str">
        <f>IFERROR(IF(0=LEN(ReferenceData!$C$30),"",ReferenceData!$C$30),"")</f>
        <v>PX385</v>
      </c>
      <c r="D30" t="str">
        <f>IFERROR(IF(0=LEN(ReferenceData!$D$30),"",ReferenceData!$D$30),"")</f>
        <v>INTERVAL_SUM</v>
      </c>
      <c r="E30" t="str">
        <f>IFERROR(IF(0=LEN(ReferenceData!$E$30),"",ReferenceData!$E$30),"")</f>
        <v>Dynamic</v>
      </c>
      <c r="F30">
        <f ca="1">IFERROR(IF(0=LEN(ReferenceData!$F$30),"",ReferenceData!$F$30),"")</f>
        <v>329609</v>
      </c>
      <c r="G30">
        <f ca="1">IFERROR(IF(0=LEN(ReferenceData!$G$30),"",ReferenceData!$G$30),"")</f>
        <v>242700</v>
      </c>
      <c r="H30">
        <f ca="1">IFERROR(IF(0=LEN(ReferenceData!$H$30),"",ReferenceData!$H$30),"")</f>
        <v>234875</v>
      </c>
      <c r="I30">
        <f ca="1">IFERROR(IF(0=LEN(ReferenceData!$I$30),"",ReferenceData!$I$30),"")</f>
        <v>254458</v>
      </c>
      <c r="J30">
        <f ca="1">IFERROR(IF(0=LEN(ReferenceData!$J$30),"",ReferenceData!$J$30),"")</f>
        <v>229974</v>
      </c>
      <c r="K30">
        <f ca="1">IFERROR(IF(0=LEN(ReferenceData!$K$30),"",ReferenceData!$K$30),"")</f>
        <v>232321</v>
      </c>
      <c r="L30">
        <f ca="1">IFERROR(IF(0=LEN(ReferenceData!$L$30),"",ReferenceData!$L$30),"")</f>
        <v>240979</v>
      </c>
      <c r="M30">
        <f ca="1">IFERROR(IF(0=LEN(ReferenceData!$M$30),"",ReferenceData!$M$30),"")</f>
        <v>225747</v>
      </c>
      <c r="N30">
        <f ca="1">IFERROR(IF(0=LEN(ReferenceData!$N$30),"",ReferenceData!$N$30),"")</f>
        <v>213095</v>
      </c>
      <c r="O30">
        <f ca="1">IFERROR(IF(0=LEN(ReferenceData!$O$30),"",ReferenceData!$O$30),"")</f>
        <v>231799</v>
      </c>
      <c r="P30">
        <f ca="1">IFERROR(IF(0=LEN(ReferenceData!$P$30),"",ReferenceData!$P$30),"")</f>
        <v>247037</v>
      </c>
      <c r="Q30">
        <f ca="1">IFERROR(IF(0=LEN(ReferenceData!$Q$30),"",ReferenceData!$Q$30),"")</f>
        <v>272129</v>
      </c>
      <c r="R30">
        <f ca="1">IFERROR(IF(0=LEN(ReferenceData!$R$30),"",ReferenceData!$R$30),"")</f>
        <v>285315</v>
      </c>
      <c r="S30">
        <f ca="1">IFERROR(IF(0=LEN(ReferenceData!$S$30),"",ReferenceData!$S$30),"")</f>
        <v>280436</v>
      </c>
      <c r="T30">
        <f ca="1">IFERROR(IF(0=LEN(ReferenceData!$T$30),"",ReferenceData!$T$30),"")</f>
        <v>260572</v>
      </c>
      <c r="U30">
        <f ca="1">IFERROR(IF(0=LEN(ReferenceData!$U$30),"",ReferenceData!$U$30),"")</f>
        <v>309123</v>
      </c>
      <c r="V30">
        <f ca="1">IFERROR(IF(0=LEN(ReferenceData!$V$30),"",ReferenceData!$V$30),"")</f>
        <v>329740</v>
      </c>
      <c r="W30">
        <f ca="1">IFERROR(IF(0=LEN(ReferenceData!$W$30),"",ReferenceData!$W$30),"")</f>
        <v>266635</v>
      </c>
      <c r="X30">
        <f ca="1">IFERROR(IF(0=LEN(ReferenceData!$X$30),"",ReferenceData!$X$30),"")</f>
        <v>330906</v>
      </c>
      <c r="Y30">
        <f ca="1">IFERROR(IF(0=LEN(ReferenceData!$Y$30),"",ReferenceData!$Y$30),"")</f>
        <v>298046</v>
      </c>
      <c r="Z30">
        <f ca="1">IFERROR(IF(0=LEN(ReferenceData!$Z$30),"",ReferenceData!$Z$30),"")</f>
        <v>272281</v>
      </c>
      <c r="AA30">
        <f ca="1">IFERROR(IF(0=LEN(ReferenceData!$AA$30),"",ReferenceData!$AA$30),"")</f>
        <v>254102</v>
      </c>
      <c r="AB30">
        <f ca="1">IFERROR(IF(0=LEN(ReferenceData!$AB$30),"",ReferenceData!$AB$30),"")</f>
        <v>325604</v>
      </c>
      <c r="AC30">
        <f ca="1">IFERROR(IF(0=LEN(ReferenceData!$AC$30),"",ReferenceData!$AC$30),"")</f>
        <v>314801</v>
      </c>
      <c r="AD30">
        <f ca="1">IFERROR(IF(0=LEN(ReferenceData!$AD$30),"",ReferenceData!$AD$30),"")</f>
        <v>337513</v>
      </c>
      <c r="AE30">
        <f ca="1">IFERROR(IF(0=LEN(ReferenceData!$AE$30),"",ReferenceData!$AE$30),"")</f>
        <v>313127</v>
      </c>
      <c r="AF30">
        <f ca="1">IFERROR(IF(0=LEN(ReferenceData!$AF$30),"",ReferenceData!$AF$30),"")</f>
        <v>309722</v>
      </c>
      <c r="AG30">
        <f ca="1">IFERROR(IF(0=LEN(ReferenceData!$AG$30),"",ReferenceData!$AG$30),"")</f>
        <v>344573</v>
      </c>
      <c r="AH30">
        <f ca="1">IFERROR(IF(0=LEN(ReferenceData!$AH$30),"",ReferenceData!$AH$30),"")</f>
        <v>336397</v>
      </c>
      <c r="AI30">
        <f ca="1">IFERROR(IF(0=LEN(ReferenceData!$AI$30),"",ReferenceData!$AI$30),"")</f>
        <v>303642</v>
      </c>
      <c r="AJ30">
        <f ca="1">IFERROR(IF(0=LEN(ReferenceData!$AJ$30),"",ReferenceData!$AJ$30),"")</f>
        <v>339322</v>
      </c>
      <c r="AK30">
        <f ca="1">IFERROR(IF(0=LEN(ReferenceData!$AK$30),"",ReferenceData!$AK$30),"")</f>
        <v>268216</v>
      </c>
      <c r="AL30">
        <f ca="1">IFERROR(IF(0=LEN(ReferenceData!$AL$30),"",ReferenceData!$AL$30),"")</f>
        <v>289187</v>
      </c>
      <c r="AM30">
        <f ca="1">IFERROR(IF(0=LEN(ReferenceData!$AM$30),"",ReferenceData!$AM$30),"")</f>
        <v>301814</v>
      </c>
      <c r="AN30">
        <f ca="1">IFERROR(IF(0=LEN(ReferenceData!$AN$30),"",ReferenceData!$AN$30),"")</f>
        <v>301932</v>
      </c>
      <c r="AO30">
        <f ca="1">IFERROR(IF(0=LEN(ReferenceData!$AO$30),"",ReferenceData!$AO$30),"")</f>
        <v>296892</v>
      </c>
      <c r="AP30">
        <f ca="1">IFERROR(IF(0=LEN(ReferenceData!$AP$30),"",ReferenceData!$AP$30),"")</f>
        <v>308682</v>
      </c>
      <c r="AQ30">
        <f ca="1">IFERROR(IF(0=LEN(ReferenceData!$AQ$30),"",ReferenceData!$AQ$30),"")</f>
        <v>276407</v>
      </c>
      <c r="AR30">
        <f ca="1">IFERROR(IF(0=LEN(ReferenceData!$AR$30),"",ReferenceData!$AR$30),"")</f>
        <v>270388</v>
      </c>
      <c r="AS30">
        <f ca="1">IFERROR(IF(0=LEN(ReferenceData!$AS$30),"",ReferenceData!$AS$30),"")</f>
        <v>287036</v>
      </c>
      <c r="AT30">
        <f ca="1">IFERROR(IF(0=LEN(ReferenceData!$AT$30),"",ReferenceData!$AT$30),"")</f>
        <v>240671</v>
      </c>
      <c r="AU30">
        <f ca="1">IFERROR(IF(0=LEN(ReferenceData!$AU$30),"",ReferenceData!$AU$30),"")</f>
        <v>247675</v>
      </c>
      <c r="AV30">
        <f ca="1">IFERROR(IF(0=LEN(ReferenceData!$AV$30),"",ReferenceData!$AV$30),"")</f>
        <v>264133</v>
      </c>
      <c r="AW30">
        <f ca="1">IFERROR(IF(0=LEN(ReferenceData!$AW$30),"",ReferenceData!$AW$30),"")</f>
        <v>260932</v>
      </c>
      <c r="AX30">
        <f ca="1">IFERROR(IF(0=LEN(ReferenceData!$AX$30),"",ReferenceData!$AX$30),"")</f>
        <v>263816</v>
      </c>
      <c r="AY30">
        <f ca="1">IFERROR(IF(0=LEN(ReferenceData!$AY$30),"",ReferenceData!$AY$30),"")</f>
        <v>284452</v>
      </c>
      <c r="AZ30">
        <f ca="1">IFERROR(IF(0=LEN(ReferenceData!$AZ$30),"",ReferenceData!$AZ$30),"")</f>
        <v>271178</v>
      </c>
      <c r="BA30">
        <f ca="1">IFERROR(IF(0=LEN(ReferenceData!$BA$30),"",ReferenceData!$BA$30),"")</f>
        <v>310066</v>
      </c>
      <c r="BB30">
        <f ca="1">IFERROR(IF(0=LEN(ReferenceData!$BB$30),"",ReferenceData!$BB$30),"")</f>
        <v>347278</v>
      </c>
      <c r="BC30">
        <f ca="1">IFERROR(IF(0=LEN(ReferenceData!$BC$30),"",ReferenceData!$BC$30),"")</f>
        <v>320564</v>
      </c>
      <c r="BD30">
        <f ca="1">IFERROR(IF(0=LEN(ReferenceData!$BD$30),"",ReferenceData!$BD$30),"")</f>
        <v>326515</v>
      </c>
      <c r="BE30">
        <f ca="1">IFERROR(IF(0=LEN(ReferenceData!$BE$30),"",ReferenceData!$BE$30),"")</f>
        <v>343221</v>
      </c>
      <c r="BF30">
        <f ca="1">IFERROR(IF(0=LEN(ReferenceData!$BF$30),"",ReferenceData!$BF$30),"")</f>
        <v>315792</v>
      </c>
      <c r="BG30">
        <f ca="1">IFERROR(IF(0=LEN(ReferenceData!$BG$30),"",ReferenceData!$BG$30),"")</f>
        <v>323948</v>
      </c>
      <c r="BH30">
        <f ca="1">IFERROR(IF(0=LEN(ReferenceData!$BH$30),"",ReferenceData!$BH$30),"")</f>
        <v>336828</v>
      </c>
      <c r="BI30">
        <f ca="1">IFERROR(IF(0=LEN(ReferenceData!$BI$30),"",ReferenceData!$BI$30),"")</f>
        <v>269233</v>
      </c>
      <c r="BJ30">
        <f ca="1">IFERROR(IF(0=LEN(ReferenceData!$BJ$30),"",ReferenceData!$BJ$30),"")</f>
        <v>326228</v>
      </c>
      <c r="BK30">
        <f ca="1">IFERROR(IF(0=LEN(ReferenceData!$BK$30),"",ReferenceData!$BK$30),"")</f>
        <v>349055</v>
      </c>
      <c r="BL30">
        <f ca="1">IFERROR(IF(0=LEN(ReferenceData!$BL$30),"",ReferenceData!$BL$30),"")</f>
        <v>319242</v>
      </c>
      <c r="BM30">
        <f ca="1">IFERROR(IF(0=LEN(ReferenceData!$BM$30),"",ReferenceData!$BM$30),"")</f>
        <v>333995</v>
      </c>
      <c r="BN30">
        <f ca="1">IFERROR(IF(0=LEN(ReferenceData!$BN$30),"",ReferenceData!$BN$30),"")</f>
        <v>373845</v>
      </c>
      <c r="BO30">
        <f ca="1">IFERROR(IF(0=LEN(ReferenceData!$BO$30),"",ReferenceData!$BO$30),"")</f>
        <v>314321</v>
      </c>
      <c r="BP30">
        <f ca="1">IFERROR(IF(0=LEN(ReferenceData!$BP$30),"",ReferenceData!$BP$30),"")</f>
        <v>327462</v>
      </c>
      <c r="BQ30">
        <f ca="1">IFERROR(IF(0=LEN(ReferenceData!$BQ$30),"",ReferenceData!$BQ$30),"")</f>
        <v>351284</v>
      </c>
      <c r="BR30">
        <f ca="1">IFERROR(IF(0=LEN(ReferenceData!$BR$30),"",ReferenceData!$BR$30),"")</f>
        <v>309243</v>
      </c>
      <c r="BS30">
        <f ca="1">IFERROR(IF(0=LEN(ReferenceData!$BS$30),"",ReferenceData!$BS$30),"")</f>
        <v>279715</v>
      </c>
      <c r="BT30">
        <f ca="1">IFERROR(IF(0=LEN(ReferenceData!$BT$30),"",ReferenceData!$BT$30),"")</f>
        <v>302516</v>
      </c>
      <c r="BU30">
        <f ca="1">IFERROR(IF(0=LEN(ReferenceData!$BU$30),"",ReferenceData!$BU$30),"")</f>
        <v>280737</v>
      </c>
      <c r="BV30">
        <f ca="1">IFERROR(IF(0=LEN(ReferenceData!$BV$30),"",ReferenceData!$BV$30),"")</f>
        <v>256212</v>
      </c>
      <c r="BW30">
        <f ca="1">IFERROR(IF(0=LEN(ReferenceData!$BW$30),"",ReferenceData!$BW$30),"")</f>
        <v>312782</v>
      </c>
      <c r="BX30">
        <f ca="1">IFERROR(IF(0=LEN(ReferenceData!$BX$30),"",ReferenceData!$BX$30),"")</f>
        <v>299150</v>
      </c>
      <c r="BY30">
        <f ca="1">IFERROR(IF(0=LEN(ReferenceData!$BY$30),"",ReferenceData!$BY$30),"")</f>
        <v>303951</v>
      </c>
      <c r="BZ30">
        <f ca="1">IFERROR(IF(0=LEN(ReferenceData!$BZ$30),"",ReferenceData!$BZ$30),"")</f>
        <v>323477</v>
      </c>
      <c r="CA30">
        <f ca="1">IFERROR(IF(0=LEN(ReferenceData!$CA$30),"",ReferenceData!$CA$30),"")</f>
        <v>337719</v>
      </c>
      <c r="CB30">
        <f ca="1">IFERROR(IF(0=LEN(ReferenceData!$CB$30),"",ReferenceData!$CB$30),"")</f>
        <v>295968</v>
      </c>
      <c r="CC30">
        <f ca="1">IFERROR(IF(0=LEN(ReferenceData!$CC$30),"",ReferenceData!$CC$30),"")</f>
        <v>323409</v>
      </c>
      <c r="CD30">
        <f ca="1">IFERROR(IF(0=LEN(ReferenceData!$CD$30),"",ReferenceData!$CD$30),"")</f>
        <v>323581</v>
      </c>
      <c r="CE30">
        <f ca="1">IFERROR(IF(0=LEN(ReferenceData!$CE$30),"",ReferenceData!$CE$30),"")</f>
        <v>282772</v>
      </c>
      <c r="CF30">
        <f ca="1">IFERROR(IF(0=LEN(ReferenceData!$CF$30),"",ReferenceData!$CF$30),"")</f>
        <v>334473</v>
      </c>
      <c r="CG30">
        <f ca="1">IFERROR(IF(0=LEN(ReferenceData!$CG$30),"",ReferenceData!$CG$30),"")</f>
        <v>263718</v>
      </c>
      <c r="CH30">
        <f ca="1">IFERROR(IF(0=LEN(ReferenceData!$CH$30),"",ReferenceData!$CH$30),"")</f>
        <v>301174</v>
      </c>
      <c r="CI30">
        <f ca="1">IFERROR(IF(0=LEN(ReferenceData!$CI$30),"",ReferenceData!$CI$30),"")</f>
        <v>316217</v>
      </c>
      <c r="CJ30">
        <f ca="1">IFERROR(IF(0=LEN(ReferenceData!$CJ$30),"",ReferenceData!$CJ$30),"")</f>
        <v>336379</v>
      </c>
      <c r="CK30">
        <f ca="1">IFERROR(IF(0=LEN(ReferenceData!$CK$30),"",ReferenceData!$CK$30),"")</f>
        <v>304702</v>
      </c>
    </row>
    <row r="31" spans="1:89" x14ac:dyDescent="0.25">
      <c r="A31" t="str">
        <f>IFERROR(IF(0=LEN(ReferenceData!$A$31),"",ReferenceData!$A$31),"")</f>
        <v xml:space="preserve">    Port of Oakland (TEU)</v>
      </c>
      <c r="B31" t="str">
        <f>IFERROR(IF(0=LEN(ReferenceData!$B$31),"",ReferenceData!$B$31),"")</f>
        <v>POOKTOTL Index</v>
      </c>
      <c r="C31" t="str">
        <f>IFERROR(IF(0=LEN(ReferenceData!$C$31),"",ReferenceData!$C$31),"")</f>
        <v>PX385</v>
      </c>
      <c r="D31" t="str">
        <f>IFERROR(IF(0=LEN(ReferenceData!$D$31),"",ReferenceData!$D$31),"")</f>
        <v>INTERVAL_SUM</v>
      </c>
      <c r="E31" t="str">
        <f>IFERROR(IF(0=LEN(ReferenceData!$E$31),"",ReferenceData!$E$31),"")</f>
        <v>Dynamic</v>
      </c>
      <c r="F31">
        <f ca="1">IFERROR(IF(0=LEN(ReferenceData!$F$31),"",ReferenceData!$F$31),"")</f>
        <v>171822</v>
      </c>
      <c r="G31">
        <f ca="1">IFERROR(IF(0=LEN(ReferenceData!$G$31),"",ReferenceData!$G$31),"")</f>
        <v>179160.5</v>
      </c>
      <c r="H31">
        <f ca="1">IFERROR(IF(0=LEN(ReferenceData!$H$31),"",ReferenceData!$H$31),"")</f>
        <v>181555.25</v>
      </c>
      <c r="I31">
        <f ca="1">IFERROR(IF(0=LEN(ReferenceData!$I$31),"",ReferenceData!$I$31),"")</f>
        <v>155827.25</v>
      </c>
      <c r="J31">
        <f ca="1">IFERROR(IF(0=LEN(ReferenceData!$J$31),"",ReferenceData!$J$31),"")</f>
        <v>178513.25</v>
      </c>
      <c r="K31">
        <f ca="1">IFERROR(IF(0=LEN(ReferenceData!$K$31),"",ReferenceData!$K$31),"")</f>
        <v>174481.5</v>
      </c>
      <c r="L31">
        <f ca="1">IFERROR(IF(0=LEN(ReferenceData!$L$31),"",ReferenceData!$L$31),"")</f>
        <v>170267.5</v>
      </c>
      <c r="M31">
        <f ca="1">IFERROR(IF(0=LEN(ReferenceData!$M$31),"",ReferenceData!$M$31),"")</f>
        <v>153836.75</v>
      </c>
      <c r="N31">
        <f ca="1">IFERROR(IF(0=LEN(ReferenceData!$N$31),"",ReferenceData!$N$31),"")</f>
        <v>179227.75</v>
      </c>
      <c r="O31">
        <f ca="1">IFERROR(IF(0=LEN(ReferenceData!$O$31),"",ReferenceData!$O$31),"")</f>
        <v>163027.25</v>
      </c>
      <c r="P31">
        <f ca="1">IFERROR(IF(0=LEN(ReferenceData!$P$31),"",ReferenceData!$P$31),"")</f>
        <v>184606.25</v>
      </c>
      <c r="Q31">
        <f ca="1">IFERROR(IF(0=LEN(ReferenceData!$Q$31),"",ReferenceData!$Q$31),"")</f>
        <v>202487</v>
      </c>
      <c r="R31">
        <f ca="1">IFERROR(IF(0=LEN(ReferenceData!$R$31),"",ReferenceData!$R$31),"")</f>
        <v>184729.45</v>
      </c>
      <c r="S31">
        <f ca="1">IFERROR(IF(0=LEN(ReferenceData!$S$31),"",ReferenceData!$S$31),"")</f>
        <v>211122.5</v>
      </c>
      <c r="T31">
        <f ca="1">IFERROR(IF(0=LEN(ReferenceData!$T$31),"",ReferenceData!$T$31),"")</f>
        <v>160356</v>
      </c>
      <c r="U31">
        <f ca="1">IFERROR(IF(0=LEN(ReferenceData!$U$31),"",ReferenceData!$U$31),"")</f>
        <v>216096</v>
      </c>
      <c r="V31">
        <f ca="1">IFERROR(IF(0=LEN(ReferenceData!$V$31),"",ReferenceData!$V$31),"")</f>
        <v>224301.5</v>
      </c>
      <c r="W31">
        <f ca="1">IFERROR(IF(0=LEN(ReferenceData!$W$31),"",ReferenceData!$W$31),"")</f>
        <v>188442</v>
      </c>
      <c r="X31">
        <f ca="1">IFERROR(IF(0=LEN(ReferenceData!$X$31),"",ReferenceData!$X$31),"")</f>
        <v>214460.5</v>
      </c>
      <c r="Y31">
        <f ca="1">IFERROR(IF(0=LEN(ReferenceData!$Y$31),"",ReferenceData!$Y$31),"")</f>
        <v>194784</v>
      </c>
      <c r="Z31">
        <f ca="1">IFERROR(IF(0=LEN(ReferenceData!$Z$31),"",ReferenceData!$Z$31),"")</f>
        <v>193194.75</v>
      </c>
      <c r="AA31">
        <f ca="1">IFERROR(IF(0=LEN(ReferenceData!$AA$31),"",ReferenceData!$AA$31),"")</f>
        <v>169650</v>
      </c>
      <c r="AB31">
        <f ca="1">IFERROR(IF(0=LEN(ReferenceData!$AB$31),"",ReferenceData!$AB$31),"")</f>
        <v>189096.1</v>
      </c>
      <c r="AC31">
        <f ca="1">IFERROR(IF(0=LEN(ReferenceData!$AC$31),"",ReferenceData!$AC$31),"")</f>
        <v>173307.85</v>
      </c>
      <c r="AD31">
        <f ca="1">IFERROR(IF(0=LEN(ReferenceData!$AD$31),"",ReferenceData!$AD$31),"")</f>
        <v>183272.75</v>
      </c>
      <c r="AE31">
        <f ca="1">IFERROR(IF(0=LEN(ReferenceData!$AE$31),"",ReferenceData!$AE$31),"")</f>
        <v>220050.3</v>
      </c>
      <c r="AF31">
        <f ca="1">IFERROR(IF(0=LEN(ReferenceData!$AF$31),"",ReferenceData!$AF$31),"")</f>
        <v>211394.35</v>
      </c>
      <c r="AG31">
        <f ca="1">IFERROR(IF(0=LEN(ReferenceData!$AG$31),"",ReferenceData!$AG$31),"")</f>
        <v>222482.9</v>
      </c>
      <c r="AH31">
        <f ca="1">IFERROR(IF(0=LEN(ReferenceData!$AH$31),"",ReferenceData!$AH$31),"")</f>
        <v>226407.9</v>
      </c>
      <c r="AI31">
        <f ca="1">IFERROR(IF(0=LEN(ReferenceData!$AI$31),"",ReferenceData!$AI$31),"")</f>
        <v>221837.5</v>
      </c>
      <c r="AJ31">
        <f ca="1">IFERROR(IF(0=LEN(ReferenceData!$AJ$31),"",ReferenceData!$AJ$31),"")</f>
        <v>241467.15</v>
      </c>
      <c r="AK31">
        <f ca="1">IFERROR(IF(0=LEN(ReferenceData!$AK$31),"",ReferenceData!$AK$31),"")</f>
        <v>190488.5</v>
      </c>
      <c r="AL31">
        <f ca="1">IFERROR(IF(0=LEN(ReferenceData!$AL$31),"",ReferenceData!$AL$31),"")</f>
        <v>199097.7</v>
      </c>
      <c r="AM31">
        <f ca="1">IFERROR(IF(0=LEN(ReferenceData!$AM$31),"",ReferenceData!$AM$31),"")</f>
        <v>208339.25</v>
      </c>
      <c r="AN31">
        <f ca="1">IFERROR(IF(0=LEN(ReferenceData!$AN$31),"",ReferenceData!$AN$31),"")</f>
        <v>197694.7</v>
      </c>
      <c r="AO31">
        <f ca="1">IFERROR(IF(0=LEN(ReferenceData!$AO$31),"",ReferenceData!$AO$31),"")</f>
        <v>216664</v>
      </c>
      <c r="AP31">
        <f ca="1">IFERROR(IF(0=LEN(ReferenceData!$AP$31),"",ReferenceData!$AP$31),"")</f>
        <v>225806.5</v>
      </c>
      <c r="AQ31">
        <f ca="1">IFERROR(IF(0=LEN(ReferenceData!$AQ$31),"",ReferenceData!$AQ$31),"")</f>
        <v>225489.15</v>
      </c>
      <c r="AR31">
        <f ca="1">IFERROR(IF(0=LEN(ReferenceData!$AR$31),"",ReferenceData!$AR$31),"")</f>
        <v>219080.3</v>
      </c>
      <c r="AS31">
        <f ca="1">IFERROR(IF(0=LEN(ReferenceData!$AS$31),"",ReferenceData!$AS$31),"")</f>
        <v>199011.45</v>
      </c>
      <c r="AT31">
        <f ca="1">IFERROR(IF(0=LEN(ReferenceData!$AT$31),"",ReferenceData!$AT$31),"")</f>
        <v>185594.7</v>
      </c>
      <c r="AU31">
        <f ca="1">IFERROR(IF(0=LEN(ReferenceData!$AU$31),"",ReferenceData!$AU$31),"")</f>
        <v>201918.4</v>
      </c>
      <c r="AV31">
        <f ca="1">IFERROR(IF(0=LEN(ReferenceData!$AV$31),"",ReferenceData!$AV$31),"")</f>
        <v>190187.7</v>
      </c>
      <c r="AW31">
        <f ca="1">IFERROR(IF(0=LEN(ReferenceData!$AW$31),"",ReferenceData!$AW$31),"")</f>
        <v>180874.9</v>
      </c>
      <c r="AX31">
        <f ca="1">IFERROR(IF(0=LEN(ReferenceData!$AX$31),"",ReferenceData!$AX$31),"")</f>
        <v>211227.95</v>
      </c>
      <c r="AY31">
        <f ca="1">IFERROR(IF(0=LEN(ReferenceData!$AY$31),"",ReferenceData!$AY$31),"")</f>
        <v>193963.3</v>
      </c>
      <c r="AZ31">
        <f ca="1">IFERROR(IF(0=LEN(ReferenceData!$AZ$31),"",ReferenceData!$AZ$31),"")</f>
        <v>197360.35</v>
      </c>
      <c r="BA31">
        <f ca="1">IFERROR(IF(0=LEN(ReferenceData!$BA$31),"",ReferenceData!$BA$31),"")</f>
        <v>204879.8</v>
      </c>
      <c r="BB31">
        <f ca="1">IFERROR(IF(0=LEN(ReferenceData!$BB$31),"",ReferenceData!$BB$31),"")</f>
        <v>206544.2</v>
      </c>
      <c r="BC31">
        <f ca="1">IFERROR(IF(0=LEN(ReferenceData!$BC$31),"",ReferenceData!$BC$31),"")</f>
        <v>224537</v>
      </c>
      <c r="BD31">
        <f ca="1">IFERROR(IF(0=LEN(ReferenceData!$BD$31),"",ReferenceData!$BD$31),"")</f>
        <v>218191.45</v>
      </c>
      <c r="BE31">
        <f ca="1">IFERROR(IF(0=LEN(ReferenceData!$BE$31),"",ReferenceData!$BE$31),"")</f>
        <v>203730.15</v>
      </c>
      <c r="BF31">
        <f ca="1">IFERROR(IF(0=LEN(ReferenceData!$BF$31),"",ReferenceData!$BF$31),"")</f>
        <v>223101.15</v>
      </c>
      <c r="BG31">
        <f ca="1">IFERROR(IF(0=LEN(ReferenceData!$BG$31),"",ReferenceData!$BG$31),"")</f>
        <v>216002.8</v>
      </c>
      <c r="BH31">
        <f ca="1">IFERROR(IF(0=LEN(ReferenceData!$BH$31),"",ReferenceData!$BH$31),"")</f>
        <v>213972.45</v>
      </c>
      <c r="BI31">
        <f ca="1">IFERROR(IF(0=LEN(ReferenceData!$BI$31),"",ReferenceData!$BI$31),"")</f>
        <v>185684.75</v>
      </c>
      <c r="BJ31">
        <f ca="1">IFERROR(IF(0=LEN(ReferenceData!$BJ$31),"",ReferenceData!$BJ$31),"")</f>
        <v>212493.3</v>
      </c>
      <c r="BK31">
        <f ca="1">IFERROR(IF(0=LEN(ReferenceData!$BK$31),"",ReferenceData!$BK$31),"")</f>
        <v>220922.3</v>
      </c>
      <c r="BL31">
        <f ca="1">IFERROR(IF(0=LEN(ReferenceData!$BL$31),"",ReferenceData!$BL$31),"")</f>
        <v>219124.6</v>
      </c>
      <c r="BM31">
        <f ca="1">IFERROR(IF(0=LEN(ReferenceData!$BM$31),"",ReferenceData!$BM$31),"")</f>
        <v>226052.4</v>
      </c>
      <c r="BN31">
        <f ca="1">IFERROR(IF(0=LEN(ReferenceData!$BN$31),"",ReferenceData!$BN$31),"")</f>
        <v>220068.2</v>
      </c>
      <c r="BO31">
        <f ca="1">IFERROR(IF(0=LEN(ReferenceData!$BO$31),"",ReferenceData!$BO$31),"")</f>
        <v>231188.3</v>
      </c>
      <c r="BP31">
        <f ca="1">IFERROR(IF(0=LEN(ReferenceData!$BP$31),"",ReferenceData!$BP$31),"")</f>
        <v>217407.35</v>
      </c>
      <c r="BQ31">
        <f ca="1">IFERROR(IF(0=LEN(ReferenceData!$BQ$31),"",ReferenceData!$BQ$31),"")</f>
        <v>215496</v>
      </c>
      <c r="BR31">
        <f ca="1">IFERROR(IF(0=LEN(ReferenceData!$BR$31),"",ReferenceData!$BR$31),"")</f>
        <v>204766.6</v>
      </c>
      <c r="BS31">
        <f ca="1">IFERROR(IF(0=LEN(ReferenceData!$BS$31),"",ReferenceData!$BS$31),"")</f>
        <v>204017.05</v>
      </c>
      <c r="BT31">
        <f ca="1">IFERROR(IF(0=LEN(ReferenceData!$BT$31),"",ReferenceData!$BT$31),"")</f>
        <v>193340.9</v>
      </c>
      <c r="BU31">
        <f ca="1">IFERROR(IF(0=LEN(ReferenceData!$BU$31),"",ReferenceData!$BU$31),"")</f>
        <v>188174.7</v>
      </c>
      <c r="BV31">
        <f ca="1">IFERROR(IF(0=LEN(ReferenceData!$BV$31),"",ReferenceData!$BV$31),"")</f>
        <v>205840.25</v>
      </c>
      <c r="BW31">
        <f ca="1">IFERROR(IF(0=LEN(ReferenceData!$BW$31),"",ReferenceData!$BW$31),"")</f>
        <v>206835.75</v>
      </c>
      <c r="BX31">
        <f ca="1">IFERROR(IF(0=LEN(ReferenceData!$BX$31),"",ReferenceData!$BX$31),"")</f>
        <v>186068.85</v>
      </c>
      <c r="BY31">
        <f ca="1">IFERROR(IF(0=LEN(ReferenceData!$BY$31),"",ReferenceData!$BY$31),"")</f>
        <v>209913.55</v>
      </c>
      <c r="BZ31">
        <f ca="1">IFERROR(IF(0=LEN(ReferenceData!$BZ$31),"",ReferenceData!$BZ$31),"")</f>
        <v>211470.15</v>
      </c>
      <c r="CA31">
        <f ca="1">IFERROR(IF(0=LEN(ReferenceData!$CA$31),"",ReferenceData!$CA$31),"")</f>
        <v>212655.1</v>
      </c>
      <c r="CB31">
        <f ca="1">IFERROR(IF(0=LEN(ReferenceData!$CB$31),"",ReferenceData!$CB$31),"")</f>
        <v>209889.5</v>
      </c>
      <c r="CC31">
        <f ca="1">IFERROR(IF(0=LEN(ReferenceData!$CC$31),"",ReferenceData!$CC$31),"")</f>
        <v>204255.1</v>
      </c>
      <c r="CD31">
        <f ca="1">IFERROR(IF(0=LEN(ReferenceData!$CD$31),"",ReferenceData!$CD$31),"")</f>
        <v>210959.95</v>
      </c>
      <c r="CE31">
        <f ca="1">IFERROR(IF(0=LEN(ReferenceData!$CE$31),"",ReferenceData!$CE$31),"")</f>
        <v>197500.75</v>
      </c>
      <c r="CF31">
        <f ca="1">IFERROR(IF(0=LEN(ReferenceData!$CF$31),"",ReferenceData!$CF$31),"")</f>
        <v>199076.55</v>
      </c>
      <c r="CG31">
        <f ca="1">IFERROR(IF(0=LEN(ReferenceData!$CG$31),"",ReferenceData!$CG$31),"")</f>
        <v>174901.7</v>
      </c>
      <c r="CH31">
        <f ca="1">IFERROR(IF(0=LEN(ReferenceData!$CH$31),"",ReferenceData!$CH$31),"")</f>
        <v>197309.6</v>
      </c>
      <c r="CI31">
        <f ca="1">IFERROR(IF(0=LEN(ReferenceData!$CI$31),"",ReferenceData!$CI$31),"")</f>
        <v>199155</v>
      </c>
      <c r="CJ31">
        <f ca="1">IFERROR(IF(0=LEN(ReferenceData!$CJ$31),"",ReferenceData!$CJ$31),"")</f>
        <v>196980</v>
      </c>
      <c r="CK31">
        <f ca="1">IFERROR(IF(0=LEN(ReferenceData!$CK$31),"",ReferenceData!$CK$31),"")</f>
        <v>206169</v>
      </c>
    </row>
    <row r="32" spans="1:89" x14ac:dyDescent="0.25">
      <c r="A32" t="str">
        <f>IFERROR(IF(0=LEN(ReferenceData!$A$32),"",ReferenceData!$A$32),"")</f>
        <v xml:space="preserve">    Port of Virginia (TEU)</v>
      </c>
      <c r="B32" t="str">
        <f>IFERROR(IF(0=LEN(ReferenceData!$B$32),"",ReferenceData!$B$32),"")</f>
        <v>POVATOTL Index</v>
      </c>
      <c r="C32" t="str">
        <f>IFERROR(IF(0=LEN(ReferenceData!$C$32),"",ReferenceData!$C$32),"")</f>
        <v>PX385</v>
      </c>
      <c r="D32" t="str">
        <f>IFERROR(IF(0=LEN(ReferenceData!$D$32),"",ReferenceData!$D$32),"")</f>
        <v>INTERVAL_SUM</v>
      </c>
      <c r="E32" t="str">
        <f>IFERROR(IF(0=LEN(ReferenceData!$E$32),"",ReferenceData!$E$32),"")</f>
        <v>Dynamic</v>
      </c>
      <c r="F32" t="str">
        <f ca="1">IFERROR(IF(0=LEN(ReferenceData!$F$32),"",ReferenceData!$F$32),"")</f>
        <v/>
      </c>
      <c r="G32">
        <f ca="1">IFERROR(IF(0=LEN(ReferenceData!$G$32),"",ReferenceData!$G$32),"")</f>
        <v>287232.25</v>
      </c>
      <c r="H32">
        <f ca="1">IFERROR(IF(0=LEN(ReferenceData!$H$32),"",ReferenceData!$H$32),"")</f>
        <v>298202.25</v>
      </c>
      <c r="I32">
        <f ca="1">IFERROR(IF(0=LEN(ReferenceData!$I$32),"",ReferenceData!$I$32),"")</f>
        <v>263997.5</v>
      </c>
      <c r="J32">
        <f ca="1">IFERROR(IF(0=LEN(ReferenceData!$J$32),"",ReferenceData!$J$32),"")</f>
        <v>265874.5</v>
      </c>
      <c r="K32">
        <f ca="1">IFERROR(IF(0=LEN(ReferenceData!$K$32),"",ReferenceData!$K$32),"")</f>
        <v>256414.25</v>
      </c>
      <c r="L32">
        <f ca="1">IFERROR(IF(0=LEN(ReferenceData!$L$32),"",ReferenceData!$L$32),"")</f>
        <v>248814.5</v>
      </c>
      <c r="M32">
        <f ca="1">IFERROR(IF(0=LEN(ReferenceData!$M$32),"",ReferenceData!$M$32),"")</f>
        <v>256966.75</v>
      </c>
      <c r="N32">
        <f ca="1">IFERROR(IF(0=LEN(ReferenceData!$N$32),"",ReferenceData!$N$32),"")</f>
        <v>288379.5</v>
      </c>
      <c r="O32">
        <f ca="1">IFERROR(IF(0=LEN(ReferenceData!$O$32),"",ReferenceData!$O$32),"")</f>
        <v>273964.75</v>
      </c>
      <c r="P32">
        <f ca="1">IFERROR(IF(0=LEN(ReferenceData!$P$32),"",ReferenceData!$P$32),"")</f>
        <v>285943.25</v>
      </c>
      <c r="Q32">
        <f ca="1">IFERROR(IF(0=LEN(ReferenceData!$Q$32),"",ReferenceData!$Q$32),"")</f>
        <v>318452.25</v>
      </c>
      <c r="R32">
        <f ca="1">IFERROR(IF(0=LEN(ReferenceData!$R$32),"",ReferenceData!$R$32),"")</f>
        <v>312230.25</v>
      </c>
      <c r="S32">
        <f ca="1">IFERROR(IF(0=LEN(ReferenceData!$S$32),"",ReferenceData!$S$32),"")</f>
        <v>340925.5</v>
      </c>
      <c r="T32">
        <f ca="1">IFERROR(IF(0=LEN(ReferenceData!$T$32),"",ReferenceData!$T$32),"")</f>
        <v>317690.5</v>
      </c>
      <c r="U32">
        <f ca="1">IFERROR(IF(0=LEN(ReferenceData!$U$32),"",ReferenceData!$U$32),"")</f>
        <v>316249.5</v>
      </c>
      <c r="V32">
        <f ca="1">IFERROR(IF(0=LEN(ReferenceData!$V$32),"",ReferenceData!$V$32),"")</f>
        <v>341611</v>
      </c>
      <c r="W32">
        <f ca="1">IFERROR(IF(0=LEN(ReferenceData!$W$32),"",ReferenceData!$W$32),"")</f>
        <v>323244</v>
      </c>
      <c r="X32">
        <f ca="1">IFERROR(IF(0=LEN(ReferenceData!$X$32),"",ReferenceData!$X$32),"")</f>
        <v>314698</v>
      </c>
      <c r="Y32">
        <f ca="1">IFERROR(IF(0=LEN(ReferenceData!$Y$32),"",ReferenceData!$Y$32),"")</f>
        <v>296201</v>
      </c>
      <c r="Z32">
        <f ca="1">IFERROR(IF(0=LEN(ReferenceData!$Z$32),"",ReferenceData!$Z$32),"")</f>
        <v>262019.75</v>
      </c>
      <c r="AA32">
        <f ca="1">IFERROR(IF(0=LEN(ReferenceData!$AA$32),"",ReferenceData!$AA$32),"")</f>
        <v>325527</v>
      </c>
      <c r="AB32">
        <f ca="1">IFERROR(IF(0=LEN(ReferenceData!$AB$32),"",ReferenceData!$AB$32),"")</f>
        <v>290759</v>
      </c>
      <c r="AC32">
        <f ca="1">IFERROR(IF(0=LEN(ReferenceData!$AC$32),"",ReferenceData!$AC$32),"")</f>
        <v>318481.5</v>
      </c>
      <c r="AD32">
        <f ca="1">IFERROR(IF(0=LEN(ReferenceData!$AD$32),"",ReferenceData!$AD$32),"")</f>
        <v>306215.75</v>
      </c>
      <c r="AE32">
        <f ca="1">IFERROR(IF(0=LEN(ReferenceData!$AE$32),"",ReferenceData!$AE$32),"")</f>
        <v>307023.25</v>
      </c>
      <c r="AF32">
        <f ca="1">IFERROR(IF(0=LEN(ReferenceData!$AF$32),"",ReferenceData!$AF$32),"")</f>
        <v>293126.25</v>
      </c>
      <c r="AG32">
        <f ca="1">IFERROR(IF(0=LEN(ReferenceData!$AG$32),"",ReferenceData!$AG$32),"")</f>
        <v>281346</v>
      </c>
      <c r="AH32">
        <f ca="1">IFERROR(IF(0=LEN(ReferenceData!$AH$32),"",ReferenceData!$AH$32),"")</f>
        <v>314941.5</v>
      </c>
      <c r="AI32">
        <f ca="1">IFERROR(IF(0=LEN(ReferenceData!$AI$32),"",ReferenceData!$AI$32),"")</f>
        <v>286405.25</v>
      </c>
      <c r="AJ32">
        <f ca="1">IFERROR(IF(0=LEN(ReferenceData!$AJ$32),"",ReferenceData!$AJ$32),"")</f>
        <v>279514</v>
      </c>
      <c r="AK32">
        <f ca="1">IFERROR(IF(0=LEN(ReferenceData!$AK$32),"",ReferenceData!$AK$32),"")</f>
        <v>248525.5</v>
      </c>
      <c r="AL32">
        <f ca="1">IFERROR(IF(0=LEN(ReferenceData!$AL$32),"",ReferenceData!$AL$32),"")</f>
        <v>270968.75</v>
      </c>
      <c r="AM32">
        <f ca="1">IFERROR(IF(0=LEN(ReferenceData!$AM$32),"",ReferenceData!$AM$32),"")</f>
        <v>260401</v>
      </c>
      <c r="AN32">
        <f ca="1">IFERROR(IF(0=LEN(ReferenceData!$AN$32),"",ReferenceData!$AN$32),"")</f>
        <v>279868.25</v>
      </c>
      <c r="AO32">
        <f ca="1">IFERROR(IF(0=LEN(ReferenceData!$AO$32),"",ReferenceData!$AO$32),"")</f>
        <v>274215</v>
      </c>
      <c r="AP32">
        <f ca="1">IFERROR(IF(0=LEN(ReferenceData!$AP$32),"",ReferenceData!$AP$32),"")</f>
        <v>256438.5</v>
      </c>
      <c r="AQ32">
        <f ca="1">IFERROR(IF(0=LEN(ReferenceData!$AQ$32),"",ReferenceData!$AQ$32),"")</f>
        <v>247348.5</v>
      </c>
      <c r="AR32">
        <f ca="1">IFERROR(IF(0=LEN(ReferenceData!$AR$32),"",ReferenceData!$AR$32),"")</f>
        <v>221028</v>
      </c>
      <c r="AS32">
        <f ca="1">IFERROR(IF(0=LEN(ReferenceData!$AS$32),"",ReferenceData!$AS$32),"")</f>
        <v>210669.25</v>
      </c>
      <c r="AT32">
        <f ca="1">IFERROR(IF(0=LEN(ReferenceData!$AT$32),"",ReferenceData!$AT$32),"")</f>
        <v>201837.25</v>
      </c>
      <c r="AU32">
        <f ca="1">IFERROR(IF(0=LEN(ReferenceData!$AU$32),"",ReferenceData!$AU$32),"")</f>
        <v>207244.25</v>
      </c>
      <c r="AV32">
        <f ca="1">IFERROR(IF(0=LEN(ReferenceData!$AV$32),"",ReferenceData!$AV$32),"")</f>
        <v>219315.25</v>
      </c>
      <c r="AW32">
        <f ca="1">IFERROR(IF(0=LEN(ReferenceData!$AW$32),"",ReferenceData!$AW$32),"")</f>
        <v>207815.75</v>
      </c>
      <c r="AX32">
        <f ca="1">IFERROR(IF(0=LEN(ReferenceData!$AX$32),"",ReferenceData!$AX$32),"")</f>
        <v>227233.5</v>
      </c>
      <c r="AY32">
        <f ca="1">IFERROR(IF(0=LEN(ReferenceData!$AY$32),"",ReferenceData!$AY$32),"")</f>
        <v>224901.75</v>
      </c>
      <c r="AZ32">
        <f ca="1">IFERROR(IF(0=LEN(ReferenceData!$AZ$32),"",ReferenceData!$AZ$32),"")</f>
        <v>226981.5</v>
      </c>
      <c r="BA32">
        <f ca="1">IFERROR(IF(0=LEN(ReferenceData!$BA$32),"",ReferenceData!$BA$32),"")</f>
        <v>266976</v>
      </c>
      <c r="BB32">
        <f ca="1">IFERROR(IF(0=LEN(ReferenceData!$BB$32),"",ReferenceData!$BB$32),"")</f>
        <v>241415.5</v>
      </c>
      <c r="BC32">
        <f ca="1">IFERROR(IF(0=LEN(ReferenceData!$BC$32),"",ReferenceData!$BC$32),"")</f>
        <v>257675.25</v>
      </c>
      <c r="BD32">
        <f ca="1">IFERROR(IF(0=LEN(ReferenceData!$BD$32),"",ReferenceData!$BD$32),"")</f>
        <v>265559.25</v>
      </c>
      <c r="BE32">
        <f ca="1">IFERROR(IF(0=LEN(ReferenceData!$BE$32),"",ReferenceData!$BE$32),"")</f>
        <v>239329</v>
      </c>
      <c r="BF32">
        <f ca="1">IFERROR(IF(0=LEN(ReferenceData!$BF$32),"",ReferenceData!$BF$32),"")</f>
        <v>260893.5</v>
      </c>
      <c r="BG32">
        <f ca="1">IFERROR(IF(0=LEN(ReferenceData!$BG$32),"",ReferenceData!$BG$32),"")</f>
        <v>245933.25</v>
      </c>
      <c r="BH32">
        <f ca="1">IFERROR(IF(0=LEN(ReferenceData!$BH$32),"",ReferenceData!$BH$32),"")</f>
        <v>240035.25</v>
      </c>
      <c r="BI32">
        <f ca="1">IFERROR(IF(0=LEN(ReferenceData!$BI$32),"",ReferenceData!$BI$32),"")</f>
        <v>228151.25</v>
      </c>
      <c r="BJ32">
        <f ca="1">IFERROR(IF(0=LEN(ReferenceData!$BJ$32),"",ReferenceData!$BJ$32),"")</f>
        <v>240110.5</v>
      </c>
      <c r="BK32">
        <f ca="1">IFERROR(IF(0=LEN(ReferenceData!$BK$32),"",ReferenceData!$BK$32),"")</f>
        <v>241120.5</v>
      </c>
      <c r="BL32">
        <f ca="1">IFERROR(IF(0=LEN(ReferenceData!$BL$32),"",ReferenceData!$BL$32),"")</f>
        <v>239890</v>
      </c>
      <c r="BM32">
        <f ca="1">IFERROR(IF(0=LEN(ReferenceData!$BM$32),"",ReferenceData!$BM$32),"")</f>
        <v>270538</v>
      </c>
      <c r="BN32">
        <f ca="1">IFERROR(IF(0=LEN(ReferenceData!$BN$32),"",ReferenceData!$BN$32),"")</f>
        <v>221354.75</v>
      </c>
      <c r="BO32">
        <f ca="1">IFERROR(IF(0=LEN(ReferenceData!$BO$32),"",ReferenceData!$BO$32),"")</f>
        <v>258820.5</v>
      </c>
      <c r="BP32">
        <f ca="1">IFERROR(IF(0=LEN(ReferenceData!$BP$32),"",ReferenceData!$BP$32),"")</f>
        <v>252679</v>
      </c>
      <c r="BQ32">
        <f ca="1">IFERROR(IF(0=LEN(ReferenceData!$BQ$32),"",ReferenceData!$BQ$32),"")</f>
        <v>223839.5</v>
      </c>
      <c r="BR32">
        <f ca="1">IFERROR(IF(0=LEN(ReferenceData!$BR$32),"",ReferenceData!$BR$32),"")</f>
        <v>236890.5</v>
      </c>
      <c r="BS32">
        <f ca="1">IFERROR(IF(0=LEN(ReferenceData!$BS$32),"",ReferenceData!$BS$32),"")</f>
        <v>219281</v>
      </c>
      <c r="BT32">
        <f ca="1">IFERROR(IF(0=LEN(ReferenceData!$BT$32),"",ReferenceData!$BT$32),"")</f>
        <v>252230.25</v>
      </c>
      <c r="BU32">
        <f ca="1">IFERROR(IF(0=LEN(ReferenceData!$BU$32),"",ReferenceData!$BU$32),"")</f>
        <v>218726.5</v>
      </c>
      <c r="BV32">
        <f ca="1">IFERROR(IF(0=LEN(ReferenceData!$BV$32),"",ReferenceData!$BV$32),"")</f>
        <v>220533.75</v>
      </c>
      <c r="BW32">
        <f ca="1">IFERROR(IF(0=LEN(ReferenceData!$BW$32),"",ReferenceData!$BW$32),"")</f>
        <v>237524.5</v>
      </c>
      <c r="BX32">
        <f ca="1">IFERROR(IF(0=LEN(ReferenceData!$BX$32),"",ReferenceData!$BX$32),"")</f>
        <v>240570</v>
      </c>
      <c r="BY32">
        <f ca="1">IFERROR(IF(0=LEN(ReferenceData!$BY$32),"",ReferenceData!$BY$32),"")</f>
        <v>265489.75</v>
      </c>
      <c r="BZ32">
        <f ca="1">IFERROR(IF(0=LEN(ReferenceData!$BZ$32),"",ReferenceData!$BZ$32),"")</f>
        <v>237815.5</v>
      </c>
      <c r="CA32">
        <f ca="1">IFERROR(IF(0=LEN(ReferenceData!$CA$32),"",ReferenceData!$CA$32),"")</f>
        <v>240604.5</v>
      </c>
      <c r="CB32">
        <f ca="1">IFERROR(IF(0=LEN(ReferenceData!$CB$32),"",ReferenceData!$CB$32),"")</f>
        <v>234230</v>
      </c>
      <c r="CC32">
        <f ca="1">IFERROR(IF(0=LEN(ReferenceData!$CC$32),"",ReferenceData!$CC$32),"")</f>
        <v>231674.75</v>
      </c>
      <c r="CD32">
        <f ca="1">IFERROR(IF(0=LEN(ReferenceData!$CD$32),"",ReferenceData!$CD$32),"")</f>
        <v>246871.25</v>
      </c>
      <c r="CE32">
        <f ca="1">IFERROR(IF(0=LEN(ReferenceData!$CE$32),"",ReferenceData!$CE$32),"")</f>
        <v>225196.25</v>
      </c>
      <c r="CF32">
        <f ca="1">IFERROR(IF(0=LEN(ReferenceData!$CF$32),"",ReferenceData!$CF$32),"")</f>
        <v>232148.25</v>
      </c>
      <c r="CG32">
        <f ca="1">IFERROR(IF(0=LEN(ReferenceData!$CG$32),"",ReferenceData!$CG$32),"")</f>
        <v>220375.5</v>
      </c>
      <c r="CH32">
        <f ca="1">IFERROR(IF(0=LEN(ReferenceData!$CH$32),"",ReferenceData!$CH$32),"")</f>
        <v>228516</v>
      </c>
      <c r="CI32">
        <f ca="1">IFERROR(IF(0=LEN(ReferenceData!$CI$32),"",ReferenceData!$CI$32),"")</f>
        <v>229624.25</v>
      </c>
      <c r="CJ32">
        <f ca="1">IFERROR(IF(0=LEN(ReferenceData!$CJ$32),"",ReferenceData!$CJ$32),"")</f>
        <v>236155.25</v>
      </c>
      <c r="CK32">
        <f ca="1">IFERROR(IF(0=LEN(ReferenceData!$CK$32),"",ReferenceData!$CK$32),"")</f>
        <v>238567.25</v>
      </c>
    </row>
    <row r="33" spans="1:89" x14ac:dyDescent="0.25">
      <c r="A33" t="str">
        <f>IFERROR(IF(0=LEN(ReferenceData!$A$33),"",ReferenceData!$A$33),"")</f>
        <v xml:space="preserve">    Port of Houston (TEU)</v>
      </c>
      <c r="B33" t="str">
        <f>IFERROR(IF(0=LEN(ReferenceData!$B$33),"",ReferenceData!$B$33),"")</f>
        <v>TEUHTOTL Index</v>
      </c>
      <c r="C33" t="str">
        <f>IFERROR(IF(0=LEN(ReferenceData!$C$33),"",ReferenceData!$C$33),"")</f>
        <v>PX385</v>
      </c>
      <c r="D33" t="str">
        <f>IFERROR(IF(0=LEN(ReferenceData!$D$33),"",ReferenceData!$D$33),"")</f>
        <v>INTERVAL_SUM</v>
      </c>
      <c r="E33" t="str">
        <f>IFERROR(IF(0=LEN(ReferenceData!$E$33),"",ReferenceData!$E$33),"")</f>
        <v>Dynamic</v>
      </c>
      <c r="F33">
        <f ca="1">IFERROR(IF(0=LEN(ReferenceData!$F$33),"",ReferenceData!$F$33),"")</f>
        <v>325588</v>
      </c>
      <c r="G33">
        <f ca="1">IFERROR(IF(0=LEN(ReferenceData!$G$33),"",ReferenceData!$G$33),"")</f>
        <v>307624</v>
      </c>
      <c r="H33">
        <f ca="1">IFERROR(IF(0=LEN(ReferenceData!$H$33),"",ReferenceData!$H$33),"")</f>
        <v>344163</v>
      </c>
      <c r="I33">
        <f ca="1">IFERROR(IF(0=LEN(ReferenceData!$I$33),"",ReferenceData!$I$33),"")</f>
        <v>315983</v>
      </c>
      <c r="J33">
        <f ca="1">IFERROR(IF(0=LEN(ReferenceData!$J$33),"",ReferenceData!$J$33),"")</f>
        <v>300482</v>
      </c>
      <c r="K33">
        <f ca="1">IFERROR(IF(0=LEN(ReferenceData!$K$33),"",ReferenceData!$K$33),"")</f>
        <v>307879</v>
      </c>
      <c r="L33">
        <f ca="1">IFERROR(IF(0=LEN(ReferenceData!$L$33),"",ReferenceData!$L$33),"")</f>
        <v>300589</v>
      </c>
      <c r="M33">
        <f ca="1">IFERROR(IF(0=LEN(ReferenceData!$M$33),"",ReferenceData!$M$33),"")</f>
        <v>313452</v>
      </c>
      <c r="N33">
        <f ca="1">IFERROR(IF(0=LEN(ReferenceData!$N$33),"",ReferenceData!$N$33),"")</f>
        <v>319990</v>
      </c>
      <c r="O33">
        <f ca="1">IFERROR(IF(0=LEN(ReferenceData!$O$33),"",ReferenceData!$O$33),"")</f>
        <v>292027</v>
      </c>
      <c r="P33">
        <f ca="1">IFERROR(IF(0=LEN(ReferenceData!$P$33),"",ReferenceData!$P$33),"")</f>
        <v>348950</v>
      </c>
      <c r="Q33">
        <f ca="1">IFERROR(IF(0=LEN(ReferenceData!$Q$33),"",ReferenceData!$Q$33),"")</f>
        <v>371994</v>
      </c>
      <c r="R33">
        <f ca="1">IFERROR(IF(0=LEN(ReferenceData!$R$33),"",ReferenceData!$R$33),"")</f>
        <v>353524</v>
      </c>
      <c r="S33">
        <f ca="1">IFERROR(IF(0=LEN(ReferenceData!$S$33),"",ReferenceData!$S$33),"")</f>
        <v>382842</v>
      </c>
      <c r="T33">
        <f ca="1">IFERROR(IF(0=LEN(ReferenceData!$T$33),"",ReferenceData!$T$33),"")</f>
        <v>328498</v>
      </c>
      <c r="U33">
        <f ca="1">IFERROR(IF(0=LEN(ReferenceData!$U$33),"",ReferenceData!$U$33),"")</f>
        <v>323823</v>
      </c>
      <c r="V33">
        <f ca="1">IFERROR(IF(0=LEN(ReferenceData!$V$33),"",ReferenceData!$V$33),"")</f>
        <v>335366</v>
      </c>
      <c r="W33">
        <f ca="1">IFERROR(IF(0=LEN(ReferenceData!$W$33),"",ReferenceData!$W$33),"")</f>
        <v>334493</v>
      </c>
      <c r="X33">
        <f ca="1">IFERROR(IF(0=LEN(ReferenceData!$X$33),"",ReferenceData!$X$33),"")</f>
        <v>308557</v>
      </c>
      <c r="Y33">
        <f ca="1">IFERROR(IF(0=LEN(ReferenceData!$Y$33),"",ReferenceData!$Y$33),"")</f>
        <v>271399</v>
      </c>
      <c r="Z33">
        <f ca="1">IFERROR(IF(0=LEN(ReferenceData!$Z$33),"",ReferenceData!$Z$33),"")</f>
        <v>323427</v>
      </c>
      <c r="AA33">
        <f ca="1">IFERROR(IF(0=LEN(ReferenceData!$AA$33),"",ReferenceData!$AA$33),"")</f>
        <v>303204</v>
      </c>
      <c r="AB33">
        <f ca="1">IFERROR(IF(0=LEN(ReferenceData!$AB$33),"",ReferenceData!$AB$33),"")</f>
        <v>314576</v>
      </c>
      <c r="AC33">
        <f ca="1">IFERROR(IF(0=LEN(ReferenceData!$AC$33),"",ReferenceData!$AC$33),"")</f>
        <v>328486</v>
      </c>
      <c r="AD33">
        <f ca="1">IFERROR(IF(0=LEN(ReferenceData!$AD$33),"",ReferenceData!$AD$33),"")</f>
        <v>281500</v>
      </c>
      <c r="AE33">
        <f ca="1">IFERROR(IF(0=LEN(ReferenceData!$AE$33),"",ReferenceData!$AE$33),"")</f>
        <v>320086</v>
      </c>
      <c r="AF33">
        <f ca="1">IFERROR(IF(0=LEN(ReferenceData!$AF$33),"",ReferenceData!$AF$33),"")</f>
        <v>297621</v>
      </c>
      <c r="AG33">
        <f ca="1">IFERROR(IF(0=LEN(ReferenceData!$AG$33),"",ReferenceData!$AG$33),"")</f>
        <v>292587</v>
      </c>
      <c r="AH33">
        <f ca="1">IFERROR(IF(0=LEN(ReferenceData!$AH$33),"",ReferenceData!$AH$33),"")</f>
        <v>288127</v>
      </c>
      <c r="AI33">
        <f ca="1">IFERROR(IF(0=LEN(ReferenceData!$AI$33),"",ReferenceData!$AI$33),"")</f>
        <v>275840</v>
      </c>
      <c r="AJ33">
        <f ca="1">IFERROR(IF(0=LEN(ReferenceData!$AJ$33),"",ReferenceData!$AJ$33),"")</f>
        <v>297397</v>
      </c>
      <c r="AK33">
        <f ca="1">IFERROR(IF(0=LEN(ReferenceData!$AK$33),"",ReferenceData!$AK$33),"")</f>
        <v>198763</v>
      </c>
      <c r="AL33">
        <f ca="1">IFERROR(IF(0=LEN(ReferenceData!$AL$33),"",ReferenceData!$AL$33),"")</f>
        <v>255039</v>
      </c>
      <c r="AM33">
        <f ca="1">IFERROR(IF(0=LEN(ReferenceData!$AM$33),"",ReferenceData!$AM$33),"")</f>
        <v>264626</v>
      </c>
      <c r="AN33">
        <f ca="1">IFERROR(IF(0=LEN(ReferenceData!$AN$33),"",ReferenceData!$AN$33),"")</f>
        <v>262930</v>
      </c>
      <c r="AO33">
        <f ca="1">IFERROR(IF(0=LEN(ReferenceData!$AO$33),"",ReferenceData!$AO$33),"")</f>
        <v>296210</v>
      </c>
      <c r="AP33">
        <f ca="1">IFERROR(IF(0=LEN(ReferenceData!$AP$33),"",ReferenceData!$AP$33),"")</f>
        <v>254405</v>
      </c>
      <c r="AQ33">
        <f ca="1">IFERROR(IF(0=LEN(ReferenceData!$AQ$33),"",ReferenceData!$AQ$33),"")</f>
        <v>248630</v>
      </c>
      <c r="AR33">
        <f ca="1">IFERROR(IF(0=LEN(ReferenceData!$AR$33),"",ReferenceData!$AR$33),"")</f>
        <v>234737</v>
      </c>
      <c r="AS33">
        <f ca="1">IFERROR(IF(0=LEN(ReferenceData!$AS$33),"",ReferenceData!$AS$33),"")</f>
        <v>210932</v>
      </c>
      <c r="AT33">
        <f ca="1">IFERROR(IF(0=LEN(ReferenceData!$AT$33),"",ReferenceData!$AT$33),"")</f>
        <v>222250</v>
      </c>
      <c r="AU33">
        <f ca="1">IFERROR(IF(0=LEN(ReferenceData!$AU$33),"",ReferenceData!$AU$33),"")</f>
        <v>221540</v>
      </c>
      <c r="AV33">
        <f ca="1">IFERROR(IF(0=LEN(ReferenceData!$AV$33),"",ReferenceData!$AV$33),"")</f>
        <v>248840</v>
      </c>
      <c r="AW33">
        <f ca="1">IFERROR(IF(0=LEN(ReferenceData!$AW$33),"",ReferenceData!$AW$33),"")</f>
        <v>255474</v>
      </c>
      <c r="AX33">
        <f ca="1">IFERROR(IF(0=LEN(ReferenceData!$AX$33),"",ReferenceData!$AX$33),"")</f>
        <v>268773</v>
      </c>
      <c r="AY33">
        <f ca="1">IFERROR(IF(0=LEN(ReferenceData!$AY$33),"",ReferenceData!$AY$33),"")</f>
        <v>250946</v>
      </c>
      <c r="AZ33">
        <f ca="1">IFERROR(IF(0=LEN(ReferenceData!$AZ$33),"",ReferenceData!$AZ$33),"")</f>
        <v>245738</v>
      </c>
      <c r="BA33">
        <f ca="1">IFERROR(IF(0=LEN(ReferenceData!$BA$33),"",ReferenceData!$BA$33),"")</f>
        <v>258571</v>
      </c>
      <c r="BB33">
        <f ca="1">IFERROR(IF(0=LEN(ReferenceData!$BB$33),"",ReferenceData!$BB$33),"")</f>
        <v>251524</v>
      </c>
      <c r="BC33">
        <f ca="1">IFERROR(IF(0=LEN(ReferenceData!$BC$33),"",ReferenceData!$BC$33),"")</f>
        <v>259110</v>
      </c>
      <c r="BD33">
        <f ca="1">IFERROR(IF(0=LEN(ReferenceData!$BD$33),"",ReferenceData!$BD$33),"")</f>
        <v>259993</v>
      </c>
      <c r="BE33">
        <f ca="1">IFERROR(IF(0=LEN(ReferenceData!$BE$33),"",ReferenceData!$BE$33),"")</f>
        <v>251488</v>
      </c>
      <c r="BF33">
        <f ca="1">IFERROR(IF(0=LEN(ReferenceData!$BF$33),"",ReferenceData!$BF$33),"")</f>
        <v>263061</v>
      </c>
      <c r="BG33">
        <f ca="1">IFERROR(IF(0=LEN(ReferenceData!$BG$33),"",ReferenceData!$BG$33),"")</f>
        <v>252693</v>
      </c>
      <c r="BH33">
        <f ca="1">IFERROR(IF(0=LEN(ReferenceData!$BH$33),"",ReferenceData!$BH$33),"")</f>
        <v>280721</v>
      </c>
      <c r="BI33">
        <f ca="1">IFERROR(IF(0=LEN(ReferenceData!$BI$33),"",ReferenceData!$BI$33),"")</f>
        <v>198494</v>
      </c>
      <c r="BJ33">
        <f ca="1">IFERROR(IF(0=LEN(ReferenceData!$BJ$33),"",ReferenceData!$BJ$33),"")</f>
        <v>214952</v>
      </c>
      <c r="BK33">
        <f ca="1">IFERROR(IF(0=LEN(ReferenceData!$BK$33),"",ReferenceData!$BK$33),"")</f>
        <v>221358</v>
      </c>
      <c r="BL33">
        <f ca="1">IFERROR(IF(0=LEN(ReferenceData!$BL$33),"",ReferenceData!$BL$33),"")</f>
        <v>226343</v>
      </c>
      <c r="BM33">
        <f ca="1">IFERROR(IF(0=LEN(ReferenceData!$BM$33),"",ReferenceData!$BM$33),"")</f>
        <v>240982</v>
      </c>
      <c r="BN33">
        <f ca="1">IFERROR(IF(0=LEN(ReferenceData!$BN$33),"",ReferenceData!$BN$33),"")</f>
        <v>230331</v>
      </c>
      <c r="BO33">
        <f ca="1">IFERROR(IF(0=LEN(ReferenceData!$BO$33),"",ReferenceData!$BO$33),"")</f>
        <v>238644</v>
      </c>
      <c r="BP33">
        <f ca="1">IFERROR(IF(0=LEN(ReferenceData!$BP$33),"",ReferenceData!$BP$33),"")</f>
        <v>236032</v>
      </c>
      <c r="BQ33">
        <f ca="1">IFERROR(IF(0=LEN(ReferenceData!$BQ$33),"",ReferenceData!$BQ$33),"")</f>
        <v>223890</v>
      </c>
      <c r="BR33">
        <f ca="1">IFERROR(IF(0=LEN(ReferenceData!$BR$33),"",ReferenceData!$BR$33),"")</f>
        <v>245996</v>
      </c>
      <c r="BS33">
        <f ca="1">IFERROR(IF(0=LEN(ReferenceData!$BS$33),"",ReferenceData!$BS$33),"")</f>
        <v>218799</v>
      </c>
      <c r="BT33">
        <f ca="1">IFERROR(IF(0=LEN(ReferenceData!$BT$33),"",ReferenceData!$BT$33),"")</f>
        <v>229158</v>
      </c>
      <c r="BU33">
        <f ca="1">IFERROR(IF(0=LEN(ReferenceData!$BU$33),"",ReferenceData!$BU$33),"")</f>
        <v>198621</v>
      </c>
      <c r="BV33">
        <f ca="1">IFERROR(IF(0=LEN(ReferenceData!$BV$33),"",ReferenceData!$BV$33),"")</f>
        <v>189696</v>
      </c>
      <c r="BW33">
        <f ca="1">IFERROR(IF(0=LEN(ReferenceData!$BW$33),"",ReferenceData!$BW$33),"")</f>
        <v>208257</v>
      </c>
      <c r="BX33">
        <f ca="1">IFERROR(IF(0=LEN(ReferenceData!$BX$33),"",ReferenceData!$BX$33),"")</f>
        <v>195875</v>
      </c>
      <c r="BY33">
        <f ca="1">IFERROR(IF(0=LEN(ReferenceData!$BY$33),"",ReferenceData!$BY$33),"")</f>
        <v>223127</v>
      </c>
      <c r="BZ33">
        <f ca="1">IFERROR(IF(0=LEN(ReferenceData!$BZ$33),"",ReferenceData!$BZ$33),"")</f>
        <v>226483</v>
      </c>
      <c r="CA33">
        <f ca="1">IFERROR(IF(0=LEN(ReferenceData!$CA$33),"",ReferenceData!$CA$33),"")</f>
        <v>166353</v>
      </c>
      <c r="CB33">
        <f ca="1">IFERROR(IF(0=LEN(ReferenceData!$CB$33),"",ReferenceData!$CB$33),"")</f>
        <v>203010</v>
      </c>
      <c r="CC33">
        <f ca="1">IFERROR(IF(0=LEN(ReferenceData!$CC$33),"",ReferenceData!$CC$33),"")</f>
        <v>212843</v>
      </c>
      <c r="CD33">
        <f ca="1">IFERROR(IF(0=LEN(ReferenceData!$CD$33),"",ReferenceData!$CD$33),"")</f>
        <v>213893</v>
      </c>
      <c r="CE33">
        <f ca="1">IFERROR(IF(0=LEN(ReferenceData!$CE$33),"",ReferenceData!$CE$33),"")</f>
        <v>201804</v>
      </c>
      <c r="CF33">
        <f ca="1">IFERROR(IF(0=LEN(ReferenceData!$CF$33),"",ReferenceData!$CF$33),"")</f>
        <v>221661</v>
      </c>
      <c r="CG33">
        <f ca="1">IFERROR(IF(0=LEN(ReferenceData!$CG$33),"",ReferenceData!$CG$33),"")</f>
        <v>188861</v>
      </c>
      <c r="CH33">
        <f ca="1">IFERROR(IF(0=LEN(ReferenceData!$CH$33),"",ReferenceData!$CH$33),"")</f>
        <v>196940</v>
      </c>
      <c r="CI33">
        <f ca="1">IFERROR(IF(0=LEN(ReferenceData!$CI$33),"",ReferenceData!$CI$33),"")</f>
        <v>173256</v>
      </c>
      <c r="CJ33">
        <f ca="1">IFERROR(IF(0=LEN(ReferenceData!$CJ$33),"",ReferenceData!$CJ$33),"")</f>
        <v>178693</v>
      </c>
      <c r="CK33">
        <f ca="1">IFERROR(IF(0=LEN(ReferenceData!$CK$33),"",ReferenceData!$CK$33),"")</f>
        <v>184255</v>
      </c>
    </row>
    <row r="34" spans="1:89" x14ac:dyDescent="0.25">
      <c r="A34" t="str">
        <f>IFERROR(IF(0=LEN(ReferenceData!$A$34),"",ReferenceData!$A$34),"")</f>
        <v xml:space="preserve">    Port of Charleston (TEU)</v>
      </c>
      <c r="B34" t="str">
        <f>IFERROR(IF(0=LEN(ReferenceData!$B$34),"",ReferenceData!$B$34),"")</f>
        <v>POCHTOTL Index</v>
      </c>
      <c r="C34" t="str">
        <f>IFERROR(IF(0=LEN(ReferenceData!$C$34),"",ReferenceData!$C$34),"")</f>
        <v>PX385</v>
      </c>
      <c r="D34" t="str">
        <f>IFERROR(IF(0=LEN(ReferenceData!$D$34),"",ReferenceData!$D$34),"")</f>
        <v>INTERVAL_SUM</v>
      </c>
      <c r="E34" t="str">
        <f>IFERROR(IF(0=LEN(ReferenceData!$E$34),"",ReferenceData!$E$34),"")</f>
        <v>Dynamic</v>
      </c>
      <c r="F34">
        <f ca="1">IFERROR(IF(0=LEN(ReferenceData!$F$34),"",ReferenceData!$F$34),"")</f>
        <v>199208</v>
      </c>
      <c r="G34">
        <f ca="1">IFERROR(IF(0=LEN(ReferenceData!$G$34),"",ReferenceData!$G$34),"")</f>
        <v>203169</v>
      </c>
      <c r="H34">
        <f ca="1">IFERROR(IF(0=LEN(ReferenceData!$H$34),"",ReferenceData!$H$34),"")</f>
        <v>208134</v>
      </c>
      <c r="I34">
        <f ca="1">IFERROR(IF(0=LEN(ReferenceData!$I$34),"",ReferenceData!$I$34),"")</f>
        <v>203091</v>
      </c>
      <c r="J34">
        <f ca="1">IFERROR(IF(0=LEN(ReferenceData!$J$34),"",ReferenceData!$J$34),"")</f>
        <v>198824</v>
      </c>
      <c r="K34">
        <f ca="1">IFERROR(IF(0=LEN(ReferenceData!$K$34),"",ReferenceData!$K$34),"")</f>
        <v>214101</v>
      </c>
      <c r="L34">
        <f ca="1">IFERROR(IF(0=LEN(ReferenceData!$L$34),"",ReferenceData!$L$34),"")</f>
        <v>193085</v>
      </c>
      <c r="M34">
        <f ca="1">IFERROR(IF(0=LEN(ReferenceData!$M$34),"",ReferenceData!$M$34),"")</f>
        <v>201418</v>
      </c>
      <c r="N34">
        <f ca="1">IFERROR(IF(0=LEN(ReferenceData!$N$34),"",ReferenceData!$N$34),"")</f>
        <v>215238</v>
      </c>
      <c r="O34">
        <f ca="1">IFERROR(IF(0=LEN(ReferenceData!$O$34),"",ReferenceData!$O$34),"")</f>
        <v>219351</v>
      </c>
      <c r="P34">
        <f ca="1">IFERROR(IF(0=LEN(ReferenceData!$P$34),"",ReferenceData!$P$34),"")</f>
        <v>213073</v>
      </c>
      <c r="Q34">
        <f ca="1">IFERROR(IF(0=LEN(ReferenceData!$Q$34),"",ReferenceData!$Q$34),"")</f>
        <v>256879</v>
      </c>
      <c r="R34">
        <f ca="1">IFERROR(IF(0=LEN(ReferenceData!$R$34),"",ReferenceData!$R$34),"")</f>
        <v>226807</v>
      </c>
      <c r="S34">
        <f ca="1">IFERROR(IF(0=LEN(ReferenceData!$S$34),"",ReferenceData!$S$34),"")</f>
        <v>223411</v>
      </c>
      <c r="T34">
        <f ca="1">IFERROR(IF(0=LEN(ReferenceData!$T$34),"",ReferenceData!$T$34),"")</f>
        <v>216097</v>
      </c>
      <c r="U34">
        <f ca="1">IFERROR(IF(0=LEN(ReferenceData!$U$34),"",ReferenceData!$U$34),"")</f>
        <v>196225</v>
      </c>
      <c r="V34">
        <f ca="1">IFERROR(IF(0=LEN(ReferenceData!$V$34),"",ReferenceData!$V$34),"")</f>
        <v>255104</v>
      </c>
      <c r="W34">
        <f ca="1">IFERROR(IF(0=LEN(ReferenceData!$W$34),"",ReferenceData!$W$34),"")</f>
        <v>264099</v>
      </c>
      <c r="X34">
        <f ca="1">IFERROR(IF(0=LEN(ReferenceData!$X$34),"",ReferenceData!$X$34),"")</f>
        <v>264334</v>
      </c>
      <c r="Y34">
        <f ca="1">IFERROR(IF(0=LEN(ReferenceData!$Y$34),"",ReferenceData!$Y$34),"")</f>
        <v>230420</v>
      </c>
      <c r="Z34">
        <f ca="1">IFERROR(IF(0=LEN(ReferenceData!$Z$34),"",ReferenceData!$Z$34),"")</f>
        <v>226515</v>
      </c>
      <c r="AA34">
        <f ca="1">IFERROR(IF(0=LEN(ReferenceData!$AA$34),"",ReferenceData!$AA$34),"")</f>
        <v>246198</v>
      </c>
      <c r="AB34">
        <f ca="1">IFERROR(IF(0=LEN(ReferenceData!$AB$34),"",ReferenceData!$AB$34),"")</f>
        <v>250711</v>
      </c>
      <c r="AC34">
        <f ca="1">IFERROR(IF(0=LEN(ReferenceData!$AC$34),"",ReferenceData!$AC$34),"")</f>
        <v>234923</v>
      </c>
      <c r="AD34">
        <f ca="1">IFERROR(IF(0=LEN(ReferenceData!$AD$34),"",ReferenceData!$AD$34),"")</f>
        <v>205008</v>
      </c>
      <c r="AE34">
        <f ca="1">IFERROR(IF(0=LEN(ReferenceData!$AE$34),"",ReferenceData!$AE$34),"")</f>
        <v>234688</v>
      </c>
      <c r="AF34">
        <f ca="1">IFERROR(IF(0=LEN(ReferenceData!$AF$34),"",ReferenceData!$AF$34),"")</f>
        <v>244821</v>
      </c>
      <c r="AG34">
        <f ca="1">IFERROR(IF(0=LEN(ReferenceData!$AG$34),"",ReferenceData!$AG$34),"")</f>
        <v>231758</v>
      </c>
      <c r="AH34">
        <f ca="1">IFERROR(IF(0=LEN(ReferenceData!$AH$34),"",ReferenceData!$AH$34),"")</f>
        <v>230870</v>
      </c>
      <c r="AI34">
        <f ca="1">IFERROR(IF(0=LEN(ReferenceData!$AI$34),"",ReferenceData!$AI$34),"")</f>
        <v>225136</v>
      </c>
      <c r="AJ34">
        <f ca="1">IFERROR(IF(0=LEN(ReferenceData!$AJ$34),"",ReferenceData!$AJ$34),"")</f>
        <v>248796</v>
      </c>
      <c r="AK34">
        <f ca="1">IFERROR(IF(0=LEN(ReferenceData!$AK$34),"",ReferenceData!$AK$34),"")</f>
        <v>182269</v>
      </c>
      <c r="AL34">
        <f ca="1">IFERROR(IF(0=LEN(ReferenceData!$AL$34),"",ReferenceData!$AL$34),"")</f>
        <v>216265</v>
      </c>
      <c r="AM34">
        <f ca="1">IFERROR(IF(0=LEN(ReferenceData!$AM$34),"",ReferenceData!$AM$34),"")</f>
        <v>209606</v>
      </c>
      <c r="AN34">
        <f ca="1">IFERROR(IF(0=LEN(ReferenceData!$AN$34),"",ReferenceData!$AN$34),"")</f>
        <v>207066</v>
      </c>
      <c r="AO34">
        <f ca="1">IFERROR(IF(0=LEN(ReferenceData!$AO$34),"",ReferenceData!$AO$34),"")</f>
        <v>216196</v>
      </c>
      <c r="AP34">
        <f ca="1">IFERROR(IF(0=LEN(ReferenceData!$AP$34),"",ReferenceData!$AP$34),"")</f>
        <v>195101</v>
      </c>
      <c r="AQ34">
        <f ca="1">IFERROR(IF(0=LEN(ReferenceData!$AQ$34),"",ReferenceData!$AQ$34),"")</f>
        <v>208837</v>
      </c>
      <c r="AR34">
        <f ca="1">IFERROR(IF(0=LEN(ReferenceData!$AR$34),"",ReferenceData!$AR$34),"")</f>
        <v>176974</v>
      </c>
      <c r="AS34">
        <f ca="1">IFERROR(IF(0=LEN(ReferenceData!$AS$34),"",ReferenceData!$AS$34),"")</f>
        <v>156494</v>
      </c>
      <c r="AT34">
        <f ca="1">IFERROR(IF(0=LEN(ReferenceData!$AT$34),"",ReferenceData!$AT$34),"")</f>
        <v>169705</v>
      </c>
      <c r="AU34">
        <f ca="1">IFERROR(IF(0=LEN(ReferenceData!$AU$34),"",ReferenceData!$AU$34),"")</f>
        <v>176152</v>
      </c>
      <c r="AV34">
        <f ca="1">IFERROR(IF(0=LEN(ReferenceData!$AV$34),"",ReferenceData!$AV$34),"")</f>
        <v>185631</v>
      </c>
      <c r="AW34">
        <f ca="1">IFERROR(IF(0=LEN(ReferenceData!$AW$34),"",ReferenceData!$AW$34),"")</f>
        <v>197214</v>
      </c>
      <c r="AX34">
        <f ca="1">IFERROR(IF(0=LEN(ReferenceData!$AX$34),"",ReferenceData!$AX$34),"")</f>
        <v>211020</v>
      </c>
      <c r="AY34">
        <f ca="1">IFERROR(IF(0=LEN(ReferenceData!$AY$34),"",ReferenceData!$AY$34),"")</f>
        <v>187882</v>
      </c>
      <c r="AZ34">
        <f ca="1">IFERROR(IF(0=LEN(ReferenceData!$AZ$34),"",ReferenceData!$AZ$34),"")</f>
        <v>184928</v>
      </c>
      <c r="BA34">
        <f ca="1">IFERROR(IF(0=LEN(ReferenceData!$BA$34),"",ReferenceData!$BA$34),"")</f>
        <v>217360</v>
      </c>
      <c r="BB34">
        <f ca="1">IFERROR(IF(0=LEN(ReferenceData!$BB$34),"",ReferenceData!$BB$34),"")</f>
        <v>194948</v>
      </c>
      <c r="BC34">
        <f ca="1">IFERROR(IF(0=LEN(ReferenceData!$BC$34),"",ReferenceData!$BC$34),"")</f>
        <v>233110</v>
      </c>
      <c r="BD34">
        <f ca="1">IFERROR(IF(0=LEN(ReferenceData!$BD$34),"",ReferenceData!$BD$34),"")</f>
        <v>210542</v>
      </c>
      <c r="BE34">
        <f ca="1">IFERROR(IF(0=LEN(ReferenceData!$BE$34),"",ReferenceData!$BE$34),"")</f>
        <v>200406</v>
      </c>
      <c r="BF34">
        <f ca="1">IFERROR(IF(0=LEN(ReferenceData!$BF$34),"",ReferenceData!$BF$34),"")</f>
        <v>204457</v>
      </c>
      <c r="BG34">
        <f ca="1">IFERROR(IF(0=LEN(ReferenceData!$BG$34),"",ReferenceData!$BG$34),"")</f>
        <v>204621</v>
      </c>
      <c r="BH34">
        <f ca="1">IFERROR(IF(0=LEN(ReferenceData!$BH$34),"",ReferenceData!$BH$34),"")</f>
        <v>214113</v>
      </c>
      <c r="BI34">
        <f ca="1">IFERROR(IF(0=LEN(ReferenceData!$BI$34),"",ReferenceData!$BI$34),"")</f>
        <v>178131</v>
      </c>
      <c r="BJ34">
        <f ca="1">IFERROR(IF(0=LEN(ReferenceData!$BJ$34),"",ReferenceData!$BJ$34),"")</f>
        <v>205689</v>
      </c>
      <c r="BK34">
        <f ca="1">IFERROR(IF(0=LEN(ReferenceData!$BK$34),"",ReferenceData!$BK$34),"")</f>
        <v>199701</v>
      </c>
      <c r="BL34">
        <f ca="1">IFERROR(IF(0=LEN(ReferenceData!$BL$34),"",ReferenceData!$BL$34),"")</f>
        <v>188583</v>
      </c>
      <c r="BM34">
        <f ca="1">IFERROR(IF(0=LEN(ReferenceData!$BM$34),"",ReferenceData!$BM$34),"")</f>
        <v>217035</v>
      </c>
      <c r="BN34">
        <f ca="1">IFERROR(IF(0=LEN(ReferenceData!$BN$34),"",ReferenceData!$BN$34),"")</f>
        <v>173226</v>
      </c>
      <c r="BO34">
        <f ca="1">IFERROR(IF(0=LEN(ReferenceData!$BO$34),"",ReferenceData!$BO$34),"")</f>
        <v>206541</v>
      </c>
      <c r="BP34">
        <f ca="1">IFERROR(IF(0=LEN(ReferenceData!$BP$34),"",ReferenceData!$BP$34),"")</f>
        <v>200594</v>
      </c>
      <c r="BQ34">
        <f ca="1">IFERROR(IF(0=LEN(ReferenceData!$BQ$34),"",ReferenceData!$BQ$34),"")</f>
        <v>201163</v>
      </c>
      <c r="BR34">
        <f ca="1">IFERROR(IF(0=LEN(ReferenceData!$BR$34),"",ReferenceData!$BR$34),"")</f>
        <v>197437</v>
      </c>
      <c r="BS34">
        <f ca="1">IFERROR(IF(0=LEN(ReferenceData!$BS$34),"",ReferenceData!$BS$34),"")</f>
        <v>196439</v>
      </c>
      <c r="BT34">
        <f ca="1">IFERROR(IF(0=LEN(ReferenceData!$BT$34),"",ReferenceData!$BT$34),"")</f>
        <v>199659</v>
      </c>
      <c r="BU34">
        <f ca="1">IFERROR(IF(0=LEN(ReferenceData!$BU$34),"",ReferenceData!$BU$34),"")</f>
        <v>168480</v>
      </c>
      <c r="BV34">
        <f ca="1">IFERROR(IF(0=LEN(ReferenceData!$BV$34),"",ReferenceData!$BV$34),"")</f>
        <v>167398</v>
      </c>
      <c r="BW34">
        <f ca="1">IFERROR(IF(0=LEN(ReferenceData!$BW$34),"",ReferenceData!$BW$34),"")</f>
        <v>182884</v>
      </c>
      <c r="BX34">
        <f ca="1">IFERROR(IF(0=LEN(ReferenceData!$BX$34),"",ReferenceData!$BX$34),"")</f>
        <v>163592</v>
      </c>
      <c r="BY34">
        <f ca="1">IFERROR(IF(0=LEN(ReferenceData!$BY$34),"",ReferenceData!$BY$34),"")</f>
        <v>182827</v>
      </c>
      <c r="BZ34">
        <f ca="1">IFERROR(IF(0=LEN(ReferenceData!$BZ$34),"",ReferenceData!$BZ$34),"")</f>
        <v>179856</v>
      </c>
      <c r="CA34">
        <f ca="1">IFERROR(IF(0=LEN(ReferenceData!$CA$34),"",ReferenceData!$CA$34),"")</f>
        <v>177728</v>
      </c>
      <c r="CB34">
        <f ca="1">IFERROR(IF(0=LEN(ReferenceData!$CB$34),"",ReferenceData!$CB$34),"")</f>
        <v>182411</v>
      </c>
      <c r="CC34">
        <f ca="1">IFERROR(IF(0=LEN(ReferenceData!$CC$34),"",ReferenceData!$CC$34),"")</f>
        <v>183237</v>
      </c>
      <c r="CD34">
        <f ca="1">IFERROR(IF(0=LEN(ReferenceData!$CD$34),"",ReferenceData!$CD$34),"")</f>
        <v>182452</v>
      </c>
      <c r="CE34">
        <f ca="1">IFERROR(IF(0=LEN(ReferenceData!$CE$34),"",ReferenceData!$CE$34),"")</f>
        <v>189315</v>
      </c>
      <c r="CF34">
        <f ca="1">IFERROR(IF(0=LEN(ReferenceData!$CF$34),"",ReferenceData!$CF$34),"")</f>
        <v>192411</v>
      </c>
      <c r="CG34">
        <f ca="1">IFERROR(IF(0=LEN(ReferenceData!$CG$34),"",ReferenceData!$CG$34),"")</f>
        <v>175820</v>
      </c>
      <c r="CH34">
        <f ca="1">IFERROR(IF(0=LEN(ReferenceData!$CH$34),"",ReferenceData!$CH$34),"")</f>
        <v>185018</v>
      </c>
      <c r="CI34">
        <f ca="1">IFERROR(IF(0=LEN(ReferenceData!$CI$34),"",ReferenceData!$CI$34),"")</f>
        <v>164480</v>
      </c>
      <c r="CJ34">
        <f ca="1">IFERROR(IF(0=LEN(ReferenceData!$CJ$34),"",ReferenceData!$CJ$34),"")</f>
        <v>175217</v>
      </c>
      <c r="CK34">
        <f ca="1">IFERROR(IF(0=LEN(ReferenceData!$CK$34),"",ReferenceData!$CK$34),"")</f>
        <v>169477</v>
      </c>
    </row>
    <row r="35" spans="1:89" x14ac:dyDescent="0.25">
      <c r="A35" t="str">
        <f>IFERROR(IF(0=LEN(ReferenceData!$A$35),"",ReferenceData!$A$35),"")</f>
        <v xml:space="preserve">    Port of Prince Rupert (TEU)</v>
      </c>
      <c r="B35" t="str">
        <f>IFERROR(IF(0=LEN(ReferenceData!$B$35),"",ReferenceData!$B$35),"")</f>
        <v>PRPSTTTE Index</v>
      </c>
      <c r="C35" t="str">
        <f>IFERROR(IF(0=LEN(ReferenceData!$C$35),"",ReferenceData!$C$35),"")</f>
        <v>PX385</v>
      </c>
      <c r="D35" t="str">
        <f>IFERROR(IF(0=LEN(ReferenceData!$D$35),"",ReferenceData!$D$35),"")</f>
        <v>INTERVAL_SUM</v>
      </c>
      <c r="E35" t="str">
        <f>IFERROR(IF(0=LEN(ReferenceData!$E$35),"",ReferenceData!$E$35),"")</f>
        <v>Dynamic</v>
      </c>
      <c r="F35">
        <f ca="1">IFERROR(IF(0=LEN(ReferenceData!$F$35),"",ReferenceData!$F$35),"")</f>
        <v>65899</v>
      </c>
      <c r="G35">
        <f ca="1">IFERROR(IF(0=LEN(ReferenceData!$G$35),"",ReferenceData!$G$35),"")</f>
        <v>47270</v>
      </c>
      <c r="H35">
        <f ca="1">IFERROR(IF(0=LEN(ReferenceData!$H$35),"",ReferenceData!$H$35),"")</f>
        <v>48499</v>
      </c>
      <c r="I35">
        <f ca="1">IFERROR(IF(0=LEN(ReferenceData!$I$35),"",ReferenceData!$I$35),"")</f>
        <v>64865</v>
      </c>
      <c r="J35">
        <f ca="1">IFERROR(IF(0=LEN(ReferenceData!$J$35),"",ReferenceData!$J$35),"")</f>
        <v>78458</v>
      </c>
      <c r="K35">
        <f ca="1">IFERROR(IF(0=LEN(ReferenceData!$K$35),"",ReferenceData!$K$35),"")</f>
        <v>51537</v>
      </c>
      <c r="L35">
        <f ca="1">IFERROR(IF(0=LEN(ReferenceData!$L$35),"",ReferenceData!$L$35),"")</f>
        <v>63401</v>
      </c>
      <c r="M35">
        <f ca="1">IFERROR(IF(0=LEN(ReferenceData!$M$35),"",ReferenceData!$M$35),"")</f>
        <v>47578</v>
      </c>
      <c r="N35">
        <f ca="1">IFERROR(IF(0=LEN(ReferenceData!$N$35),"",ReferenceData!$N$35),"")</f>
        <v>76564</v>
      </c>
      <c r="O35">
        <f ca="1">IFERROR(IF(0=LEN(ReferenceData!$O$35),"",ReferenceData!$O$35),"")</f>
        <v>86765</v>
      </c>
      <c r="P35">
        <f ca="1">IFERROR(IF(0=LEN(ReferenceData!$P$35),"",ReferenceData!$P$35),"")</f>
        <v>72388</v>
      </c>
      <c r="Q35">
        <f ca="1">IFERROR(IF(0=LEN(ReferenceData!$Q$35),"",ReferenceData!$Q$35),"")</f>
        <v>85930</v>
      </c>
      <c r="R35">
        <f ca="1">IFERROR(IF(0=LEN(ReferenceData!$R$35),"",ReferenceData!$R$35),"")</f>
        <v>89292</v>
      </c>
      <c r="S35">
        <f ca="1">IFERROR(IF(0=LEN(ReferenceData!$S$35),"",ReferenceData!$S$35),"")</f>
        <v>114042</v>
      </c>
      <c r="T35">
        <f ca="1">IFERROR(IF(0=LEN(ReferenceData!$T$35),"",ReferenceData!$T$35),"")</f>
        <v>65347</v>
      </c>
      <c r="U35">
        <f ca="1">IFERROR(IF(0=LEN(ReferenceData!$U$35),"",ReferenceData!$U$35),"")</f>
        <v>84384</v>
      </c>
      <c r="V35">
        <f ca="1">IFERROR(IF(0=LEN(ReferenceData!$V$35),"",ReferenceData!$V$35),"")</f>
        <v>86559</v>
      </c>
      <c r="W35">
        <f ca="1">IFERROR(IF(0=LEN(ReferenceData!$W$35),"",ReferenceData!$W$35),"")</f>
        <v>100540</v>
      </c>
      <c r="X35">
        <f ca="1">IFERROR(IF(0=LEN(ReferenceData!$X$35),"",ReferenceData!$X$35),"")</f>
        <v>95193</v>
      </c>
      <c r="Y35">
        <f ca="1">IFERROR(IF(0=LEN(ReferenceData!$Y$35),"",ReferenceData!$Y$35),"")</f>
        <v>75777</v>
      </c>
      <c r="Z35">
        <f ca="1">IFERROR(IF(0=LEN(ReferenceData!$Z$35),"",ReferenceData!$Z$35),"")</f>
        <v>79425</v>
      </c>
      <c r="AA35">
        <f ca="1">IFERROR(IF(0=LEN(ReferenceData!$AA$35),"",ReferenceData!$AA$35),"")</f>
        <v>110030</v>
      </c>
      <c r="AB35">
        <f ca="1">IFERROR(IF(0=LEN(ReferenceData!$AB$35),"",ReferenceData!$AB$35),"")</f>
        <v>61231</v>
      </c>
      <c r="AC35">
        <f ca="1">IFERROR(IF(0=LEN(ReferenceData!$AC$35),"",ReferenceData!$AC$35),"")</f>
        <v>110132</v>
      </c>
      <c r="AD35">
        <f ca="1">IFERROR(IF(0=LEN(ReferenceData!$AD$35),"",ReferenceData!$AD$35),"")</f>
        <v>84786</v>
      </c>
      <c r="AE35">
        <f ca="1">IFERROR(IF(0=LEN(ReferenceData!$AE$35),"",ReferenceData!$AE$35),"")</f>
        <v>89000</v>
      </c>
      <c r="AF35">
        <f ca="1">IFERROR(IF(0=LEN(ReferenceData!$AF$35),"",ReferenceData!$AF$35),"")</f>
        <v>107948</v>
      </c>
      <c r="AG35">
        <f ca="1">IFERROR(IF(0=LEN(ReferenceData!$AG$35),"",ReferenceData!$AG$35),"")</f>
        <v>57145</v>
      </c>
      <c r="AH35">
        <f ca="1">IFERROR(IF(0=LEN(ReferenceData!$AH$35),"",ReferenceData!$AH$35),"")</f>
        <v>103885</v>
      </c>
      <c r="AI35">
        <f ca="1">IFERROR(IF(0=LEN(ReferenceData!$AI$35),"",ReferenceData!$AI$35),"")</f>
        <v>59115</v>
      </c>
      <c r="AJ35">
        <f ca="1">IFERROR(IF(0=LEN(ReferenceData!$AJ$35),"",ReferenceData!$AJ$35),"")</f>
        <v>100445</v>
      </c>
      <c r="AK35">
        <f ca="1">IFERROR(IF(0=LEN(ReferenceData!$AK$35),"",ReferenceData!$AK$35),"")</f>
        <v>72055</v>
      </c>
      <c r="AL35">
        <f ca="1">IFERROR(IF(0=LEN(ReferenceData!$AL$35),"",ReferenceData!$AL$35),"")</f>
        <v>99066</v>
      </c>
      <c r="AM35">
        <f ca="1">IFERROR(IF(0=LEN(ReferenceData!$AM$35),"",ReferenceData!$AM$35),"")</f>
        <v>110077</v>
      </c>
      <c r="AN35">
        <f ca="1">IFERROR(IF(0=LEN(ReferenceData!$AN$35),"",ReferenceData!$AN$35),"")</f>
        <v>95771</v>
      </c>
      <c r="AO35">
        <f ca="1">IFERROR(IF(0=LEN(ReferenceData!$AO$35),"",ReferenceData!$AO$35),"")</f>
        <v>120987</v>
      </c>
      <c r="AP35">
        <f ca="1">IFERROR(IF(0=LEN(ReferenceData!$AP$35),"",ReferenceData!$AP$35),"")</f>
        <v>110083</v>
      </c>
      <c r="AQ35">
        <f ca="1">IFERROR(IF(0=LEN(ReferenceData!$AQ$35),"",ReferenceData!$AQ$35),"")</f>
        <v>118936</v>
      </c>
      <c r="AR35">
        <f ca="1">IFERROR(IF(0=LEN(ReferenceData!$AR$35),"",ReferenceData!$AR$35),"")</f>
        <v>105104</v>
      </c>
      <c r="AS35">
        <f ca="1">IFERROR(IF(0=LEN(ReferenceData!$AS$35),"",ReferenceData!$AS$35),"")</f>
        <v>81915</v>
      </c>
      <c r="AT35">
        <f ca="1">IFERROR(IF(0=LEN(ReferenceData!$AT$35),"",ReferenceData!$AT$35),"")</f>
        <v>68472</v>
      </c>
      <c r="AU35">
        <f ca="1">IFERROR(IF(0=LEN(ReferenceData!$AU$35),"",ReferenceData!$AU$35),"")</f>
        <v>92047</v>
      </c>
      <c r="AV35">
        <f ca="1">IFERROR(IF(0=LEN(ReferenceData!$AV$35),"",ReferenceData!$AV$35),"")</f>
        <v>56162</v>
      </c>
      <c r="AW35">
        <f ca="1">IFERROR(IF(0=LEN(ReferenceData!$AW$35),"",ReferenceData!$AW$35),"")</f>
        <v>100340</v>
      </c>
      <c r="AX35">
        <f ca="1">IFERROR(IF(0=LEN(ReferenceData!$AX$35),"",ReferenceData!$AX$35),"")</f>
        <v>81487</v>
      </c>
      <c r="AY35">
        <f ca="1">IFERROR(IF(0=LEN(ReferenceData!$AY$35),"",ReferenceData!$AY$35),"")</f>
        <v>107088</v>
      </c>
      <c r="AZ35">
        <f ca="1">IFERROR(IF(0=LEN(ReferenceData!$AZ$35),"",ReferenceData!$AZ$35),"")</f>
        <v>105545</v>
      </c>
      <c r="BA35">
        <f ca="1">IFERROR(IF(0=LEN(ReferenceData!$BA$35),"",ReferenceData!$BA$35),"")</f>
        <v>101674</v>
      </c>
      <c r="BB35">
        <f ca="1">IFERROR(IF(0=LEN(ReferenceData!$BB$35),"",ReferenceData!$BB$35),"")</f>
        <v>113800</v>
      </c>
      <c r="BC35">
        <f ca="1">IFERROR(IF(0=LEN(ReferenceData!$BC$35),"",ReferenceData!$BC$35),"")</f>
        <v>123261</v>
      </c>
      <c r="BD35">
        <f ca="1">IFERROR(IF(0=LEN(ReferenceData!$BD$35),"",ReferenceData!$BD$35),"")</f>
        <v>109315</v>
      </c>
      <c r="BE35">
        <f ca="1">IFERROR(IF(0=LEN(ReferenceData!$BE$35),"",ReferenceData!$BE$35),"")</f>
        <v>95677</v>
      </c>
      <c r="BF35">
        <f ca="1">IFERROR(IF(0=LEN(ReferenceData!$BF$35),"",ReferenceData!$BF$35),"")</f>
        <v>108351</v>
      </c>
      <c r="BG35">
        <f ca="1">IFERROR(IF(0=LEN(ReferenceData!$BG$35),"",ReferenceData!$BG$35),"")</f>
        <v>97804</v>
      </c>
      <c r="BH35">
        <f ca="1">IFERROR(IF(0=LEN(ReferenceData!$BH$35),"",ReferenceData!$BH$35),"")</f>
        <v>86403</v>
      </c>
      <c r="BI35">
        <f ca="1">IFERROR(IF(0=LEN(ReferenceData!$BI$35),"",ReferenceData!$BI$35),"")</f>
        <v>60980</v>
      </c>
      <c r="BJ35">
        <f ca="1">IFERROR(IF(0=LEN(ReferenceData!$BJ$35),"",ReferenceData!$BJ$35),"")</f>
        <v>100868</v>
      </c>
      <c r="BK35">
        <f ca="1">IFERROR(IF(0=LEN(ReferenceData!$BK$35),"",ReferenceData!$BK$35),"")</f>
        <v>90830</v>
      </c>
      <c r="BL35">
        <f ca="1">IFERROR(IF(0=LEN(ReferenceData!$BL$35),"",ReferenceData!$BL$35),"")</f>
        <v>81666</v>
      </c>
      <c r="BM35">
        <f ca="1">IFERROR(IF(0=LEN(ReferenceData!$BM$35),"",ReferenceData!$BM$35),"")</f>
        <v>92316</v>
      </c>
      <c r="BN35">
        <f ca="1">IFERROR(IF(0=LEN(ReferenceData!$BN$35),"",ReferenceData!$BN$35),"")</f>
        <v>105059.75</v>
      </c>
      <c r="BO35">
        <f ca="1">IFERROR(IF(0=LEN(ReferenceData!$BO$35),"",ReferenceData!$BO$35),"")</f>
        <v>74822</v>
      </c>
      <c r="BP35">
        <f ca="1">IFERROR(IF(0=LEN(ReferenceData!$BP$35),"",ReferenceData!$BP$35),"")</f>
        <v>88490</v>
      </c>
      <c r="BQ35">
        <f ca="1">IFERROR(IF(0=LEN(ReferenceData!$BQ$35),"",ReferenceData!$BQ$35),"")</f>
        <v>91922</v>
      </c>
      <c r="BR35">
        <f ca="1">IFERROR(IF(0=LEN(ReferenceData!$BR$35),"",ReferenceData!$BR$35),"")</f>
        <v>89950</v>
      </c>
      <c r="BS35">
        <f ca="1">IFERROR(IF(0=LEN(ReferenceData!$BS$35),"",ReferenceData!$BS$35),"")</f>
        <v>81481</v>
      </c>
      <c r="BT35">
        <f ca="1">IFERROR(IF(0=LEN(ReferenceData!$BT$35),"",ReferenceData!$BT$35),"")</f>
        <v>78953</v>
      </c>
      <c r="BU35">
        <f ca="1">IFERROR(IF(0=LEN(ReferenceData!$BU$35),"",ReferenceData!$BU$35),"")</f>
        <v>76754</v>
      </c>
      <c r="BV35">
        <f ca="1">IFERROR(IF(0=LEN(ReferenceData!$BV$35),"",ReferenceData!$BV$35),"")</f>
        <v>83778</v>
      </c>
      <c r="BW35">
        <f ca="1">IFERROR(IF(0=LEN(ReferenceData!$BW$35),"",ReferenceData!$BW$35),"")</f>
        <v>77645</v>
      </c>
      <c r="BX35">
        <f ca="1">IFERROR(IF(0=LEN(ReferenceData!$BX$35),"",ReferenceData!$BX$35),"")</f>
        <v>85119</v>
      </c>
      <c r="BY35">
        <f ca="1">IFERROR(IF(0=LEN(ReferenceData!$BY$35),"",ReferenceData!$BY$35),"")</f>
        <v>91829.5</v>
      </c>
      <c r="BZ35">
        <f ca="1">IFERROR(IF(0=LEN(ReferenceData!$BZ$35),"",ReferenceData!$BZ$35),"")</f>
        <v>75772.25</v>
      </c>
      <c r="CA35">
        <f ca="1">IFERROR(IF(0=LEN(ReferenceData!$CA$35),"",ReferenceData!$CA$35),"")</f>
        <v>87521</v>
      </c>
      <c r="CB35">
        <f ca="1">IFERROR(IF(0=LEN(ReferenceData!$CB$35),"",ReferenceData!$CB$35),"")</f>
        <v>85784.75</v>
      </c>
      <c r="CC35">
        <f ca="1">IFERROR(IF(0=LEN(ReferenceData!$CC$35),"",ReferenceData!$CC$35),"")</f>
        <v>91842.25</v>
      </c>
      <c r="CD35">
        <f ca="1">IFERROR(IF(0=LEN(ReferenceData!$CD$35),"",ReferenceData!$CD$35),"")</f>
        <v>74174.5</v>
      </c>
      <c r="CE35">
        <f ca="1">IFERROR(IF(0=LEN(ReferenceData!$CE$35),"",ReferenceData!$CE$35),"")</f>
        <v>69971.75</v>
      </c>
      <c r="CF35">
        <f ca="1">IFERROR(IF(0=LEN(ReferenceData!$CF$35),"",ReferenceData!$CF$35),"")</f>
        <v>64195</v>
      </c>
      <c r="CG35">
        <f ca="1">IFERROR(IF(0=LEN(ReferenceData!$CG$35),"",ReferenceData!$CG$35),"")</f>
        <v>56648</v>
      </c>
      <c r="CH35">
        <f ca="1">IFERROR(IF(0=LEN(ReferenceData!$CH$35),"",ReferenceData!$CH$35),"")</f>
        <v>66035</v>
      </c>
      <c r="CI35">
        <f ca="1">IFERROR(IF(0=LEN(ReferenceData!$CI$35),"",ReferenceData!$CI$35),"")</f>
        <v>58870</v>
      </c>
      <c r="CJ35">
        <f ca="1">IFERROR(IF(0=LEN(ReferenceData!$CJ$35),"",ReferenceData!$CJ$35),"")</f>
        <v>49521</v>
      </c>
      <c r="CK35">
        <f ca="1">IFERROR(IF(0=LEN(ReferenceData!$CK$35),"",ReferenceData!$CK$35),"")</f>
        <v>59840.75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97"/>
  <sheetViews>
    <sheetView workbookViewId="0"/>
  </sheetViews>
  <sheetFormatPr defaultRowHeight="15" x14ac:dyDescent="0.25"/>
  <cols>
    <col min="1" max="1" width="56.28515625" customWidth="1"/>
    <col min="2" max="2" width="15.85546875" customWidth="1"/>
    <col min="3" max="173" width="9.140625" bestFit="1" customWidth="1"/>
  </cols>
  <sheetData>
    <row r="1" spans="1:17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</row>
    <row r="2" spans="1:173" x14ac:dyDescent="0.25">
      <c r="A2" s="1" t="str">
        <f>"Description"</f>
        <v>Description</v>
      </c>
      <c r="B2" s="1" t="str">
        <f>"Ticker"</f>
        <v>Ticker</v>
      </c>
      <c r="C2" s="1" t="str">
        <f>"Field ID"</f>
        <v>Field ID</v>
      </c>
      <c r="D2" s="1" t="str">
        <f>"Field Mnemonic"</f>
        <v>Field Mnemonic</v>
      </c>
      <c r="E2" s="1" t="str">
        <f>"Data State"</f>
        <v>Data State</v>
      </c>
      <c r="F2" s="1" t="str">
        <f>ReferenceData!$C$92</f>
        <v>9/2023</v>
      </c>
      <c r="G2" s="1" t="str">
        <f>ReferenceData!$D$92</f>
        <v>8/2023</v>
      </c>
      <c r="H2" s="1" t="str">
        <f>ReferenceData!$E$92</f>
        <v>7/2023</v>
      </c>
      <c r="I2" s="1" t="str">
        <f>ReferenceData!$F$92</f>
        <v>6/2023</v>
      </c>
      <c r="J2" s="1" t="str">
        <f>ReferenceData!$G$92</f>
        <v>5/2023</v>
      </c>
      <c r="K2" s="1" t="str">
        <f>ReferenceData!$H$92</f>
        <v>4/2023</v>
      </c>
      <c r="L2" s="1" t="str">
        <f>ReferenceData!$I$92</f>
        <v>3/2023</v>
      </c>
      <c r="M2" s="1" t="str">
        <f>ReferenceData!$J$92</f>
        <v>2/2023</v>
      </c>
      <c r="N2" s="1" t="str">
        <f>ReferenceData!$K$92</f>
        <v>1/2023</v>
      </c>
      <c r="O2" s="1" t="str">
        <f>ReferenceData!$L$92</f>
        <v>12/2022</v>
      </c>
      <c r="P2" s="1" t="str">
        <f>ReferenceData!$M$92</f>
        <v>11/2022</v>
      </c>
      <c r="Q2" s="1" t="str">
        <f>ReferenceData!$N$92</f>
        <v>10/2022</v>
      </c>
      <c r="R2" s="1" t="str">
        <f>ReferenceData!$O$92</f>
        <v>9/2022</v>
      </c>
      <c r="S2" s="1" t="str">
        <f>ReferenceData!$P$92</f>
        <v>8/2022</v>
      </c>
      <c r="T2" s="1" t="str">
        <f>ReferenceData!$Q$92</f>
        <v>7/2022</v>
      </c>
      <c r="U2" s="1" t="str">
        <f>ReferenceData!$R$92</f>
        <v>6/2022</v>
      </c>
      <c r="V2" s="1" t="str">
        <f>ReferenceData!$S$92</f>
        <v>5/2022</v>
      </c>
      <c r="W2" s="1" t="str">
        <f>ReferenceData!$T$92</f>
        <v>4/2022</v>
      </c>
      <c r="X2" s="1" t="str">
        <f>ReferenceData!$U$92</f>
        <v>3/2022</v>
      </c>
      <c r="Y2" s="1" t="str">
        <f>ReferenceData!$V$92</f>
        <v>2/2022</v>
      </c>
      <c r="Z2" s="1" t="str">
        <f>ReferenceData!$W$92</f>
        <v>1/2022</v>
      </c>
      <c r="AA2" s="1" t="str">
        <f>ReferenceData!$X$92</f>
        <v>12/2021</v>
      </c>
      <c r="AB2" s="1" t="str">
        <f>ReferenceData!$Y$92</f>
        <v>11/2021</v>
      </c>
      <c r="AC2" s="1" t="str">
        <f>ReferenceData!$Z$92</f>
        <v>10/2021</v>
      </c>
      <c r="AD2" s="1" t="str">
        <f>ReferenceData!$AA$92</f>
        <v>9/2021</v>
      </c>
      <c r="AE2" s="1" t="str">
        <f>ReferenceData!$AB$92</f>
        <v>8/2021</v>
      </c>
      <c r="AF2" s="1" t="str">
        <f>ReferenceData!$AC$92</f>
        <v>7/2021</v>
      </c>
      <c r="AG2" s="1" t="str">
        <f>ReferenceData!$AD$92</f>
        <v>6/2021</v>
      </c>
      <c r="AH2" s="1" t="str">
        <f>ReferenceData!$AE$92</f>
        <v>5/2021</v>
      </c>
      <c r="AI2" s="1" t="str">
        <f>ReferenceData!$AF$92</f>
        <v>4/2021</v>
      </c>
      <c r="AJ2" s="1" t="str">
        <f>ReferenceData!$AG$92</f>
        <v>3/2021</v>
      </c>
      <c r="AK2" s="1" t="str">
        <f>ReferenceData!$AH$92</f>
        <v>2/2021</v>
      </c>
      <c r="AL2" s="1" t="str">
        <f>ReferenceData!$AI$92</f>
        <v>1/2021</v>
      </c>
      <c r="AM2" s="1" t="str">
        <f>ReferenceData!$AJ$92</f>
        <v>12/2020</v>
      </c>
      <c r="AN2" s="1" t="str">
        <f>ReferenceData!$AK$92</f>
        <v>11/2020</v>
      </c>
      <c r="AO2" s="1" t="str">
        <f>ReferenceData!$AL$92</f>
        <v>10/2020</v>
      </c>
      <c r="AP2" s="1" t="str">
        <f>ReferenceData!$AM$92</f>
        <v>9/2020</v>
      </c>
      <c r="AQ2" s="1" t="str">
        <f>ReferenceData!$AN$92</f>
        <v>8/2020</v>
      </c>
      <c r="AR2" s="1" t="str">
        <f>ReferenceData!$AO$92</f>
        <v>7/2020</v>
      </c>
      <c r="AS2" s="1" t="str">
        <f>ReferenceData!$AP$92</f>
        <v>6/2020</v>
      </c>
      <c r="AT2" s="1" t="str">
        <f>ReferenceData!$AQ$92</f>
        <v>5/2020</v>
      </c>
      <c r="AU2" s="1" t="str">
        <f>ReferenceData!$AR$92</f>
        <v>4/2020</v>
      </c>
      <c r="AV2" s="1" t="str">
        <f>ReferenceData!$AS$92</f>
        <v>3/2020</v>
      </c>
      <c r="AW2" s="1" t="str">
        <f>ReferenceData!$AT$92</f>
        <v>2/2020</v>
      </c>
      <c r="AX2" s="1" t="str">
        <f>ReferenceData!$AU$92</f>
        <v>1/2020</v>
      </c>
      <c r="AY2" s="1" t="str">
        <f>ReferenceData!$AV$92</f>
        <v>12/2019</v>
      </c>
      <c r="AZ2" s="1" t="str">
        <f>ReferenceData!$AW$92</f>
        <v>11/2019</v>
      </c>
      <c r="BA2" s="1" t="str">
        <f>ReferenceData!$AX$92</f>
        <v>10/2019</v>
      </c>
      <c r="BB2" s="1" t="str">
        <f>ReferenceData!$AY$92</f>
        <v>9/2019</v>
      </c>
      <c r="BC2" s="1" t="str">
        <f>ReferenceData!$AZ$92</f>
        <v>8/2019</v>
      </c>
      <c r="BD2" s="1" t="str">
        <f>ReferenceData!$BA$92</f>
        <v>7/2019</v>
      </c>
      <c r="BE2" s="1" t="str">
        <f>ReferenceData!$BB$92</f>
        <v>6/2019</v>
      </c>
      <c r="BF2" s="1" t="str">
        <f>ReferenceData!$BC$92</f>
        <v>5/2019</v>
      </c>
      <c r="BG2" s="1" t="str">
        <f>ReferenceData!$BD$92</f>
        <v>4/2019</v>
      </c>
      <c r="BH2" s="1" t="str">
        <f>ReferenceData!$BE$92</f>
        <v>3/2019</v>
      </c>
      <c r="BI2" s="1" t="str">
        <f>ReferenceData!$BF$92</f>
        <v>2/2019</v>
      </c>
      <c r="BJ2" s="1" t="str">
        <f>ReferenceData!$BG$92</f>
        <v>1/2019</v>
      </c>
      <c r="BK2" s="1" t="str">
        <f>ReferenceData!$BH$92</f>
        <v>12/2018</v>
      </c>
      <c r="BL2" s="1" t="str">
        <f>ReferenceData!$BI$92</f>
        <v>11/2018</v>
      </c>
      <c r="BM2" s="1" t="str">
        <f>ReferenceData!$BJ$92</f>
        <v>10/2018</v>
      </c>
      <c r="BN2" s="1" t="str">
        <f>ReferenceData!$BK$92</f>
        <v>9/2018</v>
      </c>
      <c r="BO2" s="1" t="str">
        <f>ReferenceData!$BL$92</f>
        <v>8/2018</v>
      </c>
      <c r="BP2" s="1" t="str">
        <f>ReferenceData!$BM$92</f>
        <v>7/2018</v>
      </c>
      <c r="BQ2" s="1" t="str">
        <f>ReferenceData!$BN$92</f>
        <v>6/2018</v>
      </c>
      <c r="BR2" s="1" t="str">
        <f>ReferenceData!$BO$92</f>
        <v>5/2018</v>
      </c>
      <c r="BS2" s="1" t="str">
        <f>ReferenceData!$BP$92</f>
        <v>4/2018</v>
      </c>
      <c r="BT2" s="1" t="str">
        <f>ReferenceData!$BQ$92</f>
        <v>3/2018</v>
      </c>
      <c r="BU2" s="1" t="str">
        <f>ReferenceData!$BR$92</f>
        <v>2/2018</v>
      </c>
      <c r="BV2" s="1" t="str">
        <f>ReferenceData!$BS$92</f>
        <v>1/2018</v>
      </c>
      <c r="BW2" s="1" t="str">
        <f>ReferenceData!$BT$92</f>
        <v>12/2017</v>
      </c>
      <c r="BX2" s="1" t="str">
        <f>ReferenceData!$BU$92</f>
        <v>11/2017</v>
      </c>
      <c r="BY2" s="1" t="str">
        <f>ReferenceData!$BV$92</f>
        <v>10/2017</v>
      </c>
      <c r="BZ2" s="1" t="str">
        <f>ReferenceData!$BW$92</f>
        <v>9/2017</v>
      </c>
      <c r="CA2" s="1" t="str">
        <f>ReferenceData!$BX$92</f>
        <v>8/2017</v>
      </c>
      <c r="CB2" s="1" t="str">
        <f>ReferenceData!$BY$92</f>
        <v>7/2017</v>
      </c>
      <c r="CC2" s="1" t="str">
        <f>ReferenceData!$BZ$92</f>
        <v>6/2017</v>
      </c>
      <c r="CD2" s="1" t="str">
        <f>ReferenceData!$CA$92</f>
        <v>5/2017</v>
      </c>
      <c r="CE2" s="1" t="str">
        <f>ReferenceData!$CB$92</f>
        <v>4/2017</v>
      </c>
      <c r="CF2" s="1" t="str">
        <f>ReferenceData!$CC$92</f>
        <v>3/2017</v>
      </c>
      <c r="CG2" s="1" t="str">
        <f>ReferenceData!$CD$92</f>
        <v>2/2017</v>
      </c>
      <c r="CH2" s="1" t="str">
        <f>ReferenceData!$CE$92</f>
        <v>1/2017</v>
      </c>
      <c r="CI2" s="1" t="str">
        <f>ReferenceData!$CF$92</f>
        <v>12/2016</v>
      </c>
      <c r="CJ2" s="1" t="str">
        <f>ReferenceData!$CG$92</f>
        <v>11/2016</v>
      </c>
      <c r="CK2" s="1" t="str">
        <f>ReferenceData!$CH$92</f>
        <v>10/2016</v>
      </c>
      <c r="CL2" t="str">
        <f>$C$92</f>
        <v>9/2023</v>
      </c>
      <c r="CM2" t="str">
        <f>$D$92</f>
        <v>8/2023</v>
      </c>
      <c r="CN2" t="str">
        <f>$E$92</f>
        <v>7/2023</v>
      </c>
      <c r="CO2" t="str">
        <f>$F$92</f>
        <v>6/2023</v>
      </c>
      <c r="CP2" t="str">
        <f>$G$92</f>
        <v>5/2023</v>
      </c>
      <c r="CQ2" t="str">
        <f>$H$92</f>
        <v>4/2023</v>
      </c>
      <c r="CR2" t="str">
        <f>$I$92</f>
        <v>3/2023</v>
      </c>
      <c r="CS2" t="str">
        <f>$J$92</f>
        <v>2/2023</v>
      </c>
      <c r="CT2" t="str">
        <f>$K$92</f>
        <v>1/2023</v>
      </c>
      <c r="CU2" t="str">
        <f>$L$92</f>
        <v>12/2022</v>
      </c>
      <c r="CV2" t="str">
        <f>$M$92</f>
        <v>11/2022</v>
      </c>
      <c r="CW2" t="str">
        <f>$N$92</f>
        <v>10/2022</v>
      </c>
      <c r="CX2" t="str">
        <f>$O$92</f>
        <v>9/2022</v>
      </c>
      <c r="CY2" t="str">
        <f>$P$92</f>
        <v>8/2022</v>
      </c>
      <c r="CZ2" t="str">
        <f>$Q$92</f>
        <v>7/2022</v>
      </c>
      <c r="DA2" t="str">
        <f>$R$92</f>
        <v>6/2022</v>
      </c>
      <c r="DB2" t="str">
        <f>$S$92</f>
        <v>5/2022</v>
      </c>
      <c r="DC2" t="str">
        <f>$T$92</f>
        <v>4/2022</v>
      </c>
      <c r="DD2" t="str">
        <f>$U$92</f>
        <v>3/2022</v>
      </c>
      <c r="DE2" t="str">
        <f>$V$92</f>
        <v>2/2022</v>
      </c>
      <c r="DF2" t="str">
        <f>$W$92</f>
        <v>1/2022</v>
      </c>
      <c r="DG2" t="str">
        <f>$X$92</f>
        <v>12/2021</v>
      </c>
      <c r="DH2" t="str">
        <f>$Y$92</f>
        <v>11/2021</v>
      </c>
      <c r="DI2" t="str">
        <f>$Z$92</f>
        <v>10/2021</v>
      </c>
      <c r="DJ2" t="str">
        <f>$AA$92</f>
        <v>9/2021</v>
      </c>
      <c r="DK2" t="str">
        <f>$AB$92</f>
        <v>8/2021</v>
      </c>
      <c r="DL2" t="str">
        <f>$AC$92</f>
        <v>7/2021</v>
      </c>
      <c r="DM2" t="str">
        <f>$AD$92</f>
        <v>6/2021</v>
      </c>
      <c r="DN2" t="str">
        <f>$AE$92</f>
        <v>5/2021</v>
      </c>
      <c r="DO2" t="str">
        <f>$AF$92</f>
        <v>4/2021</v>
      </c>
      <c r="DP2" t="str">
        <f>$AG$92</f>
        <v>3/2021</v>
      </c>
      <c r="DQ2" t="str">
        <f>$AH$92</f>
        <v>2/2021</v>
      </c>
      <c r="DR2" t="str">
        <f>$AI$92</f>
        <v>1/2021</v>
      </c>
      <c r="DS2" t="str">
        <f>$AJ$92</f>
        <v>12/2020</v>
      </c>
      <c r="DT2" t="str">
        <f>$AK$92</f>
        <v>11/2020</v>
      </c>
      <c r="DU2" t="str">
        <f>$AL$92</f>
        <v>10/2020</v>
      </c>
      <c r="DV2" t="str">
        <f>$AM$92</f>
        <v>9/2020</v>
      </c>
      <c r="DW2" t="str">
        <f>$AN$92</f>
        <v>8/2020</v>
      </c>
      <c r="DX2" t="str">
        <f>$AO$92</f>
        <v>7/2020</v>
      </c>
      <c r="DY2" t="str">
        <f>$AP$92</f>
        <v>6/2020</v>
      </c>
      <c r="DZ2" t="str">
        <f>$AQ$92</f>
        <v>5/2020</v>
      </c>
      <c r="EA2" t="str">
        <f>$AR$92</f>
        <v>4/2020</v>
      </c>
      <c r="EB2" t="str">
        <f>$AS$92</f>
        <v>3/2020</v>
      </c>
      <c r="EC2" t="str">
        <f>$AT$92</f>
        <v>2/2020</v>
      </c>
      <c r="ED2" t="str">
        <f>$AU$92</f>
        <v>1/2020</v>
      </c>
      <c r="EE2" t="str">
        <f>$AV$92</f>
        <v>12/2019</v>
      </c>
      <c r="EF2" t="str">
        <f>$AW$92</f>
        <v>11/2019</v>
      </c>
      <c r="EG2" t="str">
        <f>$AX$92</f>
        <v>10/2019</v>
      </c>
      <c r="EH2" t="str">
        <f>$AY$92</f>
        <v>9/2019</v>
      </c>
      <c r="EI2" t="str">
        <f>$AZ$92</f>
        <v>8/2019</v>
      </c>
      <c r="EJ2" t="str">
        <f>$BA$92</f>
        <v>7/2019</v>
      </c>
      <c r="EK2" t="str">
        <f>$BB$92</f>
        <v>6/2019</v>
      </c>
      <c r="EL2" t="str">
        <f>$BC$92</f>
        <v>5/2019</v>
      </c>
      <c r="EM2" t="str">
        <f>$BD$92</f>
        <v>4/2019</v>
      </c>
      <c r="EN2" t="str">
        <f>$BE$92</f>
        <v>3/2019</v>
      </c>
      <c r="EO2" t="str">
        <f>$BF$92</f>
        <v>2/2019</v>
      </c>
      <c r="EP2" t="str">
        <f>$BG$92</f>
        <v>1/2019</v>
      </c>
      <c r="EQ2" t="str">
        <f>$BH$92</f>
        <v>12/2018</v>
      </c>
      <c r="ER2" t="str">
        <f>$BI$92</f>
        <v>11/2018</v>
      </c>
      <c r="ES2" t="str">
        <f>$BJ$92</f>
        <v>10/2018</v>
      </c>
      <c r="ET2" t="str">
        <f>$BK$92</f>
        <v>9/2018</v>
      </c>
      <c r="EU2" t="str">
        <f>$BL$92</f>
        <v>8/2018</v>
      </c>
      <c r="EV2" t="str">
        <f>$BM$92</f>
        <v>7/2018</v>
      </c>
      <c r="EW2" t="str">
        <f>$BN$92</f>
        <v>6/2018</v>
      </c>
      <c r="EX2" t="str">
        <f>$BO$92</f>
        <v>5/2018</v>
      </c>
      <c r="EY2" t="str">
        <f>$BP$92</f>
        <v>4/2018</v>
      </c>
      <c r="EZ2" t="str">
        <f>$BQ$92</f>
        <v>3/2018</v>
      </c>
      <c r="FA2" t="str">
        <f>$BR$92</f>
        <v>2/2018</v>
      </c>
      <c r="FB2" t="str">
        <f>$BS$92</f>
        <v>1/2018</v>
      </c>
      <c r="FC2" t="str">
        <f>$BT$92</f>
        <v>12/2017</v>
      </c>
      <c r="FD2" t="str">
        <f>$BU$92</f>
        <v>11/2017</v>
      </c>
      <c r="FE2" t="str">
        <f>$BV$92</f>
        <v>10/2017</v>
      </c>
      <c r="FF2" t="str">
        <f>$BW$92</f>
        <v>9/2017</v>
      </c>
      <c r="FG2" t="str">
        <f>$BX$92</f>
        <v>8/2017</v>
      </c>
      <c r="FH2" t="str">
        <f>$BY$92</f>
        <v>7/2017</v>
      </c>
      <c r="FI2" t="str">
        <f>$BZ$92</f>
        <v>6/2017</v>
      </c>
      <c r="FJ2" t="str">
        <f>$CA$92</f>
        <v>5/2017</v>
      </c>
      <c r="FK2" t="str">
        <f>$CB$92</f>
        <v>4/2017</v>
      </c>
      <c r="FL2" t="str">
        <f>$CC$92</f>
        <v>3/2017</v>
      </c>
      <c r="FM2" t="str">
        <f>$CD$92</f>
        <v>2/2017</v>
      </c>
      <c r="FN2" t="str">
        <f>$CE$92</f>
        <v>1/2017</v>
      </c>
      <c r="FO2" t="str">
        <f>$CF$92</f>
        <v>12/2016</v>
      </c>
      <c r="FP2" t="str">
        <f>$CG$92</f>
        <v>11/2016</v>
      </c>
      <c r="FQ2" t="str">
        <f>$CH$92</f>
        <v>10/2016</v>
      </c>
    </row>
    <row r="3" spans="1:173" x14ac:dyDescent="0.25">
      <c r="A3" t="str">
        <f>"Singapore Port Statistics"</f>
        <v>Singapore Port Statistics</v>
      </c>
      <c r="B3" t="str">
        <f>""</f>
        <v/>
      </c>
      <c r="E3" t="str">
        <f>"Heading"</f>
        <v>Heading</v>
      </c>
      <c r="CL3" t="str">
        <f>""</f>
        <v/>
      </c>
      <c r="CM3" t="str">
        <f>""</f>
        <v/>
      </c>
      <c r="CN3" t="str">
        <f>""</f>
        <v/>
      </c>
      <c r="CO3" t="str">
        <f>""</f>
        <v/>
      </c>
      <c r="CP3" t="str">
        <f>""</f>
        <v/>
      </c>
      <c r="CQ3" t="str">
        <f>""</f>
        <v/>
      </c>
      <c r="CR3" t="str">
        <f>""</f>
        <v/>
      </c>
      <c r="CS3" t="str">
        <f>""</f>
        <v/>
      </c>
      <c r="CT3" t="str">
        <f>""</f>
        <v/>
      </c>
      <c r="CU3" t="str">
        <f>""</f>
        <v/>
      </c>
      <c r="CV3" t="str">
        <f>""</f>
        <v/>
      </c>
      <c r="CW3" t="str">
        <f>""</f>
        <v/>
      </c>
      <c r="CX3" t="str">
        <f>""</f>
        <v/>
      </c>
      <c r="CY3" t="str">
        <f>""</f>
        <v/>
      </c>
      <c r="CZ3" t="str">
        <f>""</f>
        <v/>
      </c>
      <c r="DA3" t="str">
        <f>""</f>
        <v/>
      </c>
      <c r="DB3" t="str">
        <f>""</f>
        <v/>
      </c>
      <c r="DC3" t="str">
        <f>""</f>
        <v/>
      </c>
      <c r="DD3" t="str">
        <f>""</f>
        <v/>
      </c>
      <c r="DE3" t="str">
        <f>""</f>
        <v/>
      </c>
      <c r="DF3" t="str">
        <f>""</f>
        <v/>
      </c>
      <c r="DG3" t="str">
        <f>""</f>
        <v/>
      </c>
      <c r="DH3" t="str">
        <f>""</f>
        <v/>
      </c>
      <c r="DI3" t="str">
        <f>""</f>
        <v/>
      </c>
      <c r="DJ3" t="str">
        <f>""</f>
        <v/>
      </c>
      <c r="DK3" t="str">
        <f>""</f>
        <v/>
      </c>
      <c r="DL3" t="str">
        <f>""</f>
        <v/>
      </c>
      <c r="DM3" t="str">
        <f>""</f>
        <v/>
      </c>
      <c r="DN3" t="str">
        <f>""</f>
        <v/>
      </c>
      <c r="DO3" t="str">
        <f>""</f>
        <v/>
      </c>
      <c r="DP3" t="str">
        <f>""</f>
        <v/>
      </c>
      <c r="DQ3" t="str">
        <f>""</f>
        <v/>
      </c>
      <c r="DR3" t="str">
        <f>""</f>
        <v/>
      </c>
      <c r="DS3" t="str">
        <f>""</f>
        <v/>
      </c>
      <c r="DT3" t="str">
        <f>""</f>
        <v/>
      </c>
      <c r="DU3" t="str">
        <f>""</f>
        <v/>
      </c>
      <c r="DV3" t="str">
        <f>""</f>
        <v/>
      </c>
      <c r="DW3" t="str">
        <f>""</f>
        <v/>
      </c>
      <c r="DX3" t="str">
        <f>""</f>
        <v/>
      </c>
      <c r="DY3" t="str">
        <f>""</f>
        <v/>
      </c>
      <c r="DZ3" t="str">
        <f>""</f>
        <v/>
      </c>
      <c r="EA3" t="str">
        <f>""</f>
        <v/>
      </c>
      <c r="EB3" t="str">
        <f>""</f>
        <v/>
      </c>
      <c r="EC3" t="str">
        <f>""</f>
        <v/>
      </c>
      <c r="ED3" t="str">
        <f>""</f>
        <v/>
      </c>
      <c r="EE3" t="str">
        <f>""</f>
        <v/>
      </c>
      <c r="EF3" t="str">
        <f>""</f>
        <v/>
      </c>
      <c r="EG3" t="str">
        <f>""</f>
        <v/>
      </c>
      <c r="EH3" t="str">
        <f>""</f>
        <v/>
      </c>
      <c r="EI3" t="str">
        <f>""</f>
        <v/>
      </c>
      <c r="EJ3" t="str">
        <f>""</f>
        <v/>
      </c>
      <c r="EK3" t="str">
        <f>""</f>
        <v/>
      </c>
      <c r="EL3" t="str">
        <f>""</f>
        <v/>
      </c>
      <c r="EM3" t="str">
        <f>""</f>
        <v/>
      </c>
      <c r="EN3" t="str">
        <f>""</f>
        <v/>
      </c>
      <c r="EO3" t="str">
        <f>""</f>
        <v/>
      </c>
      <c r="EP3" t="str">
        <f>""</f>
        <v/>
      </c>
      <c r="EQ3" t="str">
        <f>""</f>
        <v/>
      </c>
      <c r="ER3" t="str">
        <f>""</f>
        <v/>
      </c>
      <c r="ES3" t="str">
        <f>""</f>
        <v/>
      </c>
      <c r="ET3" t="str">
        <f>""</f>
        <v/>
      </c>
      <c r="EU3" t="str">
        <f>""</f>
        <v/>
      </c>
      <c r="EV3" t="str">
        <f>""</f>
        <v/>
      </c>
      <c r="EW3" t="str">
        <f>""</f>
        <v/>
      </c>
      <c r="EX3" t="str">
        <f>""</f>
        <v/>
      </c>
      <c r="EY3" t="str">
        <f>""</f>
        <v/>
      </c>
      <c r="EZ3" t="str">
        <f>""</f>
        <v/>
      </c>
      <c r="FA3" t="str">
        <f>""</f>
        <v/>
      </c>
      <c r="FB3" t="str">
        <f>""</f>
        <v/>
      </c>
      <c r="FC3" t="str">
        <f>""</f>
        <v/>
      </c>
      <c r="FD3" t="str">
        <f>""</f>
        <v/>
      </c>
      <c r="FE3" t="str">
        <f>""</f>
        <v/>
      </c>
      <c r="FF3" t="str">
        <f>""</f>
        <v/>
      </c>
      <c r="FG3" t="str">
        <f>""</f>
        <v/>
      </c>
      <c r="FH3" t="str">
        <f>""</f>
        <v/>
      </c>
      <c r="FI3" t="str">
        <f>""</f>
        <v/>
      </c>
      <c r="FJ3" t="str">
        <f>""</f>
        <v/>
      </c>
      <c r="FK3" t="str">
        <f>""</f>
        <v/>
      </c>
      <c r="FL3" t="str">
        <f>""</f>
        <v/>
      </c>
      <c r="FM3" t="str">
        <f>""</f>
        <v/>
      </c>
      <c r="FN3" t="str">
        <f>""</f>
        <v/>
      </c>
      <c r="FO3" t="str">
        <f>""</f>
        <v/>
      </c>
      <c r="FP3" t="str">
        <f>""</f>
        <v/>
      </c>
      <c r="FQ3" t="str">
        <f>""</f>
        <v/>
      </c>
    </row>
    <row r="4" spans="1:173" x14ac:dyDescent="0.25">
      <c r="A4" t="str">
        <f>"    Singapore Port Container Throughput (000 TEU)"</f>
        <v xml:space="preserve">    Singapore Port Container Throughput (000 TEU)</v>
      </c>
      <c r="B4" t="str">
        <f>"SICTTOTL Index"</f>
        <v>SICTTOTL Index</v>
      </c>
      <c r="C4" t="str">
        <f>"PX385"</f>
        <v>PX385</v>
      </c>
      <c r="D4" t="str">
        <f>"INTERVAL_SUM"</f>
        <v>INTERVAL_SUM</v>
      </c>
      <c r="E4" t="str">
        <f>"Dynamic"</f>
        <v>Dynamic</v>
      </c>
      <c r="F4">
        <f ca="1">IF(AND(ISNUMBER($F$59),$B$51=1),$F$59,HLOOKUP(INDIRECT(ADDRESS(2,COLUMN())),OFFSET($CL$2,0,0,ROW()-1,84),ROW()-1,FALSE))</f>
        <v>3206.65</v>
      </c>
      <c r="G4">
        <f ca="1">IF(AND(ISNUMBER($G$59),$B$51=1),$G$59,HLOOKUP(INDIRECT(ADDRESS(2,COLUMN())),OFFSET($CL$2,0,0,ROW()-1,84),ROW()-1,FALSE))</f>
        <v>3328.44</v>
      </c>
      <c r="H4">
        <f ca="1">IF(AND(ISNUMBER($H$59),$B$51=1),$H$59,HLOOKUP(INDIRECT(ADDRESS(2,COLUMN())),OFFSET($CL$2,0,0,ROW()-1,84),ROW()-1,FALSE))</f>
        <v>3431.27</v>
      </c>
      <c r="I4">
        <f ca="1">IF(AND(ISNUMBER($I$59),$B$51=1),$I$59,HLOOKUP(INDIRECT(ADDRESS(2,COLUMN())),OFFSET($CL$2,0,0,ROW()-1,84),ROW()-1,FALSE))</f>
        <v>3345.55</v>
      </c>
      <c r="J4">
        <f ca="1">IF(AND(ISNUMBER($J$59),$B$51=1),$J$59,HLOOKUP(INDIRECT(ADDRESS(2,COLUMN())),OFFSET($CL$2,0,0,ROW()-1,84),ROW()-1,FALSE))</f>
        <v>3409.7</v>
      </c>
      <c r="K4">
        <f ca="1">IF(AND(ISNUMBER($K$59),$B$51=1),$K$59,HLOOKUP(INDIRECT(ADDRESS(2,COLUMN())),OFFSET($CL$2,0,0,ROW()-1,84),ROW()-1,FALSE))</f>
        <v>3264.67</v>
      </c>
      <c r="L4">
        <f ca="1">IF(AND(ISNUMBER($L$59),$B$51=1),$L$59,HLOOKUP(INDIRECT(ADDRESS(2,COLUMN())),OFFSET($CL$2,0,0,ROW()-1,84),ROW()-1,FALSE))</f>
        <v>3335.46</v>
      </c>
      <c r="M4">
        <f ca="1">IF(AND(ISNUMBER($M$59),$B$51=1),$M$59,HLOOKUP(INDIRECT(ADDRESS(2,COLUMN())),OFFSET($CL$2,0,0,ROW()-1,84),ROW()-1,FALSE))</f>
        <v>2684.43</v>
      </c>
      <c r="N4">
        <f ca="1">IF(AND(ISNUMBER($N$59),$B$51=1),$N$59,HLOOKUP(INDIRECT(ADDRESS(2,COLUMN())),OFFSET($CL$2,0,0,ROW()-1,84),ROW()-1,FALSE))</f>
        <v>2989.5</v>
      </c>
      <c r="O4">
        <f ca="1">IF(AND(ISNUMBER($O$59),$B$51=1),$O$59,HLOOKUP(INDIRECT(ADDRESS(2,COLUMN())),OFFSET($CL$2,0,0,ROW()-1,84),ROW()-1,FALSE))</f>
        <v>3252.9</v>
      </c>
      <c r="P4">
        <f ca="1">IF(AND(ISNUMBER($P$59),$B$51=1),$P$59,HLOOKUP(INDIRECT(ADDRESS(2,COLUMN())),OFFSET($CL$2,0,0,ROW()-1,84),ROW()-1,FALSE))</f>
        <v>2955.47</v>
      </c>
      <c r="Q4">
        <f ca="1">IF(AND(ISNUMBER($Q$59),$B$51=1),$Q$59,HLOOKUP(INDIRECT(ADDRESS(2,COLUMN())),OFFSET($CL$2,0,0,ROW()-1,84),ROW()-1,FALSE))</f>
        <v>3061.84</v>
      </c>
      <c r="R4">
        <f ca="1">IF(AND(ISNUMBER($R$59),$B$51=1),$R$59,HLOOKUP(INDIRECT(ADDRESS(2,COLUMN())),OFFSET($CL$2,0,0,ROW()-1,84),ROW()-1,FALSE))</f>
        <v>3063.77</v>
      </c>
      <c r="S4">
        <f ca="1">IF(AND(ISNUMBER($S$59),$B$51=1),$S$59,HLOOKUP(INDIRECT(ADDRESS(2,COLUMN())),OFFSET($CL$2,0,0,ROW()-1,84),ROW()-1,FALSE))</f>
        <v>3262.31</v>
      </c>
      <c r="T4">
        <f ca="1">IF(AND(ISNUMBER($T$59),$B$51=1),$T$59,HLOOKUP(INDIRECT(ADDRESS(2,COLUMN())),OFFSET($CL$2,0,0,ROW()-1,84),ROW()-1,FALSE))</f>
        <v>3286.33</v>
      </c>
      <c r="U4">
        <f ca="1">IF(AND(ISNUMBER($U$59),$B$51=1),$U$59,HLOOKUP(INDIRECT(ADDRESS(2,COLUMN())),OFFSET($CL$2,0,0,ROW()-1,84),ROW()-1,FALSE))</f>
        <v>3166.22975</v>
      </c>
      <c r="V4">
        <f ca="1">IF(AND(ISNUMBER($V$59),$B$51=1),$V$59,HLOOKUP(INDIRECT(ADDRESS(2,COLUMN())),OFFSET($CL$2,0,0,ROW()-1,84),ROW()-1,FALSE))</f>
        <v>3122.0102499999998</v>
      </c>
      <c r="W4">
        <f ca="1">IF(AND(ISNUMBER($W$59),$B$51=1),$W$59,HLOOKUP(INDIRECT(ADDRESS(2,COLUMN())),OFFSET($CL$2,0,0,ROW()-1,84),ROW()-1,FALSE))</f>
        <v>3042.01</v>
      </c>
      <c r="X4">
        <f ca="1">IF(AND(ISNUMBER($X$59),$B$51=1),$X$59,HLOOKUP(INDIRECT(ADDRESS(2,COLUMN())),OFFSET($CL$2,0,0,ROW()-1,84),ROW()-1,FALSE))</f>
        <v>3089.48</v>
      </c>
      <c r="Y4">
        <f ca="1">IF(AND(ISNUMBER($Y$59),$B$51=1),$Y$59,HLOOKUP(INDIRECT(ADDRESS(2,COLUMN())),OFFSET($CL$2,0,0,ROW()-1,84),ROW()-1,FALSE))</f>
        <v>2843.53</v>
      </c>
      <c r="Z4">
        <f ca="1">IF(AND(ISNUMBER($Z$59),$B$51=1),$Z$59,HLOOKUP(INDIRECT(ADDRESS(2,COLUMN())),OFFSET($CL$2,0,0,ROW()-1,84),ROW()-1,FALSE))</f>
        <v>3143.71</v>
      </c>
      <c r="AA4">
        <f ca="1">IF(AND(ISNUMBER($AA$59),$B$51=1),$AA$59,HLOOKUP(INDIRECT(ADDRESS(2,COLUMN())),OFFSET($CL$2,0,0,ROW()-1,84),ROW()-1,FALSE))</f>
        <v>3292.21875</v>
      </c>
      <c r="AB4">
        <f ca="1">IF(AND(ISNUMBER($AB$59),$B$51=1),$AB$59,HLOOKUP(INDIRECT(ADDRESS(2,COLUMN())),OFFSET($CL$2,0,0,ROW()-1,84),ROW()-1,FALSE))</f>
        <v>3149.9814999999999</v>
      </c>
      <c r="AC4">
        <f ca="1">IF(AND(ISNUMBER($AC$59),$B$51=1),$AC$59,HLOOKUP(INDIRECT(ADDRESS(2,COLUMN())),OFFSET($CL$2,0,0,ROW()-1,84),ROW()-1,FALSE))</f>
        <v>2974.931</v>
      </c>
      <c r="AD4">
        <f ca="1">IF(AND(ISNUMBER($AD$59),$B$51=1),$AD$59,HLOOKUP(INDIRECT(ADDRESS(2,COLUMN())),OFFSET($CL$2,0,0,ROW()-1,84),ROW()-1,FALSE))</f>
        <v>3117.3595</v>
      </c>
      <c r="AE4">
        <f ca="1">IF(AND(ISNUMBER($AE$59),$B$51=1),$AE$59,HLOOKUP(INDIRECT(ADDRESS(2,COLUMN())),OFFSET($CL$2,0,0,ROW()-1,84),ROW()-1,FALSE))</f>
        <v>3182.2809999999999</v>
      </c>
      <c r="AF4">
        <f ca="1">IF(AND(ISNUMBER($AF$59),$B$51=1),$AF$59,HLOOKUP(INDIRECT(ADDRESS(2,COLUMN())),OFFSET($CL$2,0,0,ROW()-1,84),ROW()-1,FALSE))</f>
        <v>3123.5594999999998</v>
      </c>
      <c r="AG4">
        <f ca="1">IF(AND(ISNUMBER($AG$59),$B$51=1),$AG$59,HLOOKUP(INDIRECT(ADDRESS(2,COLUMN())),OFFSET($CL$2,0,0,ROW()-1,84),ROW()-1,FALSE))</f>
        <v>3114.5065</v>
      </c>
      <c r="AH4">
        <f ca="1">IF(AND(ISNUMBER($AH$59),$B$51=1),$AH$59,HLOOKUP(INDIRECT(ADDRESS(2,COLUMN())),OFFSET($CL$2,0,0,ROW()-1,84),ROW()-1,FALSE))</f>
        <v>3216.90425</v>
      </c>
      <c r="AI4">
        <f ca="1">IF(AND(ISNUMBER($AI$59),$B$51=1),$AI$59,HLOOKUP(INDIRECT(ADDRESS(2,COLUMN())),OFFSET($CL$2,0,0,ROW()-1,84),ROW()-1,FALSE))</f>
        <v>3091.2807499999999</v>
      </c>
      <c r="AJ4">
        <f ca="1">IF(AND(ISNUMBER($AJ$59),$B$51=1),$AJ$59,HLOOKUP(INDIRECT(ADDRESS(2,COLUMN())),OFFSET($CL$2,0,0,ROW()-1,84),ROW()-1,FALSE))</f>
        <v>3270.5747500000002</v>
      </c>
      <c r="AK4">
        <f ca="1">IF(AND(ISNUMBER($AK$59),$B$51=1),$AK$59,HLOOKUP(INDIRECT(ADDRESS(2,COLUMN())),OFFSET($CL$2,0,0,ROW()-1,84),ROW()-1,FALSE))</f>
        <v>2881.5867499999999</v>
      </c>
      <c r="AL4">
        <f ca="1">IF(AND(ISNUMBER($AL$59),$B$51=1),$AL$59,HLOOKUP(INDIRECT(ADDRESS(2,COLUMN())),OFFSET($CL$2,0,0,ROW()-1,84),ROW()-1,FALSE))</f>
        <v>3156.0217499999999</v>
      </c>
      <c r="AM4">
        <f ca="1">IF(AND(ISNUMBER($AM$59),$B$51=1),$AM$59,HLOOKUP(INDIRECT(ADDRESS(2,COLUMN())),OFFSET($CL$2,0,0,ROW()-1,84),ROW()-1,FALSE))</f>
        <v>3261.8344999999999</v>
      </c>
      <c r="AN4">
        <f ca="1">IF(AND(ISNUMBER($AN$59),$B$51=1),$AN$59,HLOOKUP(INDIRECT(ADDRESS(2,COLUMN())),OFFSET($CL$2,0,0,ROW()-1,84),ROW()-1,FALSE))</f>
        <v>3134.6464999999998</v>
      </c>
      <c r="AO4">
        <f ca="1">IF(AND(ISNUMBER($AO$59),$B$51=1),$AO$59,HLOOKUP(INDIRECT(ADDRESS(2,COLUMN())),OFFSET($CL$2,0,0,ROW()-1,84),ROW()-1,FALSE))</f>
        <v>3238.6937499999999</v>
      </c>
      <c r="AP4">
        <f ca="1">IF(AND(ISNUMBER($AP$59),$B$51=1),$AP$59,HLOOKUP(INDIRECT(ADDRESS(2,COLUMN())),OFFSET($CL$2,0,0,ROW()-1,84),ROW()-1,FALSE))</f>
        <v>3207.67175</v>
      </c>
      <c r="AQ4">
        <f ca="1">IF(AND(ISNUMBER($AQ$59),$B$51=1),$AQ$59,HLOOKUP(INDIRECT(ADDRESS(2,COLUMN())),OFFSET($CL$2,0,0,ROW()-1,84),ROW()-1,FALSE))</f>
        <v>3174.6954999999998</v>
      </c>
      <c r="AR4">
        <f ca="1">IF(AND(ISNUMBER($AR$59),$B$51=1),$AR$59,HLOOKUP(INDIRECT(ADDRESS(2,COLUMN())),OFFSET($CL$2,0,0,ROW()-1,84),ROW()-1,FALSE))</f>
        <v>3016.32</v>
      </c>
      <c r="AS4">
        <f ca="1">IF(AND(ISNUMBER($AS$59),$B$51=1),$AS$59,HLOOKUP(INDIRECT(ADDRESS(2,COLUMN())),OFFSET($CL$2,0,0,ROW()-1,84),ROW()-1,FALSE))</f>
        <v>2907.67175</v>
      </c>
      <c r="AT4">
        <f ca="1">IF(AND(ISNUMBER($AT$59),$B$51=1),$AT$59,HLOOKUP(INDIRECT(ADDRESS(2,COLUMN())),OFFSET($CL$2,0,0,ROW()-1,84),ROW()-1,FALSE))</f>
        <v>2806.7204999999999</v>
      </c>
      <c r="AU4">
        <f ca="1">IF(AND(ISNUMBER($AU$59),$B$51=1),$AU$59,HLOOKUP(INDIRECT(ADDRESS(2,COLUMN())),OFFSET($CL$2,0,0,ROW()-1,84),ROW()-1,FALSE))</f>
        <v>2843.48425</v>
      </c>
      <c r="AV4">
        <f ca="1">IF(AND(ISNUMBER($AV$59),$B$51=1),$AV$59,HLOOKUP(INDIRECT(ADDRESS(2,COLUMN())),OFFSET($CL$2,0,0,ROW()-1,84),ROW()-1,FALSE))</f>
        <v>3197.87925</v>
      </c>
      <c r="AW4">
        <f ca="1">IF(AND(ISNUMBER($AW$59),$B$51=1),$AW$59,HLOOKUP(INDIRECT(ADDRESS(2,COLUMN())),OFFSET($CL$2,0,0,ROW()-1,84),ROW()-1,FALSE))</f>
        <v>2898.6867499999998</v>
      </c>
      <c r="AX4">
        <f ca="1">IF(AND(ISNUMBER($AX$59),$B$51=1),$AX$59,HLOOKUP(INDIRECT(ADDRESS(2,COLUMN())),OFFSET($CL$2,0,0,ROW()-1,84),ROW()-1,FALSE))</f>
        <v>3182.5992500000002</v>
      </c>
      <c r="AY4">
        <f ca="1">IF(AND(ISNUMBER($AY$59),$B$51=1),$AY$59,HLOOKUP(INDIRECT(ADDRESS(2,COLUMN())),OFFSET($CL$2,0,0,ROW()-1,84),ROW()-1,FALSE))</f>
        <v>3200.1662500000002</v>
      </c>
      <c r="AZ4">
        <f ca="1">IF(AND(ISNUMBER($AZ$59),$B$51=1),$AZ$59,HLOOKUP(INDIRECT(ADDRESS(2,COLUMN())),OFFSET($CL$2,0,0,ROW()-1,84),ROW()-1,FALSE))</f>
        <v>3267.6979999999999</v>
      </c>
      <c r="BA4">
        <f ca="1">IF(AND(ISNUMBER($BA$59),$B$51=1),$BA$59,HLOOKUP(INDIRECT(ADDRESS(2,COLUMN())),OFFSET($CL$2,0,0,ROW()-1,84),ROW()-1,FALSE))</f>
        <v>3234.3984999999998</v>
      </c>
      <c r="BB4">
        <f ca="1">IF(AND(ISNUMBER($BB$59),$B$51=1),$BB$59,HLOOKUP(INDIRECT(ADDRESS(2,COLUMN())),OFFSET($CL$2,0,0,ROW()-1,84),ROW()-1,FALSE))</f>
        <v>3093.8562499999998</v>
      </c>
      <c r="BC4">
        <f ca="1">IF(AND(ISNUMBER($BC$59),$B$51=1),$BC$59,HLOOKUP(INDIRECT(ADDRESS(2,COLUMN())),OFFSET($CL$2,0,0,ROW()-1,84),ROW()-1,FALSE))</f>
        <v>3133.7402499999998</v>
      </c>
      <c r="BD4">
        <f ca="1">IF(AND(ISNUMBER($BD$59),$B$51=1),$BD$59,HLOOKUP(INDIRECT(ADDRESS(2,COLUMN())),OFFSET($CL$2,0,0,ROW()-1,84),ROW()-1,FALSE))</f>
        <v>3235.3522499999999</v>
      </c>
      <c r="BE4">
        <f ca="1">IF(AND(ISNUMBER($BE$59),$B$51=1),$BE$59,HLOOKUP(INDIRECT(ADDRESS(2,COLUMN())),OFFSET($CL$2,0,0,ROW()-1,84),ROW()-1,FALSE))</f>
        <v>2996.9879999999998</v>
      </c>
      <c r="BF4">
        <f ca="1">IF(AND(ISNUMBER($BF$59),$B$51=1),$BF$59,HLOOKUP(INDIRECT(ADDRESS(2,COLUMN())),OFFSET($CL$2,0,0,ROW()-1,84),ROW()-1,FALSE))</f>
        <v>3137.7637500000001</v>
      </c>
      <c r="BG4">
        <f ca="1">IF(AND(ISNUMBER($BG$59),$B$51=1),$BG$59,HLOOKUP(INDIRECT(ADDRESS(2,COLUMN())),OFFSET($CL$2,0,0,ROW()-1,84),ROW()-1,FALSE))</f>
        <v>2992.1289999999999</v>
      </c>
      <c r="BH4">
        <f ca="1">IF(AND(ISNUMBER($BH$59),$B$51=1),$BH$59,HLOOKUP(INDIRECT(ADDRESS(2,COLUMN())),OFFSET($CL$2,0,0,ROW()-1,84),ROW()-1,FALSE))</f>
        <v>3163.9034999999999</v>
      </c>
      <c r="BI4">
        <f ca="1">IF(AND(ISNUMBER($BI$59),$B$51=1),$BI$59,HLOOKUP(INDIRECT(ADDRESS(2,COLUMN())),OFFSET($CL$2,0,0,ROW()-1,84),ROW()-1,FALSE))</f>
        <v>2740.5304999999998</v>
      </c>
      <c r="BJ4">
        <f ca="1">IF(AND(ISNUMBER($BJ$59),$B$51=1),$BJ$59,HLOOKUP(INDIRECT(ADDRESS(2,COLUMN())),OFFSET($CL$2,0,0,ROW()-1,84),ROW()-1,FALSE))</f>
        <v>2999.11</v>
      </c>
      <c r="BK4">
        <f ca="1">IF(AND(ISNUMBER($BK$59),$B$51=1),$BK$59,HLOOKUP(INDIRECT(ADDRESS(2,COLUMN())),OFFSET($CL$2,0,0,ROW()-1,84),ROW()-1,FALSE))</f>
        <v>3131.34575</v>
      </c>
      <c r="BL4">
        <f ca="1">IF(AND(ISNUMBER($BL$59),$B$51=1),$BL$59,HLOOKUP(INDIRECT(ADDRESS(2,COLUMN())),OFFSET($CL$2,0,0,ROW()-1,84),ROW()-1,FALSE))</f>
        <v>3014.70975</v>
      </c>
      <c r="BM4">
        <f ca="1">IF(AND(ISNUMBER($BM$59),$B$51=1),$BM$59,HLOOKUP(INDIRECT(ADDRESS(2,COLUMN())),OFFSET($CL$2,0,0,ROW()-1,84),ROW()-1,FALSE))</f>
        <v>3153.0627500000001</v>
      </c>
      <c r="BN4">
        <f ca="1">IF(AND(ISNUMBER($BN$59),$B$51=1),$BN$59,HLOOKUP(INDIRECT(ADDRESS(2,COLUMN())),OFFSET($CL$2,0,0,ROW()-1,84),ROW()-1,FALSE))</f>
        <v>2988.9324999999999</v>
      </c>
      <c r="BO4">
        <f ca="1">IF(AND(ISNUMBER($BO$59),$B$51=1),$BO$59,HLOOKUP(INDIRECT(ADDRESS(2,COLUMN())),OFFSET($CL$2,0,0,ROW()-1,84),ROW()-1,FALSE))</f>
        <v>3156.3420000000001</v>
      </c>
      <c r="BP4">
        <f ca="1">IF(AND(ISNUMBER($BP$59),$B$51=1),$BP$59,HLOOKUP(INDIRECT(ADDRESS(2,COLUMN())),OFFSET($CL$2,0,0,ROW()-1,84),ROW()-1,FALSE))</f>
        <v>3133.5387500000002</v>
      </c>
      <c r="BQ4">
        <f ca="1">IF(AND(ISNUMBER($BQ$59),$B$51=1),$BQ$59,HLOOKUP(INDIRECT(ADDRESS(2,COLUMN())),OFFSET($CL$2,0,0,ROW()-1,84),ROW()-1,FALSE))</f>
        <v>3058.6529999999998</v>
      </c>
      <c r="BR4">
        <f ca="1">IF(AND(ISNUMBER($BR$59),$B$51=1),$BR$59,HLOOKUP(INDIRECT(ADDRESS(2,COLUMN())),OFFSET($CL$2,0,0,ROW()-1,84),ROW()-1,FALSE))</f>
        <v>3182.8115499999999</v>
      </c>
      <c r="BS4">
        <f ca="1">IF(AND(ISNUMBER($BS$59),$B$51=1),$BS$59,HLOOKUP(INDIRECT(ADDRESS(2,COLUMN())),OFFSET($CL$2,0,0,ROW()-1,84),ROW()-1,FALSE))</f>
        <v>2915.2597999999998</v>
      </c>
      <c r="BT4">
        <f ca="1">IF(AND(ISNUMBER($BT$59),$B$51=1),$BT$59,HLOOKUP(INDIRECT(ADDRESS(2,COLUMN())),OFFSET($CL$2,0,0,ROW()-1,84),ROW()-1,FALSE))</f>
        <v>3048.8145</v>
      </c>
      <c r="BU4">
        <f ca="1">IF(AND(ISNUMBER($BU$59),$B$51=1),$BU$59,HLOOKUP(INDIRECT(ADDRESS(2,COLUMN())),OFFSET($CL$2,0,0,ROW()-1,84),ROW()-1,FALSE))</f>
        <v>2822.93</v>
      </c>
      <c r="BV4">
        <f ca="1">IF(AND(ISNUMBER($BV$59),$B$51=1),$BV$59,HLOOKUP(INDIRECT(ADDRESS(2,COLUMN())),OFFSET($CL$2,0,0,ROW()-1,84),ROW()-1,FALSE))</f>
        <v>2992.8809999999999</v>
      </c>
      <c r="BW4">
        <f ca="1">IF(AND(ISNUMBER($BW$59),$B$51=1),$BW$59,HLOOKUP(INDIRECT(ADDRESS(2,COLUMN())),OFFSET($CL$2,0,0,ROW()-1,84),ROW()-1,FALSE))</f>
        <v>2958.1412500000001</v>
      </c>
      <c r="BX4">
        <f ca="1">IF(AND(ISNUMBER($BX$59),$B$51=1),$BX$59,HLOOKUP(INDIRECT(ADDRESS(2,COLUMN())),OFFSET($CL$2,0,0,ROW()-1,84),ROW()-1,FALSE))</f>
        <v>2977.0702500000002</v>
      </c>
      <c r="BY4">
        <f ca="1">IF(AND(ISNUMBER($BY$59),$B$51=1),$BY$59,HLOOKUP(INDIRECT(ADDRESS(2,COLUMN())),OFFSET($CL$2,0,0,ROW()-1,84),ROW()-1,FALSE))</f>
        <v>2957.1462499999998</v>
      </c>
      <c r="BZ4">
        <f ca="1">IF(AND(ISNUMBER($BZ$59),$B$51=1),$BZ$59,HLOOKUP(INDIRECT(ADDRESS(2,COLUMN())),OFFSET($CL$2,0,0,ROW()-1,84),ROW()-1,FALSE))</f>
        <v>2800.0115000000001</v>
      </c>
      <c r="CA4">
        <f ca="1">IF(AND(ISNUMBER($CA$59),$B$51=1),$CA$59,HLOOKUP(INDIRECT(ADDRESS(2,COLUMN())),OFFSET($CL$2,0,0,ROW()-1,84),ROW()-1,FALSE))</f>
        <v>2947.3722499999999</v>
      </c>
      <c r="CB4">
        <f ca="1">IF(AND(ISNUMBER($CB$59),$B$51=1),$CB$59,HLOOKUP(INDIRECT(ADDRESS(2,COLUMN())),OFFSET($CL$2,0,0,ROW()-1,84),ROW()-1,FALSE))</f>
        <v>2876.9760000000001</v>
      </c>
      <c r="CC4">
        <f ca="1">IF(AND(ISNUMBER($CC$59),$B$51=1),$CC$59,HLOOKUP(INDIRECT(ADDRESS(2,COLUMN())),OFFSET($CL$2,0,0,ROW()-1,84),ROW()-1,FALSE))</f>
        <v>2822.4290000000001</v>
      </c>
      <c r="CD4">
        <f ca="1">IF(AND(ISNUMBER($CD$59),$B$51=1),$CD$59,HLOOKUP(INDIRECT(ADDRESS(2,COLUMN())),OFFSET($CL$2,0,0,ROW()-1,84),ROW()-1,FALSE))</f>
        <v>2990.915</v>
      </c>
      <c r="CE4">
        <f ca="1">IF(AND(ISNUMBER($CE$59),$B$51=1),$CE$59,HLOOKUP(INDIRECT(ADDRESS(2,COLUMN())),OFFSET($CL$2,0,0,ROW()-1,84),ROW()-1,FALSE))</f>
        <v>2724.4180000000001</v>
      </c>
      <c r="CF4">
        <f ca="1">IF(AND(ISNUMBER($CF$59),$B$51=1),$CF$59,HLOOKUP(INDIRECT(ADDRESS(2,COLUMN())),OFFSET($CL$2,0,0,ROW()-1,84),ROW()-1,FALSE))</f>
        <v>2691.61375</v>
      </c>
      <c r="CG4">
        <f ca="1">IF(AND(ISNUMBER($CG$59),$B$51=1),$CG$59,HLOOKUP(INDIRECT(ADDRESS(2,COLUMN())),OFFSET($CL$2,0,0,ROW()-1,84),ROW()-1,FALSE))</f>
        <v>2297.1932499999998</v>
      </c>
      <c r="CH4">
        <f ca="1">IF(AND(ISNUMBER($CH$59),$B$51=1),$CH$59,HLOOKUP(INDIRECT(ADDRESS(2,COLUMN())),OFFSET($CL$2,0,0,ROW()-1,84),ROW()-1,FALSE))</f>
        <v>2623.2694999999999</v>
      </c>
      <c r="CI4">
        <f ca="1">IF(AND(ISNUMBER($CI$59),$B$51=1),$CI$59,HLOOKUP(INDIRECT(ADDRESS(2,COLUMN())),OFFSET($CL$2,0,0,ROW()-1,84),ROW()-1,FALSE))</f>
        <v>2765.4637499999999</v>
      </c>
      <c r="CJ4">
        <f ca="1">IF(AND(ISNUMBER($CJ$59),$B$51=1),$CJ$59,HLOOKUP(INDIRECT(ADDRESS(2,COLUMN())),OFFSET($CL$2,0,0,ROW()-1,84),ROW()-1,FALSE))</f>
        <v>2573.0637499999998</v>
      </c>
      <c r="CK4">
        <f ca="1">IF(AND(ISNUMBER($CK$59),$B$51=1),$CK$59,HLOOKUP(INDIRECT(ADDRESS(2,COLUMN())),OFFSET($CL$2,0,0,ROW()-1,84),ROW()-1,FALSE))</f>
        <v>2533.0645</v>
      </c>
      <c r="CL4">
        <f>3206.65</f>
        <v>3206.65</v>
      </c>
      <c r="CM4">
        <f>3328.44</f>
        <v>3328.44</v>
      </c>
      <c r="CN4">
        <f>3431.27</f>
        <v>3431.27</v>
      </c>
      <c r="CO4">
        <f>3345.55</f>
        <v>3345.55</v>
      </c>
      <c r="CP4">
        <f>3409.7</f>
        <v>3409.7</v>
      </c>
      <c r="CQ4">
        <f>3264.67</f>
        <v>3264.67</v>
      </c>
      <c r="CR4">
        <f>3335.46</f>
        <v>3335.46</v>
      </c>
      <c r="CS4">
        <f>2684.43</f>
        <v>2684.43</v>
      </c>
      <c r="CT4">
        <f>2989.5</f>
        <v>2989.5</v>
      </c>
      <c r="CU4">
        <f>3252.9</f>
        <v>3252.9</v>
      </c>
      <c r="CV4">
        <f>2955.47</f>
        <v>2955.47</v>
      </c>
      <c r="CW4">
        <f>3061.84</f>
        <v>3061.84</v>
      </c>
      <c r="CX4">
        <f>3063.77</f>
        <v>3063.77</v>
      </c>
      <c r="CY4">
        <f>3262.31</f>
        <v>3262.31</v>
      </c>
      <c r="CZ4">
        <f>3286.33</f>
        <v>3286.33</v>
      </c>
      <c r="DA4">
        <f>3166.22975</f>
        <v>3166.22975</v>
      </c>
      <c r="DB4">
        <f>3122.01025</f>
        <v>3122.0102499999998</v>
      </c>
      <c r="DC4">
        <f>3042.01</f>
        <v>3042.01</v>
      </c>
      <c r="DD4">
        <f>3089.48</f>
        <v>3089.48</v>
      </c>
      <c r="DE4">
        <f>2843.53</f>
        <v>2843.53</v>
      </c>
      <c r="DF4">
        <f>3143.71</f>
        <v>3143.71</v>
      </c>
      <c r="DG4">
        <f>3292.21875</f>
        <v>3292.21875</v>
      </c>
      <c r="DH4">
        <f>3149.9815</f>
        <v>3149.9814999999999</v>
      </c>
      <c r="DI4">
        <f>2974.931</f>
        <v>2974.931</v>
      </c>
      <c r="DJ4">
        <f>3117.3595</f>
        <v>3117.3595</v>
      </c>
      <c r="DK4">
        <f>3182.281</f>
        <v>3182.2809999999999</v>
      </c>
      <c r="DL4">
        <f>3123.5595</f>
        <v>3123.5594999999998</v>
      </c>
      <c r="DM4">
        <f>3114.5065</f>
        <v>3114.5065</v>
      </c>
      <c r="DN4">
        <f>3216.90425</f>
        <v>3216.90425</v>
      </c>
      <c r="DO4">
        <f>3091.28075</f>
        <v>3091.2807499999999</v>
      </c>
      <c r="DP4">
        <f>3270.57475</f>
        <v>3270.5747500000002</v>
      </c>
      <c r="DQ4">
        <f>2881.58675</f>
        <v>2881.5867499999999</v>
      </c>
      <c r="DR4">
        <f>3156.02175</f>
        <v>3156.0217499999999</v>
      </c>
      <c r="DS4">
        <f>3261.8345</f>
        <v>3261.8344999999999</v>
      </c>
      <c r="DT4">
        <f>3134.6465</f>
        <v>3134.6464999999998</v>
      </c>
      <c r="DU4">
        <f>3238.69375</f>
        <v>3238.6937499999999</v>
      </c>
      <c r="DV4">
        <f>3207.67175</f>
        <v>3207.67175</v>
      </c>
      <c r="DW4">
        <f>3174.6955</f>
        <v>3174.6954999999998</v>
      </c>
      <c r="DX4">
        <f>3016.32</f>
        <v>3016.32</v>
      </c>
      <c r="DY4">
        <f>2907.67175</f>
        <v>2907.67175</v>
      </c>
      <c r="DZ4">
        <f>2806.7205</f>
        <v>2806.7204999999999</v>
      </c>
      <c r="EA4">
        <f>2843.48425</f>
        <v>2843.48425</v>
      </c>
      <c r="EB4">
        <f>3197.87925</f>
        <v>3197.87925</v>
      </c>
      <c r="EC4">
        <f>2898.68675</f>
        <v>2898.6867499999998</v>
      </c>
      <c r="ED4">
        <f>3182.59925</f>
        <v>3182.5992500000002</v>
      </c>
      <c r="EE4">
        <f>3200.16625</f>
        <v>3200.1662500000002</v>
      </c>
      <c r="EF4">
        <f>3267.698</f>
        <v>3267.6979999999999</v>
      </c>
      <c r="EG4">
        <f>3234.3985</f>
        <v>3234.3984999999998</v>
      </c>
      <c r="EH4">
        <f>3093.85625</f>
        <v>3093.8562499999998</v>
      </c>
      <c r="EI4">
        <f>3133.74025</f>
        <v>3133.7402499999998</v>
      </c>
      <c r="EJ4">
        <f>3235.35225</f>
        <v>3235.3522499999999</v>
      </c>
      <c r="EK4">
        <f>2996.988</f>
        <v>2996.9879999999998</v>
      </c>
      <c r="EL4">
        <f>3137.76375</f>
        <v>3137.7637500000001</v>
      </c>
      <c r="EM4">
        <f>2992.129</f>
        <v>2992.1289999999999</v>
      </c>
      <c r="EN4">
        <f>3163.9035</f>
        <v>3163.9034999999999</v>
      </c>
      <c r="EO4">
        <f>2740.5305</f>
        <v>2740.5304999999998</v>
      </c>
      <c r="EP4">
        <f>2999.11</f>
        <v>2999.11</v>
      </c>
      <c r="EQ4">
        <f>3131.34575</f>
        <v>3131.34575</v>
      </c>
      <c r="ER4">
        <f>3014.70975</f>
        <v>3014.70975</v>
      </c>
      <c r="ES4">
        <f>3153.06275</f>
        <v>3153.0627500000001</v>
      </c>
      <c r="ET4">
        <f>2988.9325</f>
        <v>2988.9324999999999</v>
      </c>
      <c r="EU4">
        <f>3156.342</f>
        <v>3156.3420000000001</v>
      </c>
      <c r="EV4">
        <f>3133.53875</f>
        <v>3133.5387500000002</v>
      </c>
      <c r="EW4">
        <f>3058.653</f>
        <v>3058.6529999999998</v>
      </c>
      <c r="EX4">
        <f>3182.81155</f>
        <v>3182.8115499999999</v>
      </c>
      <c r="EY4">
        <f>2915.2598</f>
        <v>2915.2597999999998</v>
      </c>
      <c r="EZ4">
        <f>3048.8145</f>
        <v>3048.8145</v>
      </c>
      <c r="FA4">
        <f>2822.93</f>
        <v>2822.93</v>
      </c>
      <c r="FB4">
        <f>2992.881</f>
        <v>2992.8809999999999</v>
      </c>
      <c r="FC4">
        <f>2958.14125</f>
        <v>2958.1412500000001</v>
      </c>
      <c r="FD4">
        <f>2977.07025</f>
        <v>2977.0702500000002</v>
      </c>
      <c r="FE4">
        <f>2957.14625</f>
        <v>2957.1462499999998</v>
      </c>
      <c r="FF4">
        <f>2800.0115</f>
        <v>2800.0115000000001</v>
      </c>
      <c r="FG4">
        <f>2947.37225</f>
        <v>2947.3722499999999</v>
      </c>
      <c r="FH4">
        <f>2876.976</f>
        <v>2876.9760000000001</v>
      </c>
      <c r="FI4">
        <f>2822.429</f>
        <v>2822.4290000000001</v>
      </c>
      <c r="FJ4">
        <f>2990.915</f>
        <v>2990.915</v>
      </c>
      <c r="FK4">
        <f>2724.418</f>
        <v>2724.4180000000001</v>
      </c>
      <c r="FL4">
        <f>2691.61375</f>
        <v>2691.61375</v>
      </c>
      <c r="FM4">
        <f>2297.19325</f>
        <v>2297.1932499999998</v>
      </c>
      <c r="FN4">
        <f>2623.2695</f>
        <v>2623.2694999999999</v>
      </c>
      <c r="FO4">
        <f>2765.46375</f>
        <v>2765.4637499999999</v>
      </c>
      <c r="FP4">
        <f>2573.06375</f>
        <v>2573.0637499999998</v>
      </c>
      <c r="FQ4">
        <f>2533.0645</f>
        <v>2533.0645</v>
      </c>
    </row>
    <row r="5" spans="1:173" x14ac:dyDescent="0.25">
      <c r="A5" t="str">
        <f>"Hong Kong Port Container Throughput (000 TEU)"</f>
        <v>Hong Kong Port Container Throughput (000 TEU)</v>
      </c>
      <c r="B5" t="str">
        <f>"HKCCTTL Index"</f>
        <v>HKCCTTL Index</v>
      </c>
      <c r="C5" t="str">
        <f>"PX385"</f>
        <v>PX385</v>
      </c>
      <c r="D5" t="str">
        <f>"INTERVAL_SUM"</f>
        <v>INTERVAL_SUM</v>
      </c>
      <c r="E5" t="str">
        <f>"Dynamic"</f>
        <v>Dynamic</v>
      </c>
      <c r="F5">
        <f ca="1">IF(AND(ISNUMBER($F$60),$B$51=1),$F$60,HLOOKUP(INDIRECT(ADDRESS(2,COLUMN())),OFFSET($CL$2,0,0,ROW()-1,84),ROW()-1,FALSE))</f>
        <v>1197</v>
      </c>
      <c r="G5">
        <f ca="1">IF(AND(ISNUMBER($G$60),$B$51=1),$G$60,HLOOKUP(INDIRECT(ADDRESS(2,COLUMN())),OFFSET($CL$2,0,0,ROW()-1,84),ROW()-1,FALSE))</f>
        <v>1231</v>
      </c>
      <c r="H5">
        <f ca="1">IF(AND(ISNUMBER($H$60),$B$51=1),$H$60,HLOOKUP(INDIRECT(ADDRESS(2,COLUMN())),OFFSET($CL$2,0,0,ROW()-1,84),ROW()-1,FALSE))</f>
        <v>1217</v>
      </c>
      <c r="I5">
        <f ca="1">IF(AND(ISNUMBER($I$60),$B$51=1),$I$60,HLOOKUP(INDIRECT(ADDRESS(2,COLUMN())),OFFSET($CL$2,0,0,ROW()-1,84),ROW()-1,FALSE))</f>
        <v>1207</v>
      </c>
      <c r="J5">
        <f ca="1">IF(AND(ISNUMBER($J$60),$B$51=1),$J$60,HLOOKUP(INDIRECT(ADDRESS(2,COLUMN())),OFFSET($CL$2,0,0,ROW()-1,84),ROW()-1,FALSE))</f>
        <v>1236</v>
      </c>
      <c r="K5">
        <f ca="1">IF(AND(ISNUMBER($K$60),$B$51=1),$K$60,HLOOKUP(INDIRECT(ADDRESS(2,COLUMN())),OFFSET($CL$2,0,0,ROW()-1,84),ROW()-1,FALSE))</f>
        <v>1246</v>
      </c>
      <c r="L5">
        <f ca="1">IF(AND(ISNUMBER($L$60),$B$51=1),$L$60,HLOOKUP(INDIRECT(ADDRESS(2,COLUMN())),OFFSET($CL$2,0,0,ROW()-1,84),ROW()-1,FALSE))</f>
        <v>1307</v>
      </c>
      <c r="M5">
        <f ca="1">IF(AND(ISNUMBER($M$60),$B$51=1),$M$60,HLOOKUP(INDIRECT(ADDRESS(2,COLUMN())),OFFSET($CL$2,0,0,ROW()-1,84),ROW()-1,FALSE))</f>
        <v>1058</v>
      </c>
      <c r="N5">
        <f ca="1">IF(AND(ISNUMBER($N$60),$B$51=1),$N$60,HLOOKUP(INDIRECT(ADDRESS(2,COLUMN())),OFFSET($CL$2,0,0,ROW()-1,84),ROW()-1,FALSE))</f>
        <v>1067</v>
      </c>
      <c r="O5">
        <f ca="1">IF(AND(ISNUMBER($O$60),$B$51=1),$O$60,HLOOKUP(INDIRECT(ADDRESS(2,COLUMN())),OFFSET($CL$2,0,0,ROW()-1,84),ROW()-1,FALSE))</f>
        <v>1410</v>
      </c>
      <c r="P5">
        <f ca="1">IF(AND(ISNUMBER($P$60),$B$51=1),$P$60,HLOOKUP(INDIRECT(ADDRESS(2,COLUMN())),OFFSET($CL$2,0,0,ROW()-1,84),ROW()-1,FALSE))</f>
        <v>1359</v>
      </c>
      <c r="Q5">
        <f ca="1">IF(AND(ISNUMBER($Q$60),$B$51=1),$Q$60,HLOOKUP(INDIRECT(ADDRESS(2,COLUMN())),OFFSET($CL$2,0,0,ROW()-1,84),ROW()-1,FALSE))</f>
        <v>1280</v>
      </c>
      <c r="R5">
        <f ca="1">IF(AND(ISNUMBER($R$60),$B$51=1),$R$60,HLOOKUP(INDIRECT(ADDRESS(2,COLUMN())),OFFSET($CL$2,0,0,ROW()-1,84),ROW()-1,FALSE))</f>
        <v>1392</v>
      </c>
      <c r="S5">
        <f ca="1">IF(AND(ISNUMBER($S$60),$B$51=1),$S$60,HLOOKUP(INDIRECT(ADDRESS(2,COLUMN())),OFFSET($CL$2,0,0,ROW()-1,84),ROW()-1,FALSE))</f>
        <v>1359</v>
      </c>
      <c r="T5">
        <f ca="1">IF(AND(ISNUMBER($T$60),$B$51=1),$T$60,HLOOKUP(INDIRECT(ADDRESS(2,COLUMN())),OFFSET($CL$2,0,0,ROW()-1,84),ROW()-1,FALSE))</f>
        <v>1458</v>
      </c>
      <c r="U5">
        <f ca="1">IF(AND(ISNUMBER($U$60),$B$51=1),$U$60,HLOOKUP(INDIRECT(ADDRESS(2,COLUMN())),OFFSET($CL$2,0,0,ROW()-1,84),ROW()-1,FALSE))</f>
        <v>1588</v>
      </c>
      <c r="V5">
        <f ca="1">IF(AND(ISNUMBER($V$60),$B$51=1),$V$60,HLOOKUP(INDIRECT(ADDRESS(2,COLUMN())),OFFSET($CL$2,0,0,ROW()-1,84),ROW()-1,FALSE))</f>
        <v>1519</v>
      </c>
      <c r="W5">
        <f ca="1">IF(AND(ISNUMBER($W$60),$B$51=1),$W$60,HLOOKUP(INDIRECT(ADDRESS(2,COLUMN())),OFFSET($CL$2,0,0,ROW()-1,84),ROW()-1,FALSE))</f>
        <v>1616</v>
      </c>
      <c r="X5">
        <f ca="1">IF(AND(ISNUMBER($X$60),$B$51=1),$X$60,HLOOKUP(INDIRECT(ADDRESS(2,COLUMN())),OFFSET($CL$2,0,0,ROW()-1,84),ROW()-1,FALSE))</f>
        <v>1434</v>
      </c>
      <c r="Y5">
        <f ca="1">IF(AND(ISNUMBER($Y$60),$B$51=1),$Y$60,HLOOKUP(INDIRECT(ADDRESS(2,COLUMN())),OFFSET($CL$2,0,0,ROW()-1,84),ROW()-1,FALSE))</f>
        <v>1051</v>
      </c>
      <c r="Z5">
        <f ca="1">IF(AND(ISNUMBER($Z$60),$B$51=1),$Z$60,HLOOKUP(INDIRECT(ADDRESS(2,COLUMN())),OFFSET($CL$2,0,0,ROW()-1,84),ROW()-1,FALSE))</f>
        <v>1221</v>
      </c>
      <c r="AA5">
        <f ca="1">IF(AND(ISNUMBER($AA$60),$B$51=1),$AA$60,HLOOKUP(INDIRECT(ADDRESS(2,COLUMN())),OFFSET($CL$2,0,0,ROW()-1,84),ROW()-1,FALSE))</f>
        <v>1485</v>
      </c>
      <c r="AB5">
        <f ca="1">IF(AND(ISNUMBER($AB$60),$B$51=1),$AB$60,HLOOKUP(INDIRECT(ADDRESS(2,COLUMN())),OFFSET($CL$2,0,0,ROW()-1,84),ROW()-1,FALSE))</f>
        <v>1546</v>
      </c>
      <c r="AC5">
        <f ca="1">IF(AND(ISNUMBER($AC$60),$B$51=1),$AC$60,HLOOKUP(INDIRECT(ADDRESS(2,COLUMN())),OFFSET($CL$2,0,0,ROW()-1,84),ROW()-1,FALSE))</f>
        <v>1420</v>
      </c>
      <c r="AD5">
        <f ca="1">IF(AND(ISNUMBER($AD$60),$B$51=1),$AD$60,HLOOKUP(INDIRECT(ADDRESS(2,COLUMN())),OFFSET($CL$2,0,0,ROW()-1,84),ROW()-1,FALSE))</f>
        <v>1534</v>
      </c>
      <c r="AE5">
        <f ca="1">IF(AND(ISNUMBER($AE$60),$B$51=1),$AE$60,HLOOKUP(INDIRECT(ADDRESS(2,COLUMN())),OFFSET($CL$2,0,0,ROW()-1,84),ROW()-1,FALSE))</f>
        <v>1526</v>
      </c>
      <c r="AF5">
        <f ca="1">IF(AND(ISNUMBER($AF$60),$B$51=1),$AF$60,HLOOKUP(INDIRECT(ADDRESS(2,COLUMN())),OFFSET($CL$2,0,0,ROW()-1,84),ROW()-1,FALSE))</f>
        <v>1581</v>
      </c>
      <c r="AG5">
        <f ca="1">IF(AND(ISNUMBER($AG$60),$B$51=1),$AG$60,HLOOKUP(INDIRECT(ADDRESS(2,COLUMN())),OFFSET($CL$2,0,0,ROW()-1,84),ROW()-1,FALSE))</f>
        <v>1485</v>
      </c>
      <c r="AH5">
        <f ca="1">IF(AND(ISNUMBER($AH$60),$B$51=1),$AH$60,HLOOKUP(INDIRECT(ADDRESS(2,COLUMN())),OFFSET($CL$2,0,0,ROW()-1,84),ROW()-1,FALSE))</f>
        <v>1592</v>
      </c>
      <c r="AI5">
        <f ca="1">IF(AND(ISNUMBER($AI$60),$B$51=1),$AI$60,HLOOKUP(INDIRECT(ADDRESS(2,COLUMN())),OFFSET($CL$2,0,0,ROW()-1,84),ROW()-1,FALSE))</f>
        <v>1517</v>
      </c>
      <c r="AJ5">
        <f ca="1">IF(AND(ISNUMBER($AJ$60),$B$51=1),$AJ$60,HLOOKUP(INDIRECT(ADDRESS(2,COLUMN())),OFFSET($CL$2,0,0,ROW()-1,84),ROW()-1,FALSE))</f>
        <v>1557</v>
      </c>
      <c r="AK5">
        <f ca="1">IF(AND(ISNUMBER($AK$60),$B$51=1),$AK$60,HLOOKUP(INDIRECT(ADDRESS(2,COLUMN())),OFFSET($CL$2,0,0,ROW()-1,84),ROW()-1,FALSE))</f>
        <v>1019</v>
      </c>
      <c r="AL5">
        <f ca="1">IF(AND(ISNUMBER($AL$60),$B$51=1),$AL$60,HLOOKUP(INDIRECT(ADDRESS(2,COLUMN())),OFFSET($CL$2,0,0,ROW()-1,84),ROW()-1,FALSE))</f>
        <v>1538</v>
      </c>
      <c r="AM5">
        <f ca="1">IF(AND(ISNUMBER($AM$60),$B$51=1),$AM$60,HLOOKUP(INDIRECT(ADDRESS(2,COLUMN())),OFFSET($CL$2,0,0,ROW()-1,84),ROW()-1,FALSE))</f>
        <v>1634</v>
      </c>
      <c r="AN5">
        <f ca="1">IF(AND(ISNUMBER($AN$60),$B$51=1),$AN$60,HLOOKUP(INDIRECT(ADDRESS(2,COLUMN())),OFFSET($CL$2,0,0,ROW()-1,84),ROW()-1,FALSE))</f>
        <v>1529</v>
      </c>
      <c r="AO5">
        <f ca="1">IF(AND(ISNUMBER($AO$60),$B$51=1),$AO$60,HLOOKUP(INDIRECT(ADDRESS(2,COLUMN())),OFFSET($CL$2,0,0,ROW()-1,84),ROW()-1,FALSE))</f>
        <v>1499</v>
      </c>
      <c r="AP5">
        <f ca="1">IF(AND(ISNUMBER($AP$60),$B$51=1),$AP$60,HLOOKUP(INDIRECT(ADDRESS(2,COLUMN())),OFFSET($CL$2,0,0,ROW()-1,84),ROW()-1,FALSE))</f>
        <v>1538</v>
      </c>
      <c r="AQ5">
        <f ca="1">IF(AND(ISNUMBER($AQ$60),$B$51=1),$AQ$60,HLOOKUP(INDIRECT(ADDRESS(2,COLUMN())),OFFSET($CL$2,0,0,ROW()-1,84),ROW()-1,FALSE))</f>
        <v>1573</v>
      </c>
      <c r="AR5">
        <f ca="1">IF(AND(ISNUMBER($AR$60),$B$51=1),$AR$60,HLOOKUP(INDIRECT(ADDRESS(2,COLUMN())),OFFSET($CL$2,0,0,ROW()-1,84),ROW()-1,FALSE))</f>
        <v>1588</v>
      </c>
      <c r="AS5">
        <f ca="1">IF(AND(ISNUMBER($AS$60),$B$51=1),$AS$60,HLOOKUP(INDIRECT(ADDRESS(2,COLUMN())),OFFSET($CL$2,0,0,ROW()-1,84),ROW()-1,FALSE))</f>
        <v>1533</v>
      </c>
      <c r="AT5">
        <f ca="1">IF(AND(ISNUMBER($AT$60),$B$51=1),$AT$60,HLOOKUP(INDIRECT(ADDRESS(2,COLUMN())),OFFSET($CL$2,0,0,ROW()-1,84),ROW()-1,FALSE))</f>
        <v>1515</v>
      </c>
      <c r="AU5">
        <f ca="1">IF(AND(ISNUMBER($AU$60),$B$51=1),$AU$60,HLOOKUP(INDIRECT(ADDRESS(2,COLUMN())),OFFSET($CL$2,0,0,ROW()-1,84),ROW()-1,FALSE))</f>
        <v>1462</v>
      </c>
      <c r="AV5">
        <f ca="1">IF(AND(ISNUMBER($AV$60),$B$51=1),$AV$60,HLOOKUP(INDIRECT(ADDRESS(2,COLUMN())),OFFSET($CL$2,0,0,ROW()-1,84),ROW()-1,FALSE))</f>
        <v>1515</v>
      </c>
      <c r="AW5">
        <f ca="1">IF(AND(ISNUMBER($AW$60),$B$51=1),$AW$60,HLOOKUP(INDIRECT(ADDRESS(2,COLUMN())),OFFSET($CL$2,0,0,ROW()-1,84),ROW()-1,FALSE))</f>
        <v>1160</v>
      </c>
      <c r="AX5">
        <f ca="1">IF(AND(ISNUMBER($AX$60),$B$51=1),$AX$60,HLOOKUP(INDIRECT(ADDRESS(2,COLUMN())),OFFSET($CL$2,0,0,ROW()-1,84),ROW()-1,FALSE))</f>
        <v>1425</v>
      </c>
      <c r="AY5">
        <f ca="1">IF(AND(ISNUMBER($AY$60),$B$51=1),$AY$60,HLOOKUP(INDIRECT(ADDRESS(2,COLUMN())),OFFSET($CL$2,0,0,ROW()-1,84),ROW()-1,FALSE))</f>
        <v>1524</v>
      </c>
      <c r="AZ5">
        <f ca="1">IF(AND(ISNUMBER($AZ$60),$B$51=1),$AZ$60,HLOOKUP(INDIRECT(ADDRESS(2,COLUMN())),OFFSET($CL$2,0,0,ROW()-1,84),ROW()-1,FALSE))</f>
        <v>1511</v>
      </c>
      <c r="BA5">
        <f ca="1">IF(AND(ISNUMBER($BA$60),$B$51=1),$BA$60,HLOOKUP(INDIRECT(ADDRESS(2,COLUMN())),OFFSET($CL$2,0,0,ROW()-1,84),ROW()-1,FALSE))</f>
        <v>1553</v>
      </c>
      <c r="BB5">
        <f ca="1">IF(AND(ISNUMBER($BB$60),$B$51=1),$BB$60,HLOOKUP(INDIRECT(ADDRESS(2,COLUMN())),OFFSET($CL$2,0,0,ROW()-1,84),ROW()-1,FALSE))</f>
        <v>1484</v>
      </c>
      <c r="BC5">
        <f ca="1">IF(AND(ISNUMBER($BC$60),$B$51=1),$BC$60,HLOOKUP(INDIRECT(ADDRESS(2,COLUMN())),OFFSET($CL$2,0,0,ROW()-1,84),ROW()-1,FALSE))</f>
        <v>1584</v>
      </c>
      <c r="BD5">
        <f ca="1">IF(AND(ISNUMBER($BD$60),$B$51=1),$BD$60,HLOOKUP(INDIRECT(ADDRESS(2,COLUMN())),OFFSET($CL$2,0,0,ROW()-1,84),ROW()-1,FALSE))</f>
        <v>1549</v>
      </c>
      <c r="BE5">
        <f ca="1">IF(AND(ISNUMBER($BE$60),$B$51=1),$BE$60,HLOOKUP(INDIRECT(ADDRESS(2,COLUMN())),OFFSET($CL$2,0,0,ROW()-1,84),ROW()-1,FALSE))</f>
        <v>1527</v>
      </c>
      <c r="BF5">
        <f ca="1">IF(AND(ISNUMBER($BF$60),$B$51=1),$BF$60,HLOOKUP(INDIRECT(ADDRESS(2,COLUMN())),OFFSET($CL$2,0,0,ROW()-1,84),ROW()-1,FALSE))</f>
        <v>1572</v>
      </c>
      <c r="BG5">
        <f ca="1">IF(AND(ISNUMBER($BG$60),$B$51=1),$BG$60,HLOOKUP(INDIRECT(ADDRESS(2,COLUMN())),OFFSET($CL$2,0,0,ROW()-1,84),ROW()-1,FALSE))</f>
        <v>1574</v>
      </c>
      <c r="BH5">
        <f ca="1">IF(AND(ISNUMBER($BH$60),$B$51=1),$BH$60,HLOOKUP(INDIRECT(ADDRESS(2,COLUMN())),OFFSET($CL$2,0,0,ROW()-1,84),ROW()-1,FALSE))</f>
        <v>1567</v>
      </c>
      <c r="BI5">
        <f ca="1">IF(AND(ISNUMBER($BI$60),$B$51=1),$BI$60,HLOOKUP(INDIRECT(ADDRESS(2,COLUMN())),OFFSET($CL$2,0,0,ROW()-1,84),ROW()-1,FALSE))</f>
        <v>1162</v>
      </c>
      <c r="BJ5">
        <f ca="1">IF(AND(ISNUMBER($BJ$60),$B$51=1),$BJ$60,HLOOKUP(INDIRECT(ADDRESS(2,COLUMN())),OFFSET($CL$2,0,0,ROW()-1,84),ROW()-1,FALSE))</f>
        <v>1695</v>
      </c>
      <c r="BK5">
        <f ca="1">IF(AND(ISNUMBER($BK$60),$B$51=1),$BK$60,HLOOKUP(INDIRECT(ADDRESS(2,COLUMN())),OFFSET($CL$2,0,0,ROW()-1,84),ROW()-1,FALSE))</f>
        <v>1674</v>
      </c>
      <c r="BL5">
        <f ca="1">IF(AND(ISNUMBER($BL$60),$B$51=1),$BL$60,HLOOKUP(INDIRECT(ADDRESS(2,COLUMN())),OFFSET($CL$2,0,0,ROW()-1,84),ROW()-1,FALSE))</f>
        <v>1639</v>
      </c>
      <c r="BM5">
        <f ca="1">IF(AND(ISNUMBER($BM$60),$B$51=1),$BM$60,HLOOKUP(INDIRECT(ADDRESS(2,COLUMN())),OFFSET($CL$2,0,0,ROW()-1,84),ROW()-1,FALSE))</f>
        <v>1646</v>
      </c>
      <c r="BN5">
        <f ca="1">IF(AND(ISNUMBER($BN$60),$B$51=1),$BN$60,HLOOKUP(INDIRECT(ADDRESS(2,COLUMN())),OFFSET($CL$2,0,0,ROW()-1,84),ROW()-1,FALSE))</f>
        <v>1487</v>
      </c>
      <c r="BO5">
        <f ca="1">IF(AND(ISNUMBER($BO$60),$B$51=1),$BO$60,HLOOKUP(INDIRECT(ADDRESS(2,COLUMN())),OFFSET($CL$2,0,0,ROW()-1,84),ROW()-1,FALSE))</f>
        <v>1616</v>
      </c>
      <c r="BP5">
        <f ca="1">IF(AND(ISNUMBER($BP$60),$B$51=1),$BP$60,HLOOKUP(INDIRECT(ADDRESS(2,COLUMN())),OFFSET($CL$2,0,0,ROW()-1,84),ROW()-1,FALSE))</f>
        <v>1666</v>
      </c>
      <c r="BQ5">
        <f ca="1">IF(AND(ISNUMBER($BQ$60),$B$51=1),$BQ$60,HLOOKUP(INDIRECT(ADDRESS(2,COLUMN())),OFFSET($CL$2,0,0,ROW()-1,84),ROW()-1,FALSE))</f>
        <v>1683</v>
      </c>
      <c r="BR5">
        <f ca="1">IF(AND(ISNUMBER($BR$60),$B$51=1),$BR$60,HLOOKUP(INDIRECT(ADDRESS(2,COLUMN())),OFFSET($CL$2,0,0,ROW()-1,84),ROW()-1,FALSE))</f>
        <v>1696</v>
      </c>
      <c r="BS5">
        <f ca="1">IF(AND(ISNUMBER($BS$60),$B$51=1),$BS$60,HLOOKUP(INDIRECT(ADDRESS(2,COLUMN())),OFFSET($CL$2,0,0,ROW()-1,84),ROW()-1,FALSE))</f>
        <v>1601</v>
      </c>
      <c r="BT5">
        <f ca="1">IF(AND(ISNUMBER($BT$60),$B$51=1),$BT$60,HLOOKUP(INDIRECT(ADDRESS(2,COLUMN())),OFFSET($CL$2,0,0,ROW()-1,84),ROW()-1,FALSE))</f>
        <v>1628</v>
      </c>
      <c r="BU5">
        <f ca="1">IF(AND(ISNUMBER($BU$60),$B$51=1),$BU$60,HLOOKUP(INDIRECT(ADDRESS(2,COLUMN())),OFFSET($CL$2,0,0,ROW()-1,84),ROW()-1,FALSE))</f>
        <v>1414</v>
      </c>
      <c r="BV5">
        <f ca="1">IF(AND(ISNUMBER($BV$60),$B$51=1),$BV$60,HLOOKUP(INDIRECT(ADDRESS(2,COLUMN())),OFFSET($CL$2,0,0,ROW()-1,84),ROW()-1,FALSE))</f>
        <v>1846</v>
      </c>
      <c r="BW5">
        <f ca="1">IF(AND(ISNUMBER($BW$60),$B$51=1),$BW$60,HLOOKUP(INDIRECT(ADDRESS(2,COLUMN())),OFFSET($CL$2,0,0,ROW()-1,84),ROW()-1,FALSE))</f>
        <v>1780</v>
      </c>
      <c r="BX5">
        <f ca="1">IF(AND(ISNUMBER($BX$60),$B$51=1),$BX$60,HLOOKUP(INDIRECT(ADDRESS(2,COLUMN())),OFFSET($CL$2,0,0,ROW()-1,84),ROW()-1,FALSE))</f>
        <v>1757</v>
      </c>
      <c r="BY5">
        <f ca="1">IF(AND(ISNUMBER($BY$60),$B$51=1),$BY$60,HLOOKUP(INDIRECT(ADDRESS(2,COLUMN())),OFFSET($CL$2,0,0,ROW()-1,84),ROW()-1,FALSE))</f>
        <v>1676</v>
      </c>
      <c r="BZ5">
        <f ca="1">IF(AND(ISNUMBER($BZ$60),$B$51=1),$BZ$60,HLOOKUP(INDIRECT(ADDRESS(2,COLUMN())),OFFSET($CL$2,0,0,ROW()-1,84),ROW()-1,FALSE))</f>
        <v>1806</v>
      </c>
      <c r="CA5">
        <f ca="1">IF(AND(ISNUMBER($CA$60),$B$51=1),$CA$60,HLOOKUP(INDIRECT(ADDRESS(2,COLUMN())),OFFSET($CL$2,0,0,ROW()-1,84),ROW()-1,FALSE))</f>
        <v>1718</v>
      </c>
      <c r="CB5">
        <f ca="1">IF(AND(ISNUMBER($CB$60),$B$51=1),$CB$60,HLOOKUP(INDIRECT(ADDRESS(2,COLUMN())),OFFSET($CL$2,0,0,ROW()-1,84),ROW()-1,FALSE))</f>
        <v>1782</v>
      </c>
      <c r="CC5">
        <f ca="1">IF(AND(ISNUMBER($CC$60),$B$51=1),$CC$60,HLOOKUP(INDIRECT(ADDRESS(2,COLUMN())),OFFSET($CL$2,0,0,ROW()-1,84),ROW()-1,FALSE))</f>
        <v>1750</v>
      </c>
      <c r="CD5">
        <f ca="1">IF(AND(ISNUMBER($CD$60),$B$51=1),$CD$60,HLOOKUP(INDIRECT(ADDRESS(2,COLUMN())),OFFSET($CL$2,0,0,ROW()-1,84),ROW()-1,FALSE))</f>
        <v>1824</v>
      </c>
      <c r="CE5">
        <f ca="1">IF(AND(ISNUMBER($CE$60),$B$51=1),$CE$60,HLOOKUP(INDIRECT(ADDRESS(2,COLUMN())),OFFSET($CL$2,0,0,ROW()-1,84),ROW()-1,FALSE))</f>
        <v>1799</v>
      </c>
      <c r="CF5">
        <f ca="1">IF(AND(ISNUMBER($CF$60),$B$51=1),$CF$60,HLOOKUP(INDIRECT(ADDRESS(2,COLUMN())),OFFSET($CL$2,0,0,ROW()-1,84),ROW()-1,FALSE))</f>
        <v>1730</v>
      </c>
      <c r="CG5">
        <f ca="1">IF(AND(ISNUMBER($CG$60),$B$51=1),$CG$60,HLOOKUP(INDIRECT(ADDRESS(2,COLUMN())),OFFSET($CL$2,0,0,ROW()-1,84),ROW()-1,FALSE))</f>
        <v>1487</v>
      </c>
      <c r="CH5">
        <f ca="1">IF(AND(ISNUMBER($CH$60),$B$51=1),$CH$60,HLOOKUP(INDIRECT(ADDRESS(2,COLUMN())),OFFSET($CL$2,0,0,ROW()-1,84),ROW()-1,FALSE))</f>
        <v>1661</v>
      </c>
      <c r="CI5">
        <f ca="1">IF(AND(ISNUMBER($CI$60),$B$51=1),$CI$60,HLOOKUP(INDIRECT(ADDRESS(2,COLUMN())),OFFSET($CL$2,0,0,ROW()-1,84),ROW()-1,FALSE))</f>
        <v>1983</v>
      </c>
      <c r="CJ5">
        <f ca="1">IF(AND(ISNUMBER($CJ$60),$B$51=1),$CJ$60,HLOOKUP(INDIRECT(ADDRESS(2,COLUMN())),OFFSET($CL$2,0,0,ROW()-1,84),ROW()-1,FALSE))</f>
        <v>1814</v>
      </c>
      <c r="CK5">
        <f ca="1">IF(AND(ISNUMBER($CK$60),$B$51=1),$CK$60,HLOOKUP(INDIRECT(ADDRESS(2,COLUMN())),OFFSET($CL$2,0,0,ROW()-1,84),ROW()-1,FALSE))</f>
        <v>1687</v>
      </c>
      <c r="CL5">
        <f>1197</f>
        <v>1197</v>
      </c>
      <c r="CM5">
        <f>1231</f>
        <v>1231</v>
      </c>
      <c r="CN5">
        <f>1217</f>
        <v>1217</v>
      </c>
      <c r="CO5">
        <f>1207</f>
        <v>1207</v>
      </c>
      <c r="CP5">
        <f>1236</f>
        <v>1236</v>
      </c>
      <c r="CQ5">
        <f>1246</f>
        <v>1246</v>
      </c>
      <c r="CR5">
        <f>1307</f>
        <v>1307</v>
      </c>
      <c r="CS5">
        <f>1058</f>
        <v>1058</v>
      </c>
      <c r="CT5">
        <f>1067</f>
        <v>1067</v>
      </c>
      <c r="CU5">
        <f>1410</f>
        <v>1410</v>
      </c>
      <c r="CV5">
        <f>1359</f>
        <v>1359</v>
      </c>
      <c r="CW5">
        <f>1280</f>
        <v>1280</v>
      </c>
      <c r="CX5">
        <f>1392</f>
        <v>1392</v>
      </c>
      <c r="CY5">
        <f>1359</f>
        <v>1359</v>
      </c>
      <c r="CZ5">
        <f>1458</f>
        <v>1458</v>
      </c>
      <c r="DA5">
        <f>1588</f>
        <v>1588</v>
      </c>
      <c r="DB5">
        <f>1519</f>
        <v>1519</v>
      </c>
      <c r="DC5">
        <f>1616</f>
        <v>1616</v>
      </c>
      <c r="DD5">
        <f>1434</f>
        <v>1434</v>
      </c>
      <c r="DE5">
        <f>1051</f>
        <v>1051</v>
      </c>
      <c r="DF5">
        <f>1221</f>
        <v>1221</v>
      </c>
      <c r="DG5">
        <f>1485</f>
        <v>1485</v>
      </c>
      <c r="DH5">
        <f>1546</f>
        <v>1546</v>
      </c>
      <c r="DI5">
        <f>1420</f>
        <v>1420</v>
      </c>
      <c r="DJ5">
        <f>1534</f>
        <v>1534</v>
      </c>
      <c r="DK5">
        <f>1526</f>
        <v>1526</v>
      </c>
      <c r="DL5">
        <f>1581</f>
        <v>1581</v>
      </c>
      <c r="DM5">
        <f>1485</f>
        <v>1485</v>
      </c>
      <c r="DN5">
        <f>1592</f>
        <v>1592</v>
      </c>
      <c r="DO5">
        <f>1517</f>
        <v>1517</v>
      </c>
      <c r="DP5">
        <f>1557</f>
        <v>1557</v>
      </c>
      <c r="DQ5">
        <f>1019</f>
        <v>1019</v>
      </c>
      <c r="DR5">
        <f>1538</f>
        <v>1538</v>
      </c>
      <c r="DS5">
        <f>1634</f>
        <v>1634</v>
      </c>
      <c r="DT5">
        <f>1529</f>
        <v>1529</v>
      </c>
      <c r="DU5">
        <f>1499</f>
        <v>1499</v>
      </c>
      <c r="DV5">
        <f>1538</f>
        <v>1538</v>
      </c>
      <c r="DW5">
        <f>1573</f>
        <v>1573</v>
      </c>
      <c r="DX5">
        <f>1588</f>
        <v>1588</v>
      </c>
      <c r="DY5">
        <f>1533</f>
        <v>1533</v>
      </c>
      <c r="DZ5">
        <f>1515</f>
        <v>1515</v>
      </c>
      <c r="EA5">
        <f>1462</f>
        <v>1462</v>
      </c>
      <c r="EB5">
        <f>1515</f>
        <v>1515</v>
      </c>
      <c r="EC5">
        <f>1160</f>
        <v>1160</v>
      </c>
      <c r="ED5">
        <f>1425</f>
        <v>1425</v>
      </c>
      <c r="EE5">
        <f>1524</f>
        <v>1524</v>
      </c>
      <c r="EF5">
        <f>1511</f>
        <v>1511</v>
      </c>
      <c r="EG5">
        <f>1553</f>
        <v>1553</v>
      </c>
      <c r="EH5">
        <f>1484</f>
        <v>1484</v>
      </c>
      <c r="EI5">
        <f>1584</f>
        <v>1584</v>
      </c>
      <c r="EJ5">
        <f>1549</f>
        <v>1549</v>
      </c>
      <c r="EK5">
        <f>1527</f>
        <v>1527</v>
      </c>
      <c r="EL5">
        <f>1572</f>
        <v>1572</v>
      </c>
      <c r="EM5">
        <f>1574</f>
        <v>1574</v>
      </c>
      <c r="EN5">
        <f>1567</f>
        <v>1567</v>
      </c>
      <c r="EO5">
        <f>1162</f>
        <v>1162</v>
      </c>
      <c r="EP5">
        <f>1695</f>
        <v>1695</v>
      </c>
      <c r="EQ5">
        <f>1674</f>
        <v>1674</v>
      </c>
      <c r="ER5">
        <f>1639</f>
        <v>1639</v>
      </c>
      <c r="ES5">
        <f>1646</f>
        <v>1646</v>
      </c>
      <c r="ET5">
        <f>1487</f>
        <v>1487</v>
      </c>
      <c r="EU5">
        <f>1616</f>
        <v>1616</v>
      </c>
      <c r="EV5">
        <f>1666</f>
        <v>1666</v>
      </c>
      <c r="EW5">
        <f>1683</f>
        <v>1683</v>
      </c>
      <c r="EX5">
        <f>1696</f>
        <v>1696</v>
      </c>
      <c r="EY5">
        <f>1601</f>
        <v>1601</v>
      </c>
      <c r="EZ5">
        <f>1628</f>
        <v>1628</v>
      </c>
      <c r="FA5">
        <f>1414</f>
        <v>1414</v>
      </c>
      <c r="FB5">
        <f>1846</f>
        <v>1846</v>
      </c>
      <c r="FC5">
        <f>1780</f>
        <v>1780</v>
      </c>
      <c r="FD5">
        <f>1757</f>
        <v>1757</v>
      </c>
      <c r="FE5">
        <f>1676</f>
        <v>1676</v>
      </c>
      <c r="FF5">
        <f>1806</f>
        <v>1806</v>
      </c>
      <c r="FG5">
        <f>1718</f>
        <v>1718</v>
      </c>
      <c r="FH5">
        <f>1782</f>
        <v>1782</v>
      </c>
      <c r="FI5">
        <f>1750</f>
        <v>1750</v>
      </c>
      <c r="FJ5">
        <f>1824</f>
        <v>1824</v>
      </c>
      <c r="FK5">
        <f>1799</f>
        <v>1799</v>
      </c>
      <c r="FL5">
        <f>1730</f>
        <v>1730</v>
      </c>
      <c r="FM5">
        <f>1487</f>
        <v>1487</v>
      </c>
      <c r="FN5">
        <f>1661</f>
        <v>1661</v>
      </c>
      <c r="FO5">
        <f>1983</f>
        <v>1983</v>
      </c>
      <c r="FP5">
        <f>1814</f>
        <v>1814</v>
      </c>
      <c r="FQ5">
        <f>1687</f>
        <v>1687</v>
      </c>
    </row>
    <row r="6" spans="1:173" x14ac:dyDescent="0.25">
      <c r="A6" t="str">
        <f>"Hong Kong Maritime Industry Council"</f>
        <v>Hong Kong Maritime Industry Council</v>
      </c>
      <c r="B6" t="str">
        <f>""</f>
        <v/>
      </c>
      <c r="E6" t="str">
        <f>"Heading"</f>
        <v>Heading</v>
      </c>
      <c r="CL6" t="str">
        <f>""</f>
        <v/>
      </c>
      <c r="CM6" t="str">
        <f>""</f>
        <v/>
      </c>
      <c r="CN6" t="str">
        <f>""</f>
        <v/>
      </c>
      <c r="CO6" t="str">
        <f>""</f>
        <v/>
      </c>
      <c r="CP6" t="str">
        <f>""</f>
        <v/>
      </c>
      <c r="CQ6" t="str">
        <f>""</f>
        <v/>
      </c>
      <c r="CR6" t="str">
        <f>""</f>
        <v/>
      </c>
      <c r="CS6" t="str">
        <f>""</f>
        <v/>
      </c>
      <c r="CT6" t="str">
        <f>""</f>
        <v/>
      </c>
      <c r="CU6" t="str">
        <f>""</f>
        <v/>
      </c>
      <c r="CV6" t="str">
        <f>""</f>
        <v/>
      </c>
      <c r="CW6" t="str">
        <f>""</f>
        <v/>
      </c>
      <c r="CX6" t="str">
        <f>""</f>
        <v/>
      </c>
      <c r="CY6" t="str">
        <f>""</f>
        <v/>
      </c>
      <c r="CZ6" t="str">
        <f>""</f>
        <v/>
      </c>
      <c r="DA6" t="str">
        <f>""</f>
        <v/>
      </c>
      <c r="DB6" t="str">
        <f>""</f>
        <v/>
      </c>
      <c r="DC6" t="str">
        <f>""</f>
        <v/>
      </c>
      <c r="DD6" t="str">
        <f>""</f>
        <v/>
      </c>
      <c r="DE6" t="str">
        <f>""</f>
        <v/>
      </c>
      <c r="DF6" t="str">
        <f>""</f>
        <v/>
      </c>
      <c r="DG6" t="str">
        <f>""</f>
        <v/>
      </c>
      <c r="DH6" t="str">
        <f>""</f>
        <v/>
      </c>
      <c r="DI6" t="str">
        <f>""</f>
        <v/>
      </c>
      <c r="DJ6" t="str">
        <f>""</f>
        <v/>
      </c>
      <c r="DK6" t="str">
        <f>""</f>
        <v/>
      </c>
      <c r="DL6" t="str">
        <f>""</f>
        <v/>
      </c>
      <c r="DM6" t="str">
        <f>""</f>
        <v/>
      </c>
      <c r="DN6" t="str">
        <f>""</f>
        <v/>
      </c>
      <c r="DO6" t="str">
        <f>""</f>
        <v/>
      </c>
      <c r="DP6" t="str">
        <f>""</f>
        <v/>
      </c>
      <c r="DQ6" t="str">
        <f>""</f>
        <v/>
      </c>
      <c r="DR6" t="str">
        <f>""</f>
        <v/>
      </c>
      <c r="DS6" t="str">
        <f>""</f>
        <v/>
      </c>
      <c r="DT6" t="str">
        <f>""</f>
        <v/>
      </c>
      <c r="DU6" t="str">
        <f>""</f>
        <v/>
      </c>
      <c r="DV6" t="str">
        <f>""</f>
        <v/>
      </c>
      <c r="DW6" t="str">
        <f>""</f>
        <v/>
      </c>
      <c r="DX6" t="str">
        <f>""</f>
        <v/>
      </c>
      <c r="DY6" t="str">
        <f>""</f>
        <v/>
      </c>
      <c r="DZ6" t="str">
        <f>""</f>
        <v/>
      </c>
      <c r="EA6" t="str">
        <f>""</f>
        <v/>
      </c>
      <c r="EB6" t="str">
        <f>""</f>
        <v/>
      </c>
      <c r="EC6" t="str">
        <f>""</f>
        <v/>
      </c>
      <c r="ED6" t="str">
        <f>""</f>
        <v/>
      </c>
      <c r="EE6" t="str">
        <f>""</f>
        <v/>
      </c>
      <c r="EF6" t="str">
        <f>""</f>
        <v/>
      </c>
      <c r="EG6" t="str">
        <f>""</f>
        <v/>
      </c>
      <c r="EH6" t="str">
        <f>""</f>
        <v/>
      </c>
      <c r="EI6" t="str">
        <f>""</f>
        <v/>
      </c>
      <c r="EJ6" t="str">
        <f>""</f>
        <v/>
      </c>
      <c r="EK6" t="str">
        <f>""</f>
        <v/>
      </c>
      <c r="EL6" t="str">
        <f>""</f>
        <v/>
      </c>
      <c r="EM6" t="str">
        <f>""</f>
        <v/>
      </c>
      <c r="EN6" t="str">
        <f>""</f>
        <v/>
      </c>
      <c r="EO6" t="str">
        <f>""</f>
        <v/>
      </c>
      <c r="EP6" t="str">
        <f>""</f>
        <v/>
      </c>
      <c r="EQ6" t="str">
        <f>""</f>
        <v/>
      </c>
      <c r="ER6" t="str">
        <f>""</f>
        <v/>
      </c>
      <c r="ES6" t="str">
        <f>""</f>
        <v/>
      </c>
      <c r="ET6" t="str">
        <f>""</f>
        <v/>
      </c>
      <c r="EU6" t="str">
        <f>""</f>
        <v/>
      </c>
      <c r="EV6" t="str">
        <f>""</f>
        <v/>
      </c>
      <c r="EW6" t="str">
        <f>""</f>
        <v/>
      </c>
      <c r="EX6" t="str">
        <f>""</f>
        <v/>
      </c>
      <c r="EY6" t="str">
        <f>""</f>
        <v/>
      </c>
      <c r="EZ6" t="str">
        <f>""</f>
        <v/>
      </c>
      <c r="FA6" t="str">
        <f>""</f>
        <v/>
      </c>
      <c r="FB6" t="str">
        <f>""</f>
        <v/>
      </c>
      <c r="FC6" t="str">
        <f>""</f>
        <v/>
      </c>
      <c r="FD6" t="str">
        <f>""</f>
        <v/>
      </c>
      <c r="FE6" t="str">
        <f>""</f>
        <v/>
      </c>
      <c r="FF6" t="str">
        <f>""</f>
        <v/>
      </c>
      <c r="FG6" t="str">
        <f>""</f>
        <v/>
      </c>
      <c r="FH6" t="str">
        <f>""</f>
        <v/>
      </c>
      <c r="FI6" t="str">
        <f>""</f>
        <v/>
      </c>
      <c r="FJ6" t="str">
        <f>""</f>
        <v/>
      </c>
      <c r="FK6" t="str">
        <f>""</f>
        <v/>
      </c>
      <c r="FL6" t="str">
        <f>""</f>
        <v/>
      </c>
      <c r="FM6" t="str">
        <f>""</f>
        <v/>
      </c>
      <c r="FN6" t="str">
        <f>""</f>
        <v/>
      </c>
      <c r="FO6" t="str">
        <f>""</f>
        <v/>
      </c>
      <c r="FP6" t="str">
        <f>""</f>
        <v/>
      </c>
      <c r="FQ6" t="str">
        <f>""</f>
        <v/>
      </c>
    </row>
    <row r="7" spans="1:173" x14ac:dyDescent="0.25">
      <c r="A7" t="str">
        <f>""</f>
        <v/>
      </c>
      <c r="B7" t="str">
        <f>""</f>
        <v/>
      </c>
      <c r="E7" t="str">
        <f>"Static"</f>
        <v>Static</v>
      </c>
      <c r="F7" t="str">
        <f t="shared" ref="F7:AK7" ca="1" si="0">HLOOKUP(INDIRECT(ADDRESS(2,COLUMN())),OFFSET($CL$2,0,0,ROW()-1,84),ROW()-1,FALSE)</f>
        <v/>
      </c>
      <c r="G7" t="str">
        <f t="shared" ca="1" si="0"/>
        <v/>
      </c>
      <c r="H7" t="str">
        <f t="shared" ca="1" si="0"/>
        <v/>
      </c>
      <c r="I7" t="str">
        <f t="shared" ca="1" si="0"/>
        <v/>
      </c>
      <c r="J7" t="str">
        <f t="shared" ca="1" si="0"/>
        <v/>
      </c>
      <c r="K7" t="str">
        <f t="shared" ca="1" si="0"/>
        <v/>
      </c>
      <c r="L7" t="str">
        <f t="shared" ca="1" si="0"/>
        <v/>
      </c>
      <c r="M7" t="str">
        <f t="shared" ca="1" si="0"/>
        <v/>
      </c>
      <c r="N7" t="str">
        <f t="shared" ca="1" si="0"/>
        <v/>
      </c>
      <c r="O7" t="str">
        <f t="shared" ca="1" si="0"/>
        <v/>
      </c>
      <c r="P7" t="str">
        <f t="shared" ca="1" si="0"/>
        <v/>
      </c>
      <c r="Q7" t="str">
        <f t="shared" ca="1" si="0"/>
        <v/>
      </c>
      <c r="R7" t="str">
        <f t="shared" ca="1" si="0"/>
        <v/>
      </c>
      <c r="S7" t="str">
        <f t="shared" ca="1" si="0"/>
        <v/>
      </c>
      <c r="T7" t="str">
        <f t="shared" ca="1" si="0"/>
        <v/>
      </c>
      <c r="U7" t="str">
        <f t="shared" ca="1" si="0"/>
        <v/>
      </c>
      <c r="V7" t="str">
        <f t="shared" ca="1" si="0"/>
        <v/>
      </c>
      <c r="W7" t="str">
        <f t="shared" ca="1" si="0"/>
        <v/>
      </c>
      <c r="X7" t="str">
        <f t="shared" ca="1" si="0"/>
        <v/>
      </c>
      <c r="Y7" t="str">
        <f t="shared" ca="1" si="0"/>
        <v/>
      </c>
      <c r="Z7" t="str">
        <f t="shared" ca="1" si="0"/>
        <v/>
      </c>
      <c r="AA7" t="str">
        <f t="shared" ca="1" si="0"/>
        <v/>
      </c>
      <c r="AB7" t="str">
        <f t="shared" ca="1" si="0"/>
        <v/>
      </c>
      <c r="AC7" t="str">
        <f t="shared" ca="1" si="0"/>
        <v/>
      </c>
      <c r="AD7" t="str">
        <f t="shared" ca="1" si="0"/>
        <v/>
      </c>
      <c r="AE7" t="str">
        <f t="shared" ca="1" si="0"/>
        <v/>
      </c>
      <c r="AF7" t="str">
        <f t="shared" ca="1" si="0"/>
        <v/>
      </c>
      <c r="AG7" t="str">
        <f t="shared" ca="1" si="0"/>
        <v/>
      </c>
      <c r="AH7" t="str">
        <f t="shared" ca="1" si="0"/>
        <v/>
      </c>
      <c r="AI7" t="str">
        <f t="shared" ca="1" si="0"/>
        <v/>
      </c>
      <c r="AJ7" t="str">
        <f t="shared" ca="1" si="0"/>
        <v/>
      </c>
      <c r="AK7" t="str">
        <f t="shared" ca="1" si="0"/>
        <v/>
      </c>
      <c r="AL7" t="str">
        <f t="shared" ref="AL7:BQ7" ca="1" si="1">HLOOKUP(INDIRECT(ADDRESS(2,COLUMN())),OFFSET($CL$2,0,0,ROW()-1,84),ROW()-1,FALSE)</f>
        <v/>
      </c>
      <c r="AM7" t="str">
        <f t="shared" ca="1" si="1"/>
        <v/>
      </c>
      <c r="AN7" t="str">
        <f t="shared" ca="1" si="1"/>
        <v/>
      </c>
      <c r="AO7" t="str">
        <f t="shared" ca="1" si="1"/>
        <v/>
      </c>
      <c r="AP7" t="str">
        <f t="shared" ca="1" si="1"/>
        <v/>
      </c>
      <c r="AQ7" t="str">
        <f t="shared" ca="1" si="1"/>
        <v/>
      </c>
      <c r="AR7" t="str">
        <f t="shared" ca="1" si="1"/>
        <v/>
      </c>
      <c r="AS7" t="str">
        <f t="shared" ca="1" si="1"/>
        <v/>
      </c>
      <c r="AT7" t="str">
        <f t="shared" ca="1" si="1"/>
        <v/>
      </c>
      <c r="AU7" t="str">
        <f t="shared" ca="1" si="1"/>
        <v/>
      </c>
      <c r="AV7" t="str">
        <f t="shared" ca="1" si="1"/>
        <v/>
      </c>
      <c r="AW7" t="str">
        <f t="shared" ca="1" si="1"/>
        <v/>
      </c>
      <c r="AX7" t="str">
        <f t="shared" ca="1" si="1"/>
        <v/>
      </c>
      <c r="AY7" t="str">
        <f t="shared" ca="1" si="1"/>
        <v/>
      </c>
      <c r="AZ7" t="str">
        <f t="shared" ca="1" si="1"/>
        <v/>
      </c>
      <c r="BA7" t="str">
        <f t="shared" ca="1" si="1"/>
        <v/>
      </c>
      <c r="BB7" t="str">
        <f t="shared" ca="1" si="1"/>
        <v/>
      </c>
      <c r="BC7" t="str">
        <f t="shared" ca="1" si="1"/>
        <v/>
      </c>
      <c r="BD7" t="str">
        <f t="shared" ca="1" si="1"/>
        <v/>
      </c>
      <c r="BE7" t="str">
        <f t="shared" ca="1" si="1"/>
        <v/>
      </c>
      <c r="BF7" t="str">
        <f t="shared" ca="1" si="1"/>
        <v/>
      </c>
      <c r="BG7" t="str">
        <f t="shared" ca="1" si="1"/>
        <v/>
      </c>
      <c r="BH7" t="str">
        <f t="shared" ca="1" si="1"/>
        <v/>
      </c>
      <c r="BI7" t="str">
        <f t="shared" ca="1" si="1"/>
        <v/>
      </c>
      <c r="BJ7" t="str">
        <f t="shared" ca="1" si="1"/>
        <v/>
      </c>
      <c r="BK7" t="str">
        <f t="shared" ca="1" si="1"/>
        <v/>
      </c>
      <c r="BL7" t="str">
        <f t="shared" ca="1" si="1"/>
        <v/>
      </c>
      <c r="BM7" t="str">
        <f t="shared" ca="1" si="1"/>
        <v/>
      </c>
      <c r="BN7" t="str">
        <f t="shared" ca="1" si="1"/>
        <v/>
      </c>
      <c r="BO7" t="str">
        <f t="shared" ca="1" si="1"/>
        <v/>
      </c>
      <c r="BP7" t="str">
        <f t="shared" ca="1" si="1"/>
        <v/>
      </c>
      <c r="BQ7" t="str">
        <f t="shared" ca="1" si="1"/>
        <v/>
      </c>
      <c r="BR7" t="str">
        <f t="shared" ref="BR7:CK7" ca="1" si="2">HLOOKUP(INDIRECT(ADDRESS(2,COLUMN())),OFFSET($CL$2,0,0,ROW()-1,84),ROW()-1,FALSE)</f>
        <v/>
      </c>
      <c r="BS7" t="str">
        <f t="shared" ca="1" si="2"/>
        <v/>
      </c>
      <c r="BT7" t="str">
        <f t="shared" ca="1" si="2"/>
        <v/>
      </c>
      <c r="BU7" t="str">
        <f t="shared" ca="1" si="2"/>
        <v/>
      </c>
      <c r="BV7" t="str">
        <f t="shared" ca="1" si="2"/>
        <v/>
      </c>
      <c r="BW7" t="str">
        <f t="shared" ca="1" si="2"/>
        <v/>
      </c>
      <c r="BX7" t="str">
        <f t="shared" ca="1" si="2"/>
        <v/>
      </c>
      <c r="BY7" t="str">
        <f t="shared" ca="1" si="2"/>
        <v/>
      </c>
      <c r="BZ7" t="str">
        <f t="shared" ca="1" si="2"/>
        <v/>
      </c>
      <c r="CA7" t="str">
        <f t="shared" ca="1" si="2"/>
        <v/>
      </c>
      <c r="CB7" t="str">
        <f t="shared" ca="1" si="2"/>
        <v/>
      </c>
      <c r="CC7" t="str">
        <f t="shared" ca="1" si="2"/>
        <v/>
      </c>
      <c r="CD7" t="str">
        <f t="shared" ca="1" si="2"/>
        <v/>
      </c>
      <c r="CE7" t="str">
        <f t="shared" ca="1" si="2"/>
        <v/>
      </c>
      <c r="CF7" t="str">
        <f t="shared" ca="1" si="2"/>
        <v/>
      </c>
      <c r="CG7" t="str">
        <f t="shared" ca="1" si="2"/>
        <v/>
      </c>
      <c r="CH7" t="str">
        <f t="shared" ca="1" si="2"/>
        <v/>
      </c>
      <c r="CI7" t="str">
        <f t="shared" ca="1" si="2"/>
        <v/>
      </c>
      <c r="CJ7" t="str">
        <f t="shared" ca="1" si="2"/>
        <v/>
      </c>
      <c r="CK7" t="str">
        <f t="shared" ca="1" si="2"/>
        <v/>
      </c>
      <c r="CL7" t="str">
        <f>""</f>
        <v/>
      </c>
      <c r="CM7" t="str">
        <f>""</f>
        <v/>
      </c>
      <c r="CN7" t="str">
        <f>""</f>
        <v/>
      </c>
      <c r="CO7" t="str">
        <f>""</f>
        <v/>
      </c>
      <c r="CP7" t="str">
        <f>""</f>
        <v/>
      </c>
      <c r="CQ7" t="str">
        <f>""</f>
        <v/>
      </c>
      <c r="CR7" t="str">
        <f>""</f>
        <v/>
      </c>
      <c r="CS7" t="str">
        <f>""</f>
        <v/>
      </c>
      <c r="CT7" t="str">
        <f>""</f>
        <v/>
      </c>
      <c r="CU7" t="str">
        <f>""</f>
        <v/>
      </c>
      <c r="CV7" t="str">
        <f>""</f>
        <v/>
      </c>
      <c r="CW7" t="str">
        <f>""</f>
        <v/>
      </c>
      <c r="CX7" t="str">
        <f>""</f>
        <v/>
      </c>
      <c r="CY7" t="str">
        <f>""</f>
        <v/>
      </c>
      <c r="CZ7" t="str">
        <f>""</f>
        <v/>
      </c>
      <c r="DA7" t="str">
        <f>""</f>
        <v/>
      </c>
      <c r="DB7" t="str">
        <f>""</f>
        <v/>
      </c>
      <c r="DC7" t="str">
        <f>""</f>
        <v/>
      </c>
      <c r="DD7" t="str">
        <f>""</f>
        <v/>
      </c>
      <c r="DE7" t="str">
        <f>""</f>
        <v/>
      </c>
      <c r="DF7" t="str">
        <f>""</f>
        <v/>
      </c>
      <c r="DG7" t="str">
        <f>""</f>
        <v/>
      </c>
      <c r="DH7" t="str">
        <f>""</f>
        <v/>
      </c>
      <c r="DI7" t="str">
        <f>""</f>
        <v/>
      </c>
      <c r="DJ7" t="str">
        <f>""</f>
        <v/>
      </c>
      <c r="DK7" t="str">
        <f>""</f>
        <v/>
      </c>
      <c r="DL7" t="str">
        <f>""</f>
        <v/>
      </c>
      <c r="DM7" t="str">
        <f>""</f>
        <v/>
      </c>
      <c r="DN7" t="str">
        <f>""</f>
        <v/>
      </c>
      <c r="DO7" t="str">
        <f>""</f>
        <v/>
      </c>
      <c r="DP7" t="str">
        <f>""</f>
        <v/>
      </c>
      <c r="DQ7" t="str">
        <f>""</f>
        <v/>
      </c>
      <c r="DR7" t="str">
        <f>""</f>
        <v/>
      </c>
      <c r="DS7" t="str">
        <f>""</f>
        <v/>
      </c>
      <c r="DT7" t="str">
        <f>""</f>
        <v/>
      </c>
      <c r="DU7" t="str">
        <f>""</f>
        <v/>
      </c>
      <c r="DV7" t="str">
        <f>""</f>
        <v/>
      </c>
      <c r="DW7" t="str">
        <f>""</f>
        <v/>
      </c>
      <c r="DX7" t="str">
        <f>""</f>
        <v/>
      </c>
      <c r="DY7" t="str">
        <f>""</f>
        <v/>
      </c>
      <c r="DZ7" t="str">
        <f>""</f>
        <v/>
      </c>
      <c r="EA7" t="str">
        <f>""</f>
        <v/>
      </c>
      <c r="EB7" t="str">
        <f>""</f>
        <v/>
      </c>
      <c r="EC7" t="str">
        <f>""</f>
        <v/>
      </c>
      <c r="ED7" t="str">
        <f>""</f>
        <v/>
      </c>
      <c r="EE7" t="str">
        <f>""</f>
        <v/>
      </c>
      <c r="EF7" t="str">
        <f>""</f>
        <v/>
      </c>
      <c r="EG7" t="str">
        <f>""</f>
        <v/>
      </c>
      <c r="EH7" t="str">
        <f>""</f>
        <v/>
      </c>
      <c r="EI7" t="str">
        <f>""</f>
        <v/>
      </c>
      <c r="EJ7" t="str">
        <f>""</f>
        <v/>
      </c>
      <c r="EK7" t="str">
        <f>""</f>
        <v/>
      </c>
      <c r="EL7" t="str">
        <f>""</f>
        <v/>
      </c>
      <c r="EM7" t="str">
        <f>""</f>
        <v/>
      </c>
      <c r="EN7" t="str">
        <f>""</f>
        <v/>
      </c>
      <c r="EO7" t="str">
        <f>""</f>
        <v/>
      </c>
      <c r="EP7" t="str">
        <f>""</f>
        <v/>
      </c>
      <c r="EQ7" t="str">
        <f>""</f>
        <v/>
      </c>
      <c r="ER7" t="str">
        <f>""</f>
        <v/>
      </c>
      <c r="ES7" t="str">
        <f>""</f>
        <v/>
      </c>
      <c r="ET7" t="str">
        <f>""</f>
        <v/>
      </c>
      <c r="EU7" t="str">
        <f>""</f>
        <v/>
      </c>
      <c r="EV7" t="str">
        <f>""</f>
        <v/>
      </c>
      <c r="EW7" t="str">
        <f>""</f>
        <v/>
      </c>
      <c r="EX7" t="str">
        <f>""</f>
        <v/>
      </c>
      <c r="EY7" t="str">
        <f>""</f>
        <v/>
      </c>
      <c r="EZ7" t="str">
        <f>""</f>
        <v/>
      </c>
      <c r="FA7" t="str">
        <f>""</f>
        <v/>
      </c>
      <c r="FB7" t="str">
        <f>""</f>
        <v/>
      </c>
      <c r="FC7" t="str">
        <f>""</f>
        <v/>
      </c>
      <c r="FD7" t="str">
        <f>""</f>
        <v/>
      </c>
      <c r="FE7" t="str">
        <f>""</f>
        <v/>
      </c>
      <c r="FF7" t="str">
        <f>""</f>
        <v/>
      </c>
      <c r="FG7" t="str">
        <f>""</f>
        <v/>
      </c>
      <c r="FH7" t="str">
        <f>""</f>
        <v/>
      </c>
      <c r="FI7" t="str">
        <f>""</f>
        <v/>
      </c>
      <c r="FJ7" t="str">
        <f>""</f>
        <v/>
      </c>
      <c r="FK7" t="str">
        <f>""</f>
        <v/>
      </c>
      <c r="FL7" t="str">
        <f>""</f>
        <v/>
      </c>
      <c r="FM7" t="str">
        <f>""</f>
        <v/>
      </c>
      <c r="FN7" t="str">
        <f>""</f>
        <v/>
      </c>
      <c r="FO7" t="str">
        <f>""</f>
        <v/>
      </c>
      <c r="FP7" t="str">
        <f>""</f>
        <v/>
      </c>
      <c r="FQ7" t="str">
        <f>""</f>
        <v/>
      </c>
    </row>
    <row r="8" spans="1:173" x14ac:dyDescent="0.25">
      <c r="A8" t="str">
        <f>"China Sea Port Statistics"</f>
        <v>China Sea Port Statistics</v>
      </c>
      <c r="B8" t="str">
        <f>""</f>
        <v/>
      </c>
      <c r="E8" t="str">
        <f>"Heading"</f>
        <v>Heading</v>
      </c>
      <c r="CL8" t="str">
        <f>""</f>
        <v/>
      </c>
      <c r="CM8" t="str">
        <f>""</f>
        <v/>
      </c>
      <c r="CN8" t="str">
        <f>""</f>
        <v/>
      </c>
      <c r="CO8" t="str">
        <f>""</f>
        <v/>
      </c>
      <c r="CP8" t="str">
        <f>""</f>
        <v/>
      </c>
      <c r="CQ8" t="str">
        <f>""</f>
        <v/>
      </c>
      <c r="CR8" t="str">
        <f>""</f>
        <v/>
      </c>
      <c r="CS8" t="str">
        <f>""</f>
        <v/>
      </c>
      <c r="CT8" t="str">
        <f>""</f>
        <v/>
      </c>
      <c r="CU8" t="str">
        <f>""</f>
        <v/>
      </c>
      <c r="CV8" t="str">
        <f>""</f>
        <v/>
      </c>
      <c r="CW8" t="str">
        <f>""</f>
        <v/>
      </c>
      <c r="CX8" t="str">
        <f>""</f>
        <v/>
      </c>
      <c r="CY8" t="str">
        <f>""</f>
        <v/>
      </c>
      <c r="CZ8" t="str">
        <f>""</f>
        <v/>
      </c>
      <c r="DA8" t="str">
        <f>""</f>
        <v/>
      </c>
      <c r="DB8" t="str">
        <f>""</f>
        <v/>
      </c>
      <c r="DC8" t="str">
        <f>""</f>
        <v/>
      </c>
      <c r="DD8" t="str">
        <f>""</f>
        <v/>
      </c>
      <c r="DE8" t="str">
        <f>""</f>
        <v/>
      </c>
      <c r="DF8" t="str">
        <f>""</f>
        <v/>
      </c>
      <c r="DG8" t="str">
        <f>""</f>
        <v/>
      </c>
      <c r="DH8" t="str">
        <f>""</f>
        <v/>
      </c>
      <c r="DI8" t="str">
        <f>""</f>
        <v/>
      </c>
      <c r="DJ8" t="str">
        <f>""</f>
        <v/>
      </c>
      <c r="DK8" t="str">
        <f>""</f>
        <v/>
      </c>
      <c r="DL8" t="str">
        <f>""</f>
        <v/>
      </c>
      <c r="DM8" t="str">
        <f>""</f>
        <v/>
      </c>
      <c r="DN8" t="str">
        <f>""</f>
        <v/>
      </c>
      <c r="DO8" t="str">
        <f>""</f>
        <v/>
      </c>
      <c r="DP8" t="str">
        <f>""</f>
        <v/>
      </c>
      <c r="DQ8" t="str">
        <f>""</f>
        <v/>
      </c>
      <c r="DR8" t="str">
        <f>""</f>
        <v/>
      </c>
      <c r="DS8" t="str">
        <f>""</f>
        <v/>
      </c>
      <c r="DT8" t="str">
        <f>""</f>
        <v/>
      </c>
      <c r="DU8" t="str">
        <f>""</f>
        <v/>
      </c>
      <c r="DV8" t="str">
        <f>""</f>
        <v/>
      </c>
      <c r="DW8" t="str">
        <f>""</f>
        <v/>
      </c>
      <c r="DX8" t="str">
        <f>""</f>
        <v/>
      </c>
      <c r="DY8" t="str">
        <f>""</f>
        <v/>
      </c>
      <c r="DZ8" t="str">
        <f>""</f>
        <v/>
      </c>
      <c r="EA8" t="str">
        <f>""</f>
        <v/>
      </c>
      <c r="EB8" t="str">
        <f>""</f>
        <v/>
      </c>
      <c r="EC8" t="str">
        <f>""</f>
        <v/>
      </c>
      <c r="ED8" t="str">
        <f>""</f>
        <v/>
      </c>
      <c r="EE8" t="str">
        <f>""</f>
        <v/>
      </c>
      <c r="EF8" t="str">
        <f>""</f>
        <v/>
      </c>
      <c r="EG8" t="str">
        <f>""</f>
        <v/>
      </c>
      <c r="EH8" t="str">
        <f>""</f>
        <v/>
      </c>
      <c r="EI8" t="str">
        <f>""</f>
        <v/>
      </c>
      <c r="EJ8" t="str">
        <f>""</f>
        <v/>
      </c>
      <c r="EK8" t="str">
        <f>""</f>
        <v/>
      </c>
      <c r="EL8" t="str">
        <f>""</f>
        <v/>
      </c>
      <c r="EM8" t="str">
        <f>""</f>
        <v/>
      </c>
      <c r="EN8" t="str">
        <f>""</f>
        <v/>
      </c>
      <c r="EO8" t="str">
        <f>""</f>
        <v/>
      </c>
      <c r="EP8" t="str">
        <f>""</f>
        <v/>
      </c>
      <c r="EQ8" t="str">
        <f>""</f>
        <v/>
      </c>
      <c r="ER8" t="str">
        <f>""</f>
        <v/>
      </c>
      <c r="ES8" t="str">
        <f>""</f>
        <v/>
      </c>
      <c r="ET8" t="str">
        <f>""</f>
        <v/>
      </c>
      <c r="EU8" t="str">
        <f>""</f>
        <v/>
      </c>
      <c r="EV8" t="str">
        <f>""</f>
        <v/>
      </c>
      <c r="EW8" t="str">
        <f>""</f>
        <v/>
      </c>
      <c r="EX8" t="str">
        <f>""</f>
        <v/>
      </c>
      <c r="EY8" t="str">
        <f>""</f>
        <v/>
      </c>
      <c r="EZ8" t="str">
        <f>""</f>
        <v/>
      </c>
      <c r="FA8" t="str">
        <f>""</f>
        <v/>
      </c>
      <c r="FB8" t="str">
        <f>""</f>
        <v/>
      </c>
      <c r="FC8" t="str">
        <f>""</f>
        <v/>
      </c>
      <c r="FD8" t="str">
        <f>""</f>
        <v/>
      </c>
      <c r="FE8" t="str">
        <f>""</f>
        <v/>
      </c>
      <c r="FF8" t="str">
        <f>""</f>
        <v/>
      </c>
      <c r="FG8" t="str">
        <f>""</f>
        <v/>
      </c>
      <c r="FH8" t="str">
        <f>""</f>
        <v/>
      </c>
      <c r="FI8" t="str">
        <f>""</f>
        <v/>
      </c>
      <c r="FJ8" t="str">
        <f>""</f>
        <v/>
      </c>
      <c r="FK8" t="str">
        <f>""</f>
        <v/>
      </c>
      <c r="FL8" t="str">
        <f>""</f>
        <v/>
      </c>
      <c r="FM8" t="str">
        <f>""</f>
        <v/>
      </c>
      <c r="FN8" t="str">
        <f>""</f>
        <v/>
      </c>
      <c r="FO8" t="str">
        <f>""</f>
        <v/>
      </c>
      <c r="FP8" t="str">
        <f>""</f>
        <v/>
      </c>
      <c r="FQ8" t="str">
        <f>""</f>
        <v/>
      </c>
    </row>
    <row r="9" spans="1:173" x14ac:dyDescent="0.25">
      <c r="A9" t="str">
        <f>"Total China Sea Port Container Throughput (000 TEU)"</f>
        <v>Total China Sea Port Container Throughput (000 TEU)</v>
      </c>
      <c r="B9" t="str">
        <f>"CNIFSCTT Index"</f>
        <v>CNIFSCTT Index</v>
      </c>
      <c r="E9" t="str">
        <f>"Expression"</f>
        <v>Expression</v>
      </c>
      <c r="F9">
        <f ca="1">IF(AND($B$51=1,LEN($F$55)&gt;0),$F$55*10,HLOOKUP(INDIRECT(ADDRESS(2,COLUMN())),OFFSET($CL$2,0,0,ROW()-1,84),ROW()-1,FALSE))</f>
        <v>23650</v>
      </c>
      <c r="G9">
        <f ca="1">IF(AND($B$51=1,LEN($G$55)&gt;0),$G$55*10,HLOOKUP(INDIRECT(ADDRESS(2,COLUMN())),OFFSET($CL$2,0,0,ROW()-1,84),ROW()-1,FALSE))</f>
        <v>23960</v>
      </c>
      <c r="H9">
        <f ca="1">IF(AND($B$51=1,LEN($H$55)&gt;0),$H$55*10,HLOOKUP(INDIRECT(ADDRESS(2,COLUMN())),OFFSET($CL$2,0,0,ROW()-1,84),ROW()-1,FALSE))</f>
        <v>23670</v>
      </c>
      <c r="I9">
        <f ca="1">IF(AND($B$51=1,LEN($I$55)&gt;0),$I$55*10,HLOOKUP(INDIRECT(ADDRESS(2,COLUMN())),OFFSET($CL$2,0,0,ROW()-1,84),ROW()-1,FALSE))</f>
        <v>23700</v>
      </c>
      <c r="J9">
        <f ca="1">IF(AND($B$51=1,LEN($J$55)&gt;0),$J$55*10,HLOOKUP(INDIRECT(ADDRESS(2,COLUMN())),OFFSET($CL$2,0,0,ROW()-1,84),ROW()-1,FALSE))</f>
        <v>23280</v>
      </c>
      <c r="K9">
        <f ca="1">IF(AND($B$51=1,LEN($K$55)&gt;0),$K$55*10,HLOOKUP(INDIRECT(ADDRESS(2,COLUMN())),OFFSET($CL$2,0,0,ROW()-1,84),ROW()-1,FALSE))</f>
        <v>22400</v>
      </c>
      <c r="L9">
        <f ca="1">IF(AND($B$51=1,LEN($L$55)&gt;0),$L$55*10,HLOOKUP(INDIRECT(ADDRESS(2,COLUMN())),OFFSET($CL$2,0,0,ROW()-1,84),ROW()-1,FALSE))</f>
        <v>22430</v>
      </c>
      <c r="M9" t="str">
        <f ca="1">IF(AND($B$51=1,LEN($M$55)&gt;0),$M$55*10,HLOOKUP(INDIRECT(ADDRESS(2,COLUMN())),OFFSET($CL$2,0,0,ROW()-1,84),ROW()-1,FALSE))</f>
        <v/>
      </c>
      <c r="N9" t="str">
        <f ca="1">IF(AND($B$51=1,LEN($N$55)&gt;0),$N$55*10,HLOOKUP(INDIRECT(ADDRESS(2,COLUMN())),OFFSET($CL$2,0,0,ROW()-1,84),ROW()-1,FALSE))</f>
        <v/>
      </c>
      <c r="O9">
        <f ca="1">IF(AND($B$51=1,LEN($O$55)&gt;0),$O$55*10,HLOOKUP(INDIRECT(ADDRESS(2,COLUMN())),OFFSET($CL$2,0,0,ROW()-1,84),ROW()-1,FALSE))</f>
        <v>22260</v>
      </c>
      <c r="P9">
        <f ca="1">IF(AND($B$51=1,LEN($P$55)&gt;0),$P$55*10,HLOOKUP(INDIRECT(ADDRESS(2,COLUMN())),OFFSET($CL$2,0,0,ROW()-1,84),ROW()-1,FALSE))</f>
        <v>22710</v>
      </c>
      <c r="Q9">
        <f ca="1">IF(AND($B$51=1,LEN($Q$55)&gt;0),$Q$55*10,HLOOKUP(INDIRECT(ADDRESS(2,COLUMN())),OFFSET($CL$2,0,0,ROW()-1,84),ROW()-1,FALSE))</f>
        <v>22370</v>
      </c>
      <c r="R9">
        <f ca="1">IF(AND($B$51=1,LEN($R$55)&gt;0),$R$55*10,HLOOKUP(INDIRECT(ADDRESS(2,COLUMN())),OFFSET($CL$2,0,0,ROW()-1,84),ROW()-1,FALSE))</f>
        <v>21920</v>
      </c>
      <c r="S9">
        <f ca="1">IF(AND($B$51=1,LEN($S$55)&gt;0),$S$55*10,HLOOKUP(INDIRECT(ADDRESS(2,COLUMN())),OFFSET($CL$2,0,0,ROW()-1,84),ROW()-1,FALSE))</f>
        <v>22580</v>
      </c>
      <c r="T9">
        <f ca="1">IF(AND($B$51=1,LEN($T$55)&gt;0),$T$55*10,HLOOKUP(INDIRECT(ADDRESS(2,COLUMN())),OFFSET($CL$2,0,0,ROW()-1,84),ROW()-1,FALSE))</f>
        <v>23250</v>
      </c>
      <c r="U9">
        <f ca="1">IF(AND($B$51=1,LEN($U$55)&gt;0),$U$55*10,HLOOKUP(INDIRECT(ADDRESS(2,COLUMN())),OFFSET($CL$2,0,0,ROW()-1,84),ROW()-1,FALSE))</f>
        <v>22710</v>
      </c>
      <c r="V9">
        <f ca="1">IF(AND($B$51=1,LEN($V$55)&gt;0),$V$55*10,HLOOKUP(INDIRECT(ADDRESS(2,COLUMN())),OFFSET($CL$2,0,0,ROW()-1,84),ROW()-1,FALSE))</f>
        <v>22280</v>
      </c>
      <c r="W9">
        <f ca="1">IF(AND($B$51=1,LEN($W$55)&gt;0),$W$55*10,HLOOKUP(INDIRECT(ADDRESS(2,COLUMN())),OFFSET($CL$2,0,0,ROW()-1,84),ROW()-1,FALSE))</f>
        <v>20810</v>
      </c>
      <c r="X9">
        <f ca="1">IF(AND($B$51=1,LEN($X$55)&gt;0),$X$55*10,HLOOKUP(INDIRECT(ADDRESS(2,COLUMN())),OFFSET($CL$2,0,0,ROW()-1,84),ROW()-1,FALSE))</f>
        <v>20980</v>
      </c>
      <c r="Y9">
        <f ca="1">IF(AND($B$51=1,LEN($Y$55)&gt;0),$Y$55*10,HLOOKUP(INDIRECT(ADDRESS(2,COLUMN())),OFFSET($CL$2,0,0,ROW()-1,84),ROW()-1,FALSE))</f>
        <v>17270</v>
      </c>
      <c r="Z9">
        <f ca="1">IF(AND($B$51=1,LEN($Z$55)&gt;0),$Z$55*10,HLOOKUP(INDIRECT(ADDRESS(2,COLUMN())),OFFSET($CL$2,0,0,ROW()-1,84),ROW()-1,FALSE))</f>
        <v>21580</v>
      </c>
      <c r="AA9">
        <f ca="1">IF(AND($B$51=1,LEN($AA$55)&gt;0),$AA$55*10,HLOOKUP(INDIRECT(ADDRESS(2,COLUMN())),OFFSET($CL$2,0,0,ROW()-1,84),ROW()-1,FALSE))</f>
        <v>20190</v>
      </c>
      <c r="AB9">
        <f ca="1">IF(AND($B$51=1,LEN($AB$55)&gt;0),$AB$55*10,HLOOKUP(INDIRECT(ADDRESS(2,COLUMN())),OFFSET($CL$2,0,0,ROW()-1,84),ROW()-1,FALSE))</f>
        <v>21130</v>
      </c>
      <c r="AC9">
        <f ca="1">IF(AND($B$51=1,LEN($AC$55)&gt;0),$AC$55*10,HLOOKUP(INDIRECT(ADDRESS(2,COLUMN())),OFFSET($CL$2,0,0,ROW()-1,84),ROW()-1,FALSE))</f>
        <v>21640</v>
      </c>
      <c r="AD9">
        <f ca="1">IF(AND($B$51=1,LEN($AD$55)&gt;0),$AD$55*10,HLOOKUP(INDIRECT(ADDRESS(2,COLUMN())),OFFSET($CL$2,0,0,ROW()-1,84),ROW()-1,FALSE))</f>
        <v>21450</v>
      </c>
      <c r="AE9">
        <f ca="1">IF(AND($B$51=1,LEN($AE$55)&gt;0),$AE$55*10,HLOOKUP(INDIRECT(ADDRESS(2,COLUMN())),OFFSET($CL$2,0,0,ROW()-1,84),ROW()-1,FALSE))</f>
        <v>21950</v>
      </c>
      <c r="AF9">
        <f ca="1">IF(AND($B$51=1,LEN($AF$55)&gt;0),$AF$55*10,HLOOKUP(INDIRECT(ADDRESS(2,COLUMN())),OFFSET($CL$2,0,0,ROW()-1,84),ROW()-1,FALSE))</f>
        <v>20990</v>
      </c>
      <c r="AG9">
        <f ca="1">IF(AND($B$51=1,LEN($AG$55)&gt;0),$AG$55*10,HLOOKUP(INDIRECT(ADDRESS(2,COLUMN())),OFFSET($CL$2,0,0,ROW()-1,84),ROW()-1,FALSE))</f>
        <v>21360</v>
      </c>
      <c r="AH9">
        <f ca="1">IF(AND($B$51=1,LEN($AH$55)&gt;0),$AH$55*10,HLOOKUP(INDIRECT(ADDRESS(2,COLUMN())),OFFSET($CL$2,0,0,ROW()-1,84),ROW()-1,FALSE))</f>
        <v>21460</v>
      </c>
      <c r="AI9">
        <f ca="1">IF(AND($B$51=1,LEN($AI$55)&gt;0),$AI$55*10,HLOOKUP(INDIRECT(ADDRESS(2,COLUMN())),OFFSET($CL$2,0,0,ROW()-1,84),ROW()-1,FALSE))</f>
        <v>20770</v>
      </c>
      <c r="AJ9">
        <f ca="1">IF(AND($B$51=1,LEN($AJ$55)&gt;0),$AJ$55*10,HLOOKUP(INDIRECT(ADDRESS(2,COLUMN())),OFFSET($CL$2,0,0,ROW()-1,84),ROW()-1,FALSE))</f>
        <v>20650</v>
      </c>
      <c r="AK9">
        <f ca="1">IF(AND($B$51=1,LEN($AK$55)&gt;0),$AK$55*10,HLOOKUP(INDIRECT(ADDRESS(2,COLUMN())),OFFSET($CL$2,0,0,ROW()-1,84),ROW()-1,FALSE))</f>
        <v>16590</v>
      </c>
      <c r="AL9">
        <f ca="1">IF(AND($B$51=1,LEN($AL$55)&gt;0),$AL$55*10,HLOOKUP(INDIRECT(ADDRESS(2,COLUMN())),OFFSET($CL$2,0,0,ROW()-1,84),ROW()-1,FALSE))</f>
        <v>21150</v>
      </c>
      <c r="AM9">
        <f ca="1">IF(AND($B$51=1,LEN($AM$55)&gt;0),$AM$55*10,HLOOKUP(INDIRECT(ADDRESS(2,COLUMN())),OFFSET($CL$2,0,0,ROW()-1,84),ROW()-1,FALSE))</f>
        <v>20110</v>
      </c>
      <c r="AN9">
        <f ca="1">IF(AND($B$51=1,LEN($AN$55)&gt;0),$AN$55*10,HLOOKUP(INDIRECT(ADDRESS(2,COLUMN())),OFFSET($CL$2,0,0,ROW()-1,84),ROW()-1,FALSE))</f>
        <v>21250</v>
      </c>
      <c r="AO9">
        <f ca="1">IF(AND($B$51=1,LEN($AO$55)&gt;0),$AO$55*10,HLOOKUP(INDIRECT(ADDRESS(2,COLUMN())),OFFSET($CL$2,0,0,ROW()-1,84),ROW()-1,FALSE))</f>
        <v>21720</v>
      </c>
      <c r="AP9">
        <f ca="1">IF(AND($B$51=1,LEN($AP$55)&gt;0),$AP$55*10,HLOOKUP(INDIRECT(ADDRESS(2,COLUMN())),OFFSET($CL$2,0,0,ROW()-1,84),ROW()-1,FALSE))</f>
        <v>21590</v>
      </c>
      <c r="AQ9">
        <f ca="1">IF(AND($B$51=1,LEN($AQ$55)&gt;0),$AQ$55*10,HLOOKUP(INDIRECT(ADDRESS(2,COLUMN())),OFFSET($CL$2,0,0,ROW()-1,84),ROW()-1,FALSE))</f>
        <v>21370</v>
      </c>
      <c r="AR9">
        <f ca="1">IF(AND($B$51=1,LEN($AR$55)&gt;0),$AR$55*10,HLOOKUP(INDIRECT(ADDRESS(2,COLUMN())),OFFSET($CL$2,0,0,ROW()-1,84),ROW()-1,FALSE))</f>
        <v>21240</v>
      </c>
      <c r="AS9">
        <f ca="1">IF(AND($B$51=1,LEN($AS$55)&gt;0),$AS$55*10,HLOOKUP(INDIRECT(ADDRESS(2,COLUMN())),OFFSET($CL$2,0,0,ROW()-1,84),ROW()-1,FALSE))</f>
        <v>20090</v>
      </c>
      <c r="AT9">
        <f ca="1">IF(AND($B$51=1,LEN($AT$55)&gt;0),$AT$55*10,HLOOKUP(INDIRECT(ADDRESS(2,COLUMN())),OFFSET($CL$2,0,0,ROW()-1,84),ROW()-1,FALSE))</f>
        <v>19270</v>
      </c>
      <c r="AU9">
        <f ca="1">IF(AND($B$51=1,LEN($AU$55)&gt;0),$AU$55*10,HLOOKUP(INDIRECT(ADDRESS(2,COLUMN())),OFFSET($CL$2,0,0,ROW()-1,84),ROW()-1,FALSE))</f>
        <v>18250</v>
      </c>
      <c r="AV9">
        <f ca="1">IF(AND($B$51=1,LEN($AV$55)&gt;0),$AV$55*10,HLOOKUP(INDIRECT(ADDRESS(2,COLUMN())),OFFSET($CL$2,0,0,ROW()-1,84),ROW()-1,FALSE))</f>
        <v>18160</v>
      </c>
      <c r="AW9">
        <f ca="1">IF(AND($B$51=1,LEN($AW$55)&gt;0),$AW$55*10,HLOOKUP(INDIRECT(ADDRESS(2,COLUMN())),OFFSET($CL$2,0,0,ROW()-1,84),ROW()-1,FALSE))</f>
        <v>12380</v>
      </c>
      <c r="AX9">
        <f ca="1">IF(AND($B$51=1,LEN($AX$55)&gt;0),$AX$55*10,HLOOKUP(INDIRECT(ADDRESS(2,COLUMN())),OFFSET($CL$2,0,0,ROW()-1,84),ROW()-1,FALSE))</f>
        <v>18800</v>
      </c>
      <c r="AY9">
        <f ca="1">IF(AND($B$51=1,LEN($AY$55)&gt;0),$AY$55*10,HLOOKUP(INDIRECT(ADDRESS(2,COLUMN())),OFFSET($CL$2,0,0,ROW()-1,84),ROW()-1,FALSE))</f>
        <v>18830</v>
      </c>
      <c r="AZ9">
        <f ca="1">IF(AND($B$51=1,LEN($AZ$55)&gt;0),$AZ$55*10,HLOOKUP(INDIRECT(ADDRESS(2,COLUMN())),OFFSET($CL$2,0,0,ROW()-1,84),ROW()-1,FALSE))</f>
        <v>19520</v>
      </c>
      <c r="BA9">
        <f ca="1">IF(AND($B$51=1,LEN($BA$55)&gt;0),$BA$55*10,HLOOKUP(INDIRECT(ADDRESS(2,COLUMN())),OFFSET($CL$2,0,0,ROW()-1,84),ROW()-1,FALSE))</f>
        <v>19580</v>
      </c>
      <c r="BB9">
        <f ca="1">IF(AND($B$51=1,LEN($BB$55)&gt;0),$BB$55*10,HLOOKUP(INDIRECT(ADDRESS(2,COLUMN())),OFFSET($CL$2,0,0,ROW()-1,84),ROW()-1,FALSE))</f>
        <v>20210</v>
      </c>
      <c r="BC9">
        <f ca="1">IF(AND($B$51=1,LEN($BC$55)&gt;0),$BC$55*10,HLOOKUP(INDIRECT(ADDRESS(2,COLUMN())),OFFSET($CL$2,0,0,ROW()-1,84),ROW()-1,FALSE))</f>
        <v>20040</v>
      </c>
      <c r="BD9">
        <f ca="1">IF(AND($B$51=1,LEN($BD$55)&gt;0),$BD$55*10,HLOOKUP(INDIRECT(ADDRESS(2,COLUMN())),OFFSET($CL$2,0,0,ROW()-1,84),ROW()-1,FALSE))</f>
        <v>20160</v>
      </c>
      <c r="BE9">
        <f ca="1">IF(AND($B$51=1,LEN($BE$55)&gt;0),$BE$55*10,HLOOKUP(INDIRECT(ADDRESS(2,COLUMN())),OFFSET($CL$2,0,0,ROW()-1,84),ROW()-1,FALSE))</f>
        <v>19710</v>
      </c>
      <c r="BF9">
        <f ca="1">IF(AND($B$51=1,LEN($BF$55)&gt;0),$BF$55*10,HLOOKUP(INDIRECT(ADDRESS(2,COLUMN())),OFFSET($CL$2,0,0,ROW()-1,84),ROW()-1,FALSE))</f>
        <v>19840</v>
      </c>
      <c r="BG9">
        <f ca="1">IF(AND($B$51=1,LEN($BG$55)&gt;0),$BG$55*10,HLOOKUP(INDIRECT(ADDRESS(2,COLUMN())),OFFSET($CL$2,0,0,ROW()-1,84),ROW()-1,FALSE))</f>
        <v>19240</v>
      </c>
      <c r="BH9">
        <f ca="1">IF(AND($B$51=1,LEN($BH$55)&gt;0),$BH$55*10,HLOOKUP(INDIRECT(ADDRESS(2,COLUMN())),OFFSET($CL$2,0,0,ROW()-1,84),ROW()-1,FALSE))</f>
        <v>19100</v>
      </c>
      <c r="BI9">
        <f ca="1">IF(AND($B$51=1,LEN($BI$55)&gt;0),$BI$55*10,HLOOKUP(INDIRECT(ADDRESS(2,COLUMN())),OFFSET($CL$2,0,0,ROW()-1,84),ROW()-1,FALSE))</f>
        <v>14950</v>
      </c>
      <c r="BJ9">
        <f ca="1">IF(AND($B$51=1,LEN($BJ$55)&gt;0),$BJ$55*10,HLOOKUP(INDIRECT(ADDRESS(2,COLUMN())),OFFSET($CL$2,0,0,ROW()-1,84),ROW()-1,FALSE))</f>
        <v>19730</v>
      </c>
      <c r="BK9">
        <f ca="1">IF(AND($B$51=1,LEN($BK$55)&gt;0),$BK$55*10,HLOOKUP(INDIRECT(ADDRESS(2,COLUMN())),OFFSET($CL$2,0,0,ROW()-1,84),ROW()-1,FALSE))</f>
        <v>18093.400000000001</v>
      </c>
      <c r="BL9">
        <f ca="1">IF(AND($B$51=1,LEN($BL$55)&gt;0),$BL$55*10,HLOOKUP(INDIRECT(ADDRESS(2,COLUMN())),OFFSET($CL$2,0,0,ROW()-1,84),ROW()-1,FALSE))</f>
        <v>18819</v>
      </c>
      <c r="BM9">
        <f ca="1">IF(AND($B$51=1,LEN($BM$55)&gt;0),$BM$55*10,HLOOKUP(INDIRECT(ADDRESS(2,COLUMN())),OFFSET($CL$2,0,0,ROW()-1,84),ROW()-1,FALSE))</f>
        <v>18826.5</v>
      </c>
      <c r="BN9">
        <f ca="1">IF(AND($B$51=1,LEN($BN$55)&gt;0),$BN$55*10,HLOOKUP(INDIRECT(ADDRESS(2,COLUMN())),OFFSET($CL$2,0,0,ROW()-1,84),ROW()-1,FALSE))</f>
        <v>19278.599999999999</v>
      </c>
      <c r="BO9">
        <f ca="1">IF(AND($B$51=1,LEN($BO$55)&gt;0),$BO$55*10,HLOOKUP(INDIRECT(ADDRESS(2,COLUMN())),OFFSET($CL$2,0,0,ROW()-1,84),ROW()-1,FALSE))</f>
        <v>19199.900000000001</v>
      </c>
      <c r="BP9">
        <f ca="1">IF(AND($B$51=1,LEN($BP$55)&gt;0),$BP$55*10,HLOOKUP(INDIRECT(ADDRESS(2,COLUMN())),OFFSET($CL$2,0,0,ROW()-1,84),ROW()-1,FALSE))</f>
        <v>18911</v>
      </c>
      <c r="BQ9">
        <f ca="1">IF(AND($B$51=1,LEN($BQ$55)&gt;0),$BQ$55*10,HLOOKUP(INDIRECT(ADDRESS(2,COLUMN())),OFFSET($CL$2,0,0,ROW()-1,84),ROW()-1,FALSE))</f>
        <v>18822.2</v>
      </c>
      <c r="BR9">
        <f ca="1">IF(AND($B$51=1,LEN($BR$55)&gt;0),$BR$55*10,HLOOKUP(INDIRECT(ADDRESS(2,COLUMN())),OFFSET($CL$2,0,0,ROW()-1,84),ROW()-1,FALSE))</f>
        <v>19020.599999999999</v>
      </c>
      <c r="BS9">
        <f ca="1">IF(AND($B$51=1,LEN($BS$55)&gt;0),$BS$55*10,HLOOKUP(INDIRECT(ADDRESS(2,COLUMN())),OFFSET($CL$2,0,0,ROW()-1,84),ROW()-1,FALSE))</f>
        <v>18362.3</v>
      </c>
      <c r="BT9">
        <f ca="1">IF(AND($B$51=1,LEN($BT$55)&gt;0),$BT$55*10,HLOOKUP(INDIRECT(ADDRESS(2,COLUMN())),OFFSET($CL$2,0,0,ROW()-1,84),ROW()-1,FALSE))</f>
        <v>17557.7</v>
      </c>
      <c r="BU9">
        <f ca="1">IF(AND($B$51=1,LEN($BU$55)&gt;0),$BU$55*10,HLOOKUP(INDIRECT(ADDRESS(2,COLUMN())),OFFSET($CL$2,0,0,ROW()-1,84),ROW()-1,FALSE))</f>
        <v>14986.4</v>
      </c>
      <c r="BV9">
        <f ca="1">IF(AND($B$51=1,LEN($BV$55)&gt;0),$BV$55*10,HLOOKUP(INDIRECT(ADDRESS(2,COLUMN())),OFFSET($CL$2,0,0,ROW()-1,84),ROW()-1,FALSE))</f>
        <v>18425.8</v>
      </c>
      <c r="BW9">
        <f ca="1">IF(AND($B$51=1,LEN($BW$55)&gt;0),$BW$55*10,HLOOKUP(INDIRECT(ADDRESS(2,COLUMN())),OFFSET($CL$2,0,0,ROW()-1,84),ROW()-1,FALSE))</f>
        <v>17210.8</v>
      </c>
      <c r="BX9">
        <f ca="1">IF(AND($B$51=1,LEN($BX$55)&gt;0),$BX$55*10,HLOOKUP(INDIRECT(ADDRESS(2,COLUMN())),OFFSET($CL$2,0,0,ROW()-1,84),ROW()-1,FALSE))</f>
        <v>17842.599999999999</v>
      </c>
      <c r="BY9">
        <f ca="1">IF(AND($B$51=1,LEN($BY$55)&gt;0),$BY$55*10,HLOOKUP(INDIRECT(ADDRESS(2,COLUMN())),OFFSET($CL$2,0,0,ROW()-1,84),ROW()-1,FALSE))</f>
        <v>17783.7</v>
      </c>
      <c r="BZ9">
        <f ca="1">IF(AND($B$51=1,LEN($BZ$55)&gt;0),$BZ$55*10,HLOOKUP(INDIRECT(ADDRESS(2,COLUMN())),OFFSET($CL$2,0,0,ROW()-1,84),ROW()-1,FALSE))</f>
        <v>18313.900000000001</v>
      </c>
      <c r="CA9">
        <f ca="1">IF(AND($B$51=1,LEN($CA$55)&gt;0),$CA$55*10,HLOOKUP(INDIRECT(ADDRESS(2,COLUMN())),OFFSET($CL$2,0,0,ROW()-1,84),ROW()-1,FALSE))</f>
        <v>18285.400000000001</v>
      </c>
      <c r="CB9">
        <f ca="1">IF(AND($B$51=1,LEN($CB$55)&gt;0),$CB$55*10,HLOOKUP(INDIRECT(ADDRESS(2,COLUMN())),OFFSET($CL$2,0,0,ROW()-1,84),ROW()-1,FALSE))</f>
        <v>18442.400000000001</v>
      </c>
      <c r="CC9">
        <f ca="1">IF(AND($B$51=1,LEN($CC$55)&gt;0),$CC$55*10,HLOOKUP(INDIRECT(ADDRESS(2,COLUMN())),OFFSET($CL$2,0,0,ROW()-1,84),ROW()-1,FALSE))</f>
        <v>17880.8</v>
      </c>
      <c r="CD9">
        <f ca="1">IF(AND($B$51=1,LEN($CD$55)&gt;0),$CD$55*10,HLOOKUP(INDIRECT(ADDRESS(2,COLUMN())),OFFSET($CL$2,0,0,ROW()-1,84),ROW()-1,FALSE))</f>
        <v>18100.3</v>
      </c>
      <c r="CE9">
        <f ca="1">IF(AND($B$51=1,LEN($CE$55)&gt;0),$CE$55*10,HLOOKUP(INDIRECT(ADDRESS(2,COLUMN())),OFFSET($CL$2,0,0,ROW()-1,84),ROW()-1,FALSE))</f>
        <v>17354.2</v>
      </c>
      <c r="CF9">
        <f ca="1">IF(AND($B$51=1,LEN($CF$55)&gt;0),$CF$55*10,HLOOKUP(INDIRECT(ADDRESS(2,COLUMN())),OFFSET($CL$2,0,0,ROW()-1,84),ROW()-1,FALSE))</f>
        <v>17249.5</v>
      </c>
      <c r="CG9">
        <f ca="1">IF(AND($B$51=1,LEN($CG$55)&gt;0),$CG$55*10,HLOOKUP(INDIRECT(ADDRESS(2,COLUMN())),OFFSET($CL$2,0,0,ROW()-1,84),ROW()-1,FALSE))</f>
        <v>13679.8</v>
      </c>
      <c r="CH9">
        <f ca="1">IF(AND($B$51=1,LEN($CH$55)&gt;0),$CH$55*10,HLOOKUP(INDIRECT(ADDRESS(2,COLUMN())),OFFSET($CL$2,0,0,ROW()-1,84),ROW()-1,FALSE))</f>
        <v>16780.599999999999</v>
      </c>
      <c r="CI9">
        <f ca="1">IF(AND($B$51=1,LEN($CI$55)&gt;0),$CI$55*10,HLOOKUP(INDIRECT(ADDRESS(2,COLUMN())),OFFSET($CL$2,0,0,ROW()-1,84),ROW()-1,FALSE))</f>
        <v>16740</v>
      </c>
      <c r="CJ9">
        <f ca="1">IF(AND($B$51=1,LEN($CJ$55)&gt;0),$CJ$55*10,HLOOKUP(INDIRECT(ADDRESS(2,COLUMN())),OFFSET($CL$2,0,0,ROW()-1,84),ROW()-1,FALSE))</f>
        <v>16672.099999999999</v>
      </c>
      <c r="CK9">
        <f ca="1">IF(AND($B$51=1,LEN($CK$55)&gt;0),$CK$55*10,HLOOKUP(INDIRECT(ADDRESS(2,COLUMN())),OFFSET($CL$2,0,0,ROW()-1,84),ROW()-1,FALSE))</f>
        <v>16452.900000000001</v>
      </c>
      <c r="CL9">
        <f>23650</f>
        <v>23650</v>
      </c>
      <c r="CM9">
        <f>23960</f>
        <v>23960</v>
      </c>
      <c r="CN9">
        <f>23670</f>
        <v>23670</v>
      </c>
      <c r="CO9">
        <f>23700</f>
        <v>23700</v>
      </c>
      <c r="CP9">
        <f>23280</f>
        <v>23280</v>
      </c>
      <c r="CQ9">
        <f>22400</f>
        <v>22400</v>
      </c>
      <c r="CR9">
        <f>22430</f>
        <v>22430</v>
      </c>
      <c r="CS9" t="str">
        <f>""</f>
        <v/>
      </c>
      <c r="CT9" t="str">
        <f>""</f>
        <v/>
      </c>
      <c r="CU9">
        <f>22260</f>
        <v>22260</v>
      </c>
      <c r="CV9">
        <f>22710</f>
        <v>22710</v>
      </c>
      <c r="CW9">
        <f>22370</f>
        <v>22370</v>
      </c>
      <c r="CX9">
        <f>21920</f>
        <v>21920</v>
      </c>
      <c r="CY9">
        <f>22580</f>
        <v>22580</v>
      </c>
      <c r="CZ9">
        <f>23250</f>
        <v>23250</v>
      </c>
      <c r="DA9">
        <f>22710</f>
        <v>22710</v>
      </c>
      <c r="DB9">
        <f>22280</f>
        <v>22280</v>
      </c>
      <c r="DC9">
        <f>20810</f>
        <v>20810</v>
      </c>
      <c r="DD9">
        <f>20980</f>
        <v>20980</v>
      </c>
      <c r="DE9">
        <f>17270</f>
        <v>17270</v>
      </c>
      <c r="DF9">
        <f>21580</f>
        <v>21580</v>
      </c>
      <c r="DG9">
        <f>20190</f>
        <v>20190</v>
      </c>
      <c r="DH9">
        <f>21130</f>
        <v>21130</v>
      </c>
      <c r="DI9">
        <f>21640</f>
        <v>21640</v>
      </c>
      <c r="DJ9">
        <f>21450</f>
        <v>21450</v>
      </c>
      <c r="DK9">
        <f>21950</f>
        <v>21950</v>
      </c>
      <c r="DL9">
        <f>20990</f>
        <v>20990</v>
      </c>
      <c r="DM9">
        <f>21360</f>
        <v>21360</v>
      </c>
      <c r="DN9">
        <f>21460</f>
        <v>21460</v>
      </c>
      <c r="DO9">
        <f>20770</f>
        <v>20770</v>
      </c>
      <c r="DP9">
        <f>20650</f>
        <v>20650</v>
      </c>
      <c r="DQ9">
        <f>16590</f>
        <v>16590</v>
      </c>
      <c r="DR9">
        <f>21150</f>
        <v>21150</v>
      </c>
      <c r="DS9">
        <f>20110</f>
        <v>20110</v>
      </c>
      <c r="DT9">
        <f>21250</f>
        <v>21250</v>
      </c>
      <c r="DU9">
        <f>21720</f>
        <v>21720</v>
      </c>
      <c r="DV9">
        <f>21590</f>
        <v>21590</v>
      </c>
      <c r="DW9">
        <f>21370</f>
        <v>21370</v>
      </c>
      <c r="DX9">
        <f>21240</f>
        <v>21240</v>
      </c>
      <c r="DY9">
        <f>20090</f>
        <v>20090</v>
      </c>
      <c r="DZ9">
        <f>19270</f>
        <v>19270</v>
      </c>
      <c r="EA9">
        <f>18250</f>
        <v>18250</v>
      </c>
      <c r="EB9">
        <f>18160</f>
        <v>18160</v>
      </c>
      <c r="EC9">
        <f>12380</f>
        <v>12380</v>
      </c>
      <c r="ED9">
        <f>18800</f>
        <v>18800</v>
      </c>
      <c r="EE9">
        <f>18830</f>
        <v>18830</v>
      </c>
      <c r="EF9">
        <f>19520</f>
        <v>19520</v>
      </c>
      <c r="EG9">
        <f>19580</f>
        <v>19580</v>
      </c>
      <c r="EH9">
        <f>20210</f>
        <v>20210</v>
      </c>
      <c r="EI9">
        <f>20040</f>
        <v>20040</v>
      </c>
      <c r="EJ9">
        <f>20160</f>
        <v>20160</v>
      </c>
      <c r="EK9">
        <f>19710</f>
        <v>19710</v>
      </c>
      <c r="EL9">
        <f>19840</f>
        <v>19840</v>
      </c>
      <c r="EM9">
        <f>19240</f>
        <v>19240</v>
      </c>
      <c r="EN9">
        <f>19100</f>
        <v>19100</v>
      </c>
      <c r="EO9">
        <f>14950</f>
        <v>14950</v>
      </c>
      <c r="EP9">
        <f>19730</f>
        <v>19730</v>
      </c>
      <c r="EQ9">
        <f>18093.4</f>
        <v>18093.400000000001</v>
      </c>
      <c r="ER9">
        <f>18819</f>
        <v>18819</v>
      </c>
      <c r="ES9">
        <f>18826.5</f>
        <v>18826.5</v>
      </c>
      <c r="ET9">
        <f>19278.6</f>
        <v>19278.599999999999</v>
      </c>
      <c r="EU9">
        <f>19199.9</f>
        <v>19199.900000000001</v>
      </c>
      <c r="EV9">
        <f>18911</f>
        <v>18911</v>
      </c>
      <c r="EW9">
        <f>18822.2</f>
        <v>18822.2</v>
      </c>
      <c r="EX9">
        <f>19020.6</f>
        <v>19020.599999999999</v>
      </c>
      <c r="EY9">
        <f>18362.3</f>
        <v>18362.3</v>
      </c>
      <c r="EZ9">
        <f>17557.7</f>
        <v>17557.7</v>
      </c>
      <c r="FA9">
        <f>14986.4</f>
        <v>14986.4</v>
      </c>
      <c r="FB9">
        <f>18425.8</f>
        <v>18425.8</v>
      </c>
      <c r="FC9">
        <f>17210.8</f>
        <v>17210.8</v>
      </c>
      <c r="FD9">
        <f>17842.6</f>
        <v>17842.599999999999</v>
      </c>
      <c r="FE9">
        <f>17783.7</f>
        <v>17783.7</v>
      </c>
      <c r="FF9">
        <f>18313.9</f>
        <v>18313.900000000001</v>
      </c>
      <c r="FG9">
        <f>18285.4</f>
        <v>18285.400000000001</v>
      </c>
      <c r="FH9">
        <f>18442.4</f>
        <v>18442.400000000001</v>
      </c>
      <c r="FI9">
        <f>17880.8</f>
        <v>17880.8</v>
      </c>
      <c r="FJ9">
        <f>18100.3</f>
        <v>18100.3</v>
      </c>
      <c r="FK9">
        <f>17354.2</f>
        <v>17354.2</v>
      </c>
      <c r="FL9">
        <f>17249.5</f>
        <v>17249.5</v>
      </c>
      <c r="FM9">
        <f>13679.8</f>
        <v>13679.8</v>
      </c>
      <c r="FN9">
        <f>16780.6</f>
        <v>16780.599999999999</v>
      </c>
      <c r="FO9">
        <f>16740</f>
        <v>16740</v>
      </c>
      <c r="FP9">
        <f>16672.1</f>
        <v>16672.099999999999</v>
      </c>
      <c r="FQ9">
        <f>16452.9</f>
        <v>16452.900000000001</v>
      </c>
    </row>
    <row r="10" spans="1:173" x14ac:dyDescent="0.25">
      <c r="A10" t="str">
        <f>"Shanghai Sea Port Container Throughput (000 TEU)"</f>
        <v>Shanghai Sea Port Container Throughput (000 TEU)</v>
      </c>
      <c r="B10" t="str">
        <f>"CNIFSCSH Index"</f>
        <v>CNIFSCSH Index</v>
      </c>
      <c r="E10" t="str">
        <f>"Expression"</f>
        <v>Expression</v>
      </c>
      <c r="F10" t="str">
        <f ca="1">IF(AND($B$51=1,LEN($F$56)&gt;0),$F$56*10,HLOOKUP(INDIRECT(ADDRESS(2,COLUMN())),OFFSET($CL$2,0,0,ROW()-1,84),ROW()-1,FALSE))</f>
        <v/>
      </c>
      <c r="G10">
        <f ca="1">IF(AND($B$51=1,LEN($G$56)&gt;0),$G$56*10,HLOOKUP(INDIRECT(ADDRESS(2,COLUMN())),OFFSET($CL$2,0,0,ROW()-1,84),ROW()-1,FALSE))</f>
        <v>4200</v>
      </c>
      <c r="H10">
        <f ca="1">IF(AND($B$51=1,LEN($H$56)&gt;0),$H$56*10,HLOOKUP(INDIRECT(ADDRESS(2,COLUMN())),OFFSET($CL$2,0,0,ROW()-1,84),ROW()-1,FALSE))</f>
        <v>4200</v>
      </c>
      <c r="I10">
        <f ca="1">IF(AND($B$51=1,LEN($I$56)&gt;0),$I$56*10,HLOOKUP(INDIRECT(ADDRESS(2,COLUMN())),OFFSET($CL$2,0,0,ROW()-1,84),ROW()-1,FALSE))</f>
        <v>4150</v>
      </c>
      <c r="J10">
        <f ca="1">IF(AND($B$51=1,LEN($J$56)&gt;0),$J$56*10,HLOOKUP(INDIRECT(ADDRESS(2,COLUMN())),OFFSET($CL$2,0,0,ROW()-1,84),ROW()-1,FALSE))</f>
        <v>4100</v>
      </c>
      <c r="K10">
        <f ca="1">IF(AND($B$51=1,LEN($K$56)&gt;0),$K$56*10,HLOOKUP(INDIRECT(ADDRESS(2,COLUMN())),OFFSET($CL$2,0,0,ROW()-1,84),ROW()-1,FALSE))</f>
        <v>4010</v>
      </c>
      <c r="L10">
        <f ca="1">IF(AND($B$51=1,LEN($L$56)&gt;0),$L$56*10,HLOOKUP(INDIRECT(ADDRESS(2,COLUMN())),OFFSET($CL$2,0,0,ROW()-1,84),ROW()-1,FALSE))</f>
        <v>4020</v>
      </c>
      <c r="M10" t="str">
        <f ca="1">IF(AND($B$51=1,LEN($M$56)&gt;0),$M$56*10,HLOOKUP(INDIRECT(ADDRESS(2,COLUMN())),OFFSET($CL$2,0,0,ROW()-1,84),ROW()-1,FALSE))</f>
        <v/>
      </c>
      <c r="N10" t="str">
        <f ca="1">IF(AND($B$51=1,LEN($N$56)&gt;0),$N$56*10,HLOOKUP(INDIRECT(ADDRESS(2,COLUMN())),OFFSET($CL$2,0,0,ROW()-1,84),ROW()-1,FALSE))</f>
        <v/>
      </c>
      <c r="O10">
        <f ca="1">IF(AND($B$51=1,LEN($O$56)&gt;0),$O$56*10,HLOOKUP(INDIRECT(ADDRESS(2,COLUMN())),OFFSET($CL$2,0,0,ROW()-1,84),ROW()-1,FALSE))</f>
        <v>4110</v>
      </c>
      <c r="P10">
        <f ca="1">IF(AND($B$51=1,LEN($P$56)&gt;0),$P$56*10,HLOOKUP(INDIRECT(ADDRESS(2,COLUMN())),OFFSET($CL$2,0,0,ROW()-1,84),ROW()-1,FALSE))</f>
        <v>4110</v>
      </c>
      <c r="Q10">
        <f ca="1">IF(AND($B$51=1,LEN($Q$56)&gt;0),$Q$56*10,HLOOKUP(INDIRECT(ADDRESS(2,COLUMN())),OFFSET($CL$2,0,0,ROW()-1,84),ROW()-1,FALSE))</f>
        <v>4190</v>
      </c>
      <c r="R10">
        <f ca="1">IF(AND($B$51=1,LEN($R$56)&gt;0),$R$56*10,HLOOKUP(INDIRECT(ADDRESS(2,COLUMN())),OFFSET($CL$2,0,0,ROW()-1,84),ROW()-1,FALSE))</f>
        <v>3870</v>
      </c>
      <c r="S10">
        <f ca="1">IF(AND($B$51=1,LEN($S$56)&gt;0),$S$56*10,HLOOKUP(INDIRECT(ADDRESS(2,COLUMN())),OFFSET($CL$2,0,0,ROW()-1,84),ROW()-1,FALSE))</f>
        <v>4170</v>
      </c>
      <c r="T10">
        <f ca="1">IF(AND($B$51=1,LEN($T$56)&gt;0),$T$56*10,HLOOKUP(INDIRECT(ADDRESS(2,COLUMN())),OFFSET($CL$2,0,0,ROW()-1,84),ROW()-1,FALSE))</f>
        <v>4300</v>
      </c>
      <c r="U10">
        <f ca="1">IF(AND($B$51=1,LEN($U$56)&gt;0),$U$56*10,HLOOKUP(INDIRECT(ADDRESS(2,COLUMN())),OFFSET($CL$2,0,0,ROW()-1,84),ROW()-1,FALSE))</f>
        <v>3790</v>
      </c>
      <c r="V10">
        <f ca="1">IF(AND($B$51=1,LEN($V$56)&gt;0),$V$56*10,HLOOKUP(INDIRECT(ADDRESS(2,COLUMN())),OFFSET($CL$2,0,0,ROW()-1,84),ROW()-1,FALSE))</f>
        <v>3400</v>
      </c>
      <c r="W10">
        <f ca="1">IF(AND($B$51=1,LEN($W$56)&gt;0),$W$56*10,HLOOKUP(INDIRECT(ADDRESS(2,COLUMN())),OFFSET($CL$2,0,0,ROW()-1,84),ROW()-1,FALSE))</f>
        <v>3080</v>
      </c>
      <c r="X10">
        <f ca="1">IF(AND($B$51=1,LEN($X$56)&gt;0),$X$56*10,HLOOKUP(INDIRECT(ADDRESS(2,COLUMN())),OFFSET($CL$2,0,0,ROW()-1,84),ROW()-1,FALSE))</f>
        <v>4100</v>
      </c>
      <c r="Y10">
        <f ca="1">IF(AND($B$51=1,LEN($Y$56)&gt;0),$Y$56*10,HLOOKUP(INDIRECT(ADDRESS(2,COLUMN())),OFFSET($CL$2,0,0,ROW()-1,84),ROW()-1,FALSE))</f>
        <v>3810</v>
      </c>
      <c r="Z10">
        <f ca="1">IF(AND($B$51=1,LEN($Z$56)&gt;0),$Z$56*10,HLOOKUP(INDIRECT(ADDRESS(2,COLUMN())),OFFSET($CL$2,0,0,ROW()-1,84),ROW()-1,FALSE))</f>
        <v>4350</v>
      </c>
      <c r="AA10">
        <f ca="1">IF(AND($B$51=1,LEN($AA$56)&gt;0),$AA$56*10,HLOOKUP(INDIRECT(ADDRESS(2,COLUMN())),OFFSET($CL$2,0,0,ROW()-1,84),ROW()-1,FALSE))</f>
        <v>3980</v>
      </c>
      <c r="AB10">
        <f ca="1">IF(AND($B$51=1,LEN($AB$56)&gt;0),$AB$56*10,HLOOKUP(INDIRECT(ADDRESS(2,COLUMN())),OFFSET($CL$2,0,0,ROW()-1,84),ROW()-1,FALSE))</f>
        <v>4060</v>
      </c>
      <c r="AC10">
        <f ca="1">IF(AND($B$51=1,LEN($AC$56)&gt;0),$AC$56*10,HLOOKUP(INDIRECT(ADDRESS(2,COLUMN())),OFFSET($CL$2,0,0,ROW()-1,84),ROW()-1,FALSE))</f>
        <v>4190</v>
      </c>
      <c r="AD10">
        <f ca="1">IF(AND($B$51=1,LEN($AD$56)&gt;0),$AD$56*10,HLOOKUP(INDIRECT(ADDRESS(2,COLUMN())),OFFSET($CL$2,0,0,ROW()-1,84),ROW()-1,FALSE))</f>
        <v>3830</v>
      </c>
      <c r="AE10">
        <f ca="1">IF(AND($B$51=1,LEN($AE$56)&gt;0),$AE$56*10,HLOOKUP(INDIRECT(ADDRESS(2,COLUMN())),OFFSET($CL$2,0,0,ROW()-1,84),ROW()-1,FALSE))</f>
        <v>4320</v>
      </c>
      <c r="AF10">
        <f ca="1">IF(AND($B$51=1,LEN($AF$56)&gt;0),$AF$56*10,HLOOKUP(INDIRECT(ADDRESS(2,COLUMN())),OFFSET($CL$2,0,0,ROW()-1,84),ROW()-1,FALSE))</f>
        <v>3700</v>
      </c>
      <c r="AG10">
        <f ca="1">IF(AND($B$51=1,LEN($AG$56)&gt;0),$AG$56*10,HLOOKUP(INDIRECT(ADDRESS(2,COLUMN())),OFFSET($CL$2,0,0,ROW()-1,84),ROW()-1,FALSE))</f>
        <v>4090</v>
      </c>
      <c r="AH10">
        <f ca="1">IF(AND($B$51=1,LEN($AH$56)&gt;0),$AH$56*10,HLOOKUP(INDIRECT(ADDRESS(2,COLUMN())),OFFSET($CL$2,0,0,ROW()-1,84),ROW()-1,FALSE))</f>
        <v>3790</v>
      </c>
      <c r="AI10">
        <f ca="1">IF(AND($B$51=1,LEN($AI$56)&gt;0),$AI$56*10,HLOOKUP(INDIRECT(ADDRESS(2,COLUMN())),OFFSET($CL$2,0,0,ROW()-1,84),ROW()-1,FALSE))</f>
        <v>3720</v>
      </c>
      <c r="AJ10">
        <f ca="1">IF(AND($B$51=1,LEN($AJ$56)&gt;0),$AJ$56*10,HLOOKUP(INDIRECT(ADDRESS(2,COLUMN())),OFFSET($CL$2,0,0,ROW()-1,84),ROW()-1,FALSE))</f>
        <v>3900</v>
      </c>
      <c r="AK10">
        <f ca="1">IF(AND($B$51=1,LEN($AK$56)&gt;0),$AK$56*10,HLOOKUP(INDIRECT(ADDRESS(2,COLUMN())),OFFSET($CL$2,0,0,ROW()-1,84),ROW()-1,FALSE))</f>
        <v>3410</v>
      </c>
      <c r="AL10">
        <f ca="1">IF(AND($B$51=1,LEN($AL$56)&gt;0),$AL$56*10,HLOOKUP(INDIRECT(ADDRESS(2,COLUMN())),OFFSET($CL$2,0,0,ROW()-1,84),ROW()-1,FALSE))</f>
        <v>4040</v>
      </c>
      <c r="AM10">
        <f ca="1">IF(AND($B$51=1,LEN($AM$56)&gt;0),$AM$56*10,HLOOKUP(INDIRECT(ADDRESS(2,COLUMN())),OFFSET($CL$2,0,0,ROW()-1,84),ROW()-1,FALSE))</f>
        <v>3640</v>
      </c>
      <c r="AN10">
        <f ca="1">IF(AND($B$51=1,LEN($AN$56)&gt;0),$AN$56*10,HLOOKUP(INDIRECT(ADDRESS(2,COLUMN())),OFFSET($CL$2,0,0,ROW()-1,84),ROW()-1,FALSE))</f>
        <v>4010</v>
      </c>
      <c r="AO10">
        <f ca="1">IF(AND($B$51=1,LEN($AO$56)&gt;0),$AO$56*10,HLOOKUP(INDIRECT(ADDRESS(2,COLUMN())),OFFSET($CL$2,0,0,ROW()-1,84),ROW()-1,FALSE))</f>
        <v>4200</v>
      </c>
      <c r="AP10">
        <f ca="1">IF(AND($B$51=1,LEN($AP$56)&gt;0),$AP$56*10,HLOOKUP(INDIRECT(ADDRESS(2,COLUMN())),OFFSET($CL$2,0,0,ROW()-1,84),ROW()-1,FALSE))</f>
        <v>3850</v>
      </c>
      <c r="AQ10">
        <f ca="1">IF(AND($B$51=1,LEN($AQ$56)&gt;0),$AQ$56*10,HLOOKUP(INDIRECT(ADDRESS(2,COLUMN())),OFFSET($CL$2,0,0,ROW()-1,84),ROW()-1,FALSE))</f>
        <v>3840</v>
      </c>
      <c r="AR10">
        <f ca="1">IF(AND($B$51=1,LEN($AR$56)&gt;0),$AR$56*10,HLOOKUP(INDIRECT(ADDRESS(2,COLUMN())),OFFSET($CL$2,0,0,ROW()-1,84),ROW()-1,FALSE))</f>
        <v>3900</v>
      </c>
      <c r="AS10">
        <f ca="1">IF(AND($B$51=1,LEN($AS$56)&gt;0),$AS$56*10,HLOOKUP(INDIRECT(ADDRESS(2,COLUMN())),OFFSET($CL$2,0,0,ROW()-1,84),ROW()-1,FALSE))</f>
        <v>3600</v>
      </c>
      <c r="AT10">
        <f ca="1">IF(AND($B$51=1,LEN($AT$56)&gt;0),$AT$56*10,HLOOKUP(INDIRECT(ADDRESS(2,COLUMN())),OFFSET($CL$2,0,0,ROW()-1,84),ROW()-1,FALSE))</f>
        <v>3620</v>
      </c>
      <c r="AU10">
        <f ca="1">IF(AND($B$51=1,LEN($AU$56)&gt;0),$AU$56*10,HLOOKUP(INDIRECT(ADDRESS(2,COLUMN())),OFFSET($CL$2,0,0,ROW()-1,84),ROW()-1,FALSE))</f>
        <v>3510</v>
      </c>
      <c r="AV10">
        <f ca="1">IF(AND($B$51=1,LEN($AV$56)&gt;0),$AV$56*10,HLOOKUP(INDIRECT(ADDRESS(2,COLUMN())),OFFSET($CL$2,0,0,ROW()-1,84),ROW()-1,FALSE))</f>
        <v>3430</v>
      </c>
      <c r="AW10">
        <f ca="1">IF(AND($B$51=1,LEN($AW$56)&gt;0),$AW$56*10,HLOOKUP(INDIRECT(ADDRESS(2,COLUMN())),OFFSET($CL$2,0,0,ROW()-1,84),ROW()-1,FALSE))</f>
        <v>2300</v>
      </c>
      <c r="AX10">
        <f ca="1">IF(AND($B$51=1,LEN($AX$56)&gt;0),$AX$56*10,HLOOKUP(INDIRECT(ADDRESS(2,COLUMN())),OFFSET($CL$2,0,0,ROW()-1,84),ROW()-1,FALSE))</f>
        <v>3600</v>
      </c>
      <c r="AY10">
        <f ca="1">IF(AND($B$51=1,LEN($AY$56)&gt;0),$AY$56*10,HLOOKUP(INDIRECT(ADDRESS(2,COLUMN())),OFFSET($CL$2,0,0,ROW()-1,84),ROW()-1,FALSE))</f>
        <v>3270</v>
      </c>
      <c r="AZ10">
        <f ca="1">IF(AND($B$51=1,LEN($AZ$56)&gt;0),$AZ$56*10,HLOOKUP(INDIRECT(ADDRESS(2,COLUMN())),OFFSET($CL$2,0,0,ROW()-1,84),ROW()-1,FALSE))</f>
        <v>3550</v>
      </c>
      <c r="BA10">
        <f ca="1">IF(AND($B$51=1,LEN($BA$56)&gt;0),$BA$56*10,HLOOKUP(INDIRECT(ADDRESS(2,COLUMN())),OFFSET($CL$2,0,0,ROW()-1,84),ROW()-1,FALSE))</f>
        <v>3630</v>
      </c>
      <c r="BB10">
        <f ca="1">IF(AND($B$51=1,LEN($BB$56)&gt;0),$BB$56*10,HLOOKUP(INDIRECT(ADDRESS(2,COLUMN())),OFFSET($CL$2,0,0,ROW()-1,84),ROW()-1,FALSE))</f>
        <v>3710</v>
      </c>
      <c r="BC10">
        <f ca="1">IF(AND($B$51=1,LEN($BC$56)&gt;0),$BC$56*10,HLOOKUP(INDIRECT(ADDRESS(2,COLUMN())),OFFSET($CL$2,0,0,ROW()-1,84),ROW()-1,FALSE))</f>
        <v>3760</v>
      </c>
      <c r="BD10">
        <f ca="1">IF(AND($B$51=1,LEN($BD$56)&gt;0),$BD$56*10,HLOOKUP(INDIRECT(ADDRESS(2,COLUMN())),OFFSET($CL$2,0,0,ROW()-1,84),ROW()-1,FALSE))</f>
        <v>3850</v>
      </c>
      <c r="BE10">
        <f ca="1">IF(AND($B$51=1,LEN($BE$56)&gt;0),$BE$56*10,HLOOKUP(INDIRECT(ADDRESS(2,COLUMN())),OFFSET($CL$2,0,0,ROW()-1,84),ROW()-1,FALSE))</f>
        <v>3760</v>
      </c>
      <c r="BF10">
        <f ca="1">IF(AND($B$51=1,LEN($BF$56)&gt;0),$BF$56*10,HLOOKUP(INDIRECT(ADDRESS(2,COLUMN())),OFFSET($CL$2,0,0,ROW()-1,84),ROW()-1,FALSE))</f>
        <v>3760</v>
      </c>
      <c r="BG10">
        <f ca="1">IF(AND($B$51=1,LEN($BG$56)&gt;0),$BG$56*10,HLOOKUP(INDIRECT(ADDRESS(2,COLUMN())),OFFSET($CL$2,0,0,ROW()-1,84),ROW()-1,FALSE))</f>
        <v>3610</v>
      </c>
      <c r="BH10">
        <f ca="1">IF(AND($B$51=1,LEN($BH$56)&gt;0),$BH$56*10,HLOOKUP(INDIRECT(ADDRESS(2,COLUMN())),OFFSET($CL$2,0,0,ROW()-1,84),ROW()-1,FALSE))</f>
        <v>3810</v>
      </c>
      <c r="BI10">
        <f ca="1">IF(AND($B$51=1,LEN($BI$56)&gt;0),$BI$56*10,HLOOKUP(INDIRECT(ADDRESS(2,COLUMN())),OFFSET($CL$2,0,0,ROW()-1,84),ROW()-1,FALSE))</f>
        <v>2860</v>
      </c>
      <c r="BJ10">
        <f ca="1">IF(AND($B$51=1,LEN($BJ$56)&gt;0),$BJ$56*10,HLOOKUP(INDIRECT(ADDRESS(2,COLUMN())),OFFSET($CL$2,0,0,ROW()-1,84),ROW()-1,FALSE))</f>
        <v>3750</v>
      </c>
      <c r="BK10">
        <f ca="1">IF(AND($B$51=1,LEN($BK$56)&gt;0),$BK$56*10,HLOOKUP(INDIRECT(ADDRESS(2,COLUMN())),OFFSET($CL$2,0,0,ROW()-1,84),ROW()-1,FALSE))</f>
        <v>3580.3</v>
      </c>
      <c r="BL10">
        <f ca="1">IF(AND($B$51=1,LEN($BL$56)&gt;0),$BL$56*10,HLOOKUP(INDIRECT(ADDRESS(2,COLUMN())),OFFSET($CL$2,0,0,ROW()-1,84),ROW()-1,FALSE))</f>
        <v>3500</v>
      </c>
      <c r="BM10">
        <f ca="1">IF(AND($B$51=1,LEN($BM$56)&gt;0),$BM$56*10,HLOOKUP(INDIRECT(ADDRESS(2,COLUMN())),OFFSET($CL$2,0,0,ROW()-1,84),ROW()-1,FALSE))</f>
        <v>3530</v>
      </c>
      <c r="BN10">
        <f ca="1">IF(AND($B$51=1,LEN($BN$56)&gt;0),$BN$56*10,HLOOKUP(INDIRECT(ADDRESS(2,COLUMN())),OFFSET($CL$2,0,0,ROW()-1,84),ROW()-1,FALSE))</f>
        <v>3810</v>
      </c>
      <c r="BO10">
        <f ca="1">IF(AND($B$51=1,LEN($BO$56)&gt;0),$BO$56*10,HLOOKUP(INDIRECT(ADDRESS(2,COLUMN())),OFFSET($CL$2,0,0,ROW()-1,84),ROW()-1,FALSE))</f>
        <v>3470</v>
      </c>
      <c r="BP10">
        <f ca="1">IF(AND($B$51=1,LEN($BP$56)&gt;0),$BP$56*10,HLOOKUP(INDIRECT(ADDRESS(2,COLUMN())),OFFSET($CL$2,0,0,ROW()-1,84),ROW()-1,FALSE))</f>
        <v>3550</v>
      </c>
      <c r="BQ10">
        <f ca="1">IF(AND($B$51=1,LEN($BQ$56)&gt;0),$BQ$56*10,HLOOKUP(INDIRECT(ADDRESS(2,COLUMN())),OFFSET($CL$2,0,0,ROW()-1,84),ROW()-1,FALSE))</f>
        <v>3600</v>
      </c>
      <c r="BR10">
        <f ca="1">IF(AND($B$51=1,LEN($BR$56)&gt;0),$BR$56*10,HLOOKUP(INDIRECT(ADDRESS(2,COLUMN())),OFFSET($CL$2,0,0,ROW()-1,84),ROW()-1,FALSE))</f>
        <v>3620</v>
      </c>
      <c r="BS10">
        <f ca="1">IF(AND($B$51=1,LEN($BS$56)&gt;0),$BS$56*10,HLOOKUP(INDIRECT(ADDRESS(2,COLUMN())),OFFSET($CL$2,0,0,ROW()-1,84),ROW()-1,FALSE))</f>
        <v>3520</v>
      </c>
      <c r="BT10">
        <f ca="1">IF(AND($B$51=1,LEN($BT$56)&gt;0),$BT$56*10,HLOOKUP(INDIRECT(ADDRESS(2,COLUMN())),OFFSET($CL$2,0,0,ROW()-1,84),ROW()-1,FALSE))</f>
        <v>3380</v>
      </c>
      <c r="BU10">
        <f ca="1">IF(AND($B$51=1,LEN($BU$56)&gt;0),$BU$56*10,HLOOKUP(INDIRECT(ADDRESS(2,COLUMN())),OFFSET($CL$2,0,0,ROW()-1,84),ROW()-1,FALSE))</f>
        <v>2930</v>
      </c>
      <c r="BV10">
        <f ca="1">IF(AND($B$51=1,LEN($BV$56)&gt;0),$BV$56*10,HLOOKUP(INDIRECT(ADDRESS(2,COLUMN())),OFFSET($CL$2,0,0,ROW()-1,84),ROW()-1,FALSE))</f>
        <v>3390</v>
      </c>
      <c r="BW10">
        <f ca="1">IF(AND($B$51=1,LEN($BW$56)&gt;0),$BW$56*10,HLOOKUP(INDIRECT(ADDRESS(2,COLUMN())),OFFSET($CL$2,0,0,ROW()-1,84),ROW()-1,FALSE))</f>
        <v>3355.3</v>
      </c>
      <c r="BX10">
        <f ca="1">IF(AND($B$51=1,LEN($BX$56)&gt;0),$BX$56*10,HLOOKUP(INDIRECT(ADDRESS(2,COLUMN())),OFFSET($CL$2,0,0,ROW()-1,84),ROW()-1,FALSE))</f>
        <v>3550</v>
      </c>
      <c r="BY10">
        <f ca="1">IF(AND($B$51=1,LEN($BY$56)&gt;0),$BY$56*10,HLOOKUP(INDIRECT(ADDRESS(2,COLUMN())),OFFSET($CL$2,0,0,ROW()-1,84),ROW()-1,FALSE))</f>
        <v>3400</v>
      </c>
      <c r="BZ10">
        <f ca="1">IF(AND($B$51=1,LEN($BZ$56)&gt;0),$BZ$56*10,HLOOKUP(INDIRECT(ADDRESS(2,COLUMN())),OFFSET($CL$2,0,0,ROW()-1,84),ROW()-1,FALSE))</f>
        <v>3380</v>
      </c>
      <c r="CA10">
        <f ca="1">IF(AND($B$51=1,LEN($CA$56)&gt;0),$CA$56*10,HLOOKUP(INDIRECT(ADDRESS(2,COLUMN())),OFFSET($CL$2,0,0,ROW()-1,84),ROW()-1,FALSE))</f>
        <v>3450</v>
      </c>
      <c r="CB10">
        <f ca="1">IF(AND($B$51=1,LEN($CB$56)&gt;0),$CB$56*10,HLOOKUP(INDIRECT(ADDRESS(2,COLUMN())),OFFSET($CL$2,0,0,ROW()-1,84),ROW()-1,FALSE))</f>
        <v>3500</v>
      </c>
      <c r="CC10">
        <f ca="1">IF(AND($B$51=1,LEN($CC$56)&gt;0),$CC$56*10,HLOOKUP(INDIRECT(ADDRESS(2,COLUMN())),OFFSET($CL$2,0,0,ROW()-1,84),ROW()-1,FALSE))</f>
        <v>3400</v>
      </c>
      <c r="CD10">
        <f ca="1">IF(AND($B$51=1,LEN($CD$56)&gt;0),$CD$56*10,HLOOKUP(INDIRECT(ADDRESS(2,COLUMN())),OFFSET($CL$2,0,0,ROW()-1,84),ROW()-1,FALSE))</f>
        <v>3500</v>
      </c>
      <c r="CE10">
        <f ca="1">IF(AND($B$51=1,LEN($CE$56)&gt;0),$CE$56*10,HLOOKUP(INDIRECT(ADDRESS(2,COLUMN())),OFFSET($CL$2,0,0,ROW()-1,84),ROW()-1,FALSE))</f>
        <v>3230</v>
      </c>
      <c r="CF10">
        <f ca="1">IF(AND($B$51=1,LEN($CF$56)&gt;0),$CF$56*10,HLOOKUP(INDIRECT(ADDRESS(2,COLUMN())),OFFSET($CL$2,0,0,ROW()-1,84),ROW()-1,FALSE))</f>
        <v>3400</v>
      </c>
      <c r="CG10">
        <f ca="1">IF(AND($B$51=1,LEN($CG$56)&gt;0),$CG$56*10,HLOOKUP(INDIRECT(ADDRESS(2,COLUMN())),OFFSET($CL$2,0,0,ROW()-1,84),ROW()-1,FALSE))</f>
        <v>2620</v>
      </c>
      <c r="CH10">
        <f ca="1">IF(AND($B$51=1,LEN($CH$56)&gt;0),$CH$56*10,HLOOKUP(INDIRECT(ADDRESS(2,COLUMN())),OFFSET($CL$2,0,0,ROW()-1,84),ROW()-1,FALSE))</f>
        <v>3280</v>
      </c>
      <c r="CI10">
        <f ca="1">IF(AND($B$51=1,LEN($CI$56)&gt;0),$CI$56*10,HLOOKUP(INDIRECT(ADDRESS(2,COLUMN())),OFFSET($CL$2,0,0,ROW()-1,84),ROW()-1,FALSE))</f>
        <v>3140</v>
      </c>
      <c r="CJ10">
        <f ca="1">IF(AND($B$51=1,LEN($CJ$56)&gt;0),$CJ$56*10,HLOOKUP(INDIRECT(ADDRESS(2,COLUMN())),OFFSET($CL$2,0,0,ROW()-1,84),ROW()-1,FALSE))</f>
        <v>3200</v>
      </c>
      <c r="CK10">
        <f ca="1">IF(AND($B$51=1,LEN($CK$56)&gt;0),$CK$56*10,HLOOKUP(INDIRECT(ADDRESS(2,COLUMN())),OFFSET($CL$2,0,0,ROW()-1,84),ROW()-1,FALSE))</f>
        <v>3220</v>
      </c>
      <c r="CL10" t="str">
        <f>""</f>
        <v/>
      </c>
      <c r="CM10">
        <f>4200</f>
        <v>4200</v>
      </c>
      <c r="CN10">
        <f>4200</f>
        <v>4200</v>
      </c>
      <c r="CO10">
        <f>4150</f>
        <v>4150</v>
      </c>
      <c r="CP10">
        <f>4100</f>
        <v>4100</v>
      </c>
      <c r="CQ10">
        <f>4010</f>
        <v>4010</v>
      </c>
      <c r="CR10">
        <f>4020</f>
        <v>4020</v>
      </c>
      <c r="CS10" t="str">
        <f>""</f>
        <v/>
      </c>
      <c r="CT10" t="str">
        <f>""</f>
        <v/>
      </c>
      <c r="CU10">
        <f>4110</f>
        <v>4110</v>
      </c>
      <c r="CV10">
        <f>4110</f>
        <v>4110</v>
      </c>
      <c r="CW10">
        <f>4190</f>
        <v>4190</v>
      </c>
      <c r="CX10">
        <f>3870</f>
        <v>3870</v>
      </c>
      <c r="CY10">
        <f>4170</f>
        <v>4170</v>
      </c>
      <c r="CZ10">
        <f>4300</f>
        <v>4300</v>
      </c>
      <c r="DA10">
        <f>3790</f>
        <v>3790</v>
      </c>
      <c r="DB10">
        <f>3400</f>
        <v>3400</v>
      </c>
      <c r="DC10">
        <f>3080</f>
        <v>3080</v>
      </c>
      <c r="DD10">
        <f>4100</f>
        <v>4100</v>
      </c>
      <c r="DE10">
        <f>3810</f>
        <v>3810</v>
      </c>
      <c r="DF10">
        <f>4350</f>
        <v>4350</v>
      </c>
      <c r="DG10">
        <f>3980</f>
        <v>3980</v>
      </c>
      <c r="DH10">
        <f>4060</f>
        <v>4060</v>
      </c>
      <c r="DI10">
        <f>4190</f>
        <v>4190</v>
      </c>
      <c r="DJ10">
        <f>3830</f>
        <v>3830</v>
      </c>
      <c r="DK10">
        <f>4320</f>
        <v>4320</v>
      </c>
      <c r="DL10">
        <f>3700</f>
        <v>3700</v>
      </c>
      <c r="DM10">
        <f>4090</f>
        <v>4090</v>
      </c>
      <c r="DN10">
        <f>3790</f>
        <v>3790</v>
      </c>
      <c r="DO10">
        <f>3720</f>
        <v>3720</v>
      </c>
      <c r="DP10">
        <f>3900</f>
        <v>3900</v>
      </c>
      <c r="DQ10">
        <f>3410</f>
        <v>3410</v>
      </c>
      <c r="DR10">
        <f>4040</f>
        <v>4040</v>
      </c>
      <c r="DS10">
        <f>3640</f>
        <v>3640</v>
      </c>
      <c r="DT10">
        <f>4010</f>
        <v>4010</v>
      </c>
      <c r="DU10">
        <f>4200</f>
        <v>4200</v>
      </c>
      <c r="DV10">
        <f>3850</f>
        <v>3850</v>
      </c>
      <c r="DW10">
        <f>3840</f>
        <v>3840</v>
      </c>
      <c r="DX10">
        <f>3900</f>
        <v>3900</v>
      </c>
      <c r="DY10">
        <f>3600</f>
        <v>3600</v>
      </c>
      <c r="DZ10">
        <f>3620</f>
        <v>3620</v>
      </c>
      <c r="EA10">
        <f>3510</f>
        <v>3510</v>
      </c>
      <c r="EB10">
        <f>3430</f>
        <v>3430</v>
      </c>
      <c r="EC10">
        <f>2300</f>
        <v>2300</v>
      </c>
      <c r="ED10">
        <f>3600</f>
        <v>3600</v>
      </c>
      <c r="EE10">
        <f>3270</f>
        <v>3270</v>
      </c>
      <c r="EF10">
        <f>3550</f>
        <v>3550</v>
      </c>
      <c r="EG10">
        <f>3630</f>
        <v>3630</v>
      </c>
      <c r="EH10">
        <f>3710</f>
        <v>3710</v>
      </c>
      <c r="EI10">
        <f>3760</f>
        <v>3760</v>
      </c>
      <c r="EJ10">
        <f>3850</f>
        <v>3850</v>
      </c>
      <c r="EK10">
        <f>3760</f>
        <v>3760</v>
      </c>
      <c r="EL10">
        <f>3760</f>
        <v>3760</v>
      </c>
      <c r="EM10">
        <f>3610</f>
        <v>3610</v>
      </c>
      <c r="EN10">
        <f>3810</f>
        <v>3810</v>
      </c>
      <c r="EO10">
        <f>2860</f>
        <v>2860</v>
      </c>
      <c r="EP10">
        <f>3750</f>
        <v>3750</v>
      </c>
      <c r="EQ10">
        <f>3580.3</f>
        <v>3580.3</v>
      </c>
      <c r="ER10">
        <f>3500</f>
        <v>3500</v>
      </c>
      <c r="ES10">
        <f>3530</f>
        <v>3530</v>
      </c>
      <c r="ET10">
        <f>3810</f>
        <v>3810</v>
      </c>
      <c r="EU10">
        <f>3470</f>
        <v>3470</v>
      </c>
      <c r="EV10">
        <f>3550</f>
        <v>3550</v>
      </c>
      <c r="EW10">
        <f>3600</f>
        <v>3600</v>
      </c>
      <c r="EX10">
        <f>3620</f>
        <v>3620</v>
      </c>
      <c r="EY10">
        <f>3520</f>
        <v>3520</v>
      </c>
      <c r="EZ10">
        <f>3380</f>
        <v>3380</v>
      </c>
      <c r="FA10">
        <f>2930</f>
        <v>2930</v>
      </c>
      <c r="FB10">
        <f>3390</f>
        <v>3390</v>
      </c>
      <c r="FC10">
        <f>3355.3</f>
        <v>3355.3</v>
      </c>
      <c r="FD10">
        <f>3550</f>
        <v>3550</v>
      </c>
      <c r="FE10">
        <f>3400</f>
        <v>3400</v>
      </c>
      <c r="FF10">
        <f>3380</f>
        <v>3380</v>
      </c>
      <c r="FG10">
        <f>3450</f>
        <v>3450</v>
      </c>
      <c r="FH10">
        <f>3500</f>
        <v>3500</v>
      </c>
      <c r="FI10">
        <f>3400</f>
        <v>3400</v>
      </c>
      <c r="FJ10">
        <f>3500</f>
        <v>3500</v>
      </c>
      <c r="FK10">
        <f>3230</f>
        <v>3230</v>
      </c>
      <c r="FL10">
        <f>3400</f>
        <v>3400</v>
      </c>
      <c r="FM10">
        <f>2620</f>
        <v>2620</v>
      </c>
      <c r="FN10">
        <f>3280</f>
        <v>3280</v>
      </c>
      <c r="FO10">
        <f>3140</f>
        <v>3140</v>
      </c>
      <c r="FP10">
        <f>3200</f>
        <v>3200</v>
      </c>
      <c r="FQ10">
        <f>3220</f>
        <v>3220</v>
      </c>
    </row>
    <row r="11" spans="1:173" x14ac:dyDescent="0.25">
      <c r="A11" t="str">
        <f>"Shenzhen Sea Port Container Throughput (000 TEU)"</f>
        <v>Shenzhen Sea Port Container Throughput (000 TEU)</v>
      </c>
      <c r="B11" t="str">
        <f>"CNIFSCSZ Index"</f>
        <v>CNIFSCSZ Index</v>
      </c>
      <c r="E11" t="str">
        <f>"Expression"</f>
        <v>Expression</v>
      </c>
      <c r="F11" t="str">
        <f ca="1">IF(AND($B$51=1,LEN($F$57)&gt;0),$F$57*10,HLOOKUP(INDIRECT(ADDRESS(2,COLUMN())),OFFSET($CL$2,0,0,ROW()-1,84),ROW()-1,FALSE))</f>
        <v/>
      </c>
      <c r="G11">
        <f ca="1">IF(AND($B$51=1,LEN($G$57)&gt;0),$G$57*10,HLOOKUP(INDIRECT(ADDRESS(2,COLUMN())),OFFSET($CL$2,0,0,ROW()-1,84),ROW()-1,FALSE))</f>
        <v>2750</v>
      </c>
      <c r="H11">
        <f ca="1">IF(AND($B$51=1,LEN($H$57)&gt;0),$H$57*10,HLOOKUP(INDIRECT(ADDRESS(2,COLUMN())),OFFSET($CL$2,0,0,ROW()-1,84),ROW()-1,FALSE))</f>
        <v>2820</v>
      </c>
      <c r="I11">
        <f ca="1">IF(AND($B$51=1,LEN($I$57)&gt;0),$I$57*10,HLOOKUP(INDIRECT(ADDRESS(2,COLUMN())),OFFSET($CL$2,0,0,ROW()-1,84),ROW()-1,FALSE))</f>
        <v>2620</v>
      </c>
      <c r="J11">
        <f ca="1">IF(AND($B$51=1,LEN($J$57)&gt;0),$J$57*10,HLOOKUP(INDIRECT(ADDRESS(2,COLUMN())),OFFSET($CL$2,0,0,ROW()-1,84),ROW()-1,FALSE))</f>
        <v>2480</v>
      </c>
      <c r="K11">
        <f ca="1">IF(AND($B$51=1,LEN($K$57)&gt;0),$K$57*10,HLOOKUP(INDIRECT(ADDRESS(2,COLUMN())),OFFSET($CL$2,0,0,ROW()-1,84),ROW()-1,FALSE))</f>
        <v>2260</v>
      </c>
      <c r="L11">
        <f ca="1">IF(AND($B$51=1,LEN($L$57)&gt;0),$L$57*10,HLOOKUP(INDIRECT(ADDRESS(2,COLUMN())),OFFSET($CL$2,0,0,ROW()-1,84),ROW()-1,FALSE))</f>
        <v>2260</v>
      </c>
      <c r="M11" t="str">
        <f ca="1">IF(AND($B$51=1,LEN($M$57)&gt;0),$M$57*10,HLOOKUP(INDIRECT(ADDRESS(2,COLUMN())),OFFSET($CL$2,0,0,ROW()-1,84),ROW()-1,FALSE))</f>
        <v/>
      </c>
      <c r="N11" t="str">
        <f ca="1">IF(AND($B$51=1,LEN($N$57)&gt;0),$N$57*10,HLOOKUP(INDIRECT(ADDRESS(2,COLUMN())),OFFSET($CL$2,0,0,ROW()-1,84),ROW()-1,FALSE))</f>
        <v/>
      </c>
      <c r="O11">
        <f ca="1">IF(AND($B$51=1,LEN($O$57)&gt;0),$O$57*10,HLOOKUP(INDIRECT(ADDRESS(2,COLUMN())),OFFSET($CL$2,0,0,ROW()-1,84),ROW()-1,FALSE))</f>
        <v>3200</v>
      </c>
      <c r="P11">
        <f ca="1">IF(AND($B$51=1,LEN($P$57)&gt;0),$P$57*10,HLOOKUP(INDIRECT(ADDRESS(2,COLUMN())),OFFSET($CL$2,0,0,ROW()-1,84),ROW()-1,FALSE))</f>
        <v>2660</v>
      </c>
      <c r="Q11">
        <f ca="1">IF(AND($B$51=1,LEN($Q$57)&gt;0),$Q$57*10,HLOOKUP(INDIRECT(ADDRESS(2,COLUMN())),OFFSET($CL$2,0,0,ROW()-1,84),ROW()-1,FALSE))</f>
        <v>2240</v>
      </c>
      <c r="R11">
        <f ca="1">IF(AND($B$51=1,LEN($R$57)&gt;0),$R$57*10,HLOOKUP(INDIRECT(ADDRESS(2,COLUMN())),OFFSET($CL$2,0,0,ROW()-1,84),ROW()-1,FALSE))</f>
        <v>2430</v>
      </c>
      <c r="S11">
        <f ca="1">IF(AND($B$51=1,LEN($S$57)&gt;0),$S$57*10,HLOOKUP(INDIRECT(ADDRESS(2,COLUMN())),OFFSET($CL$2,0,0,ROW()-1,84),ROW()-1,FALSE))</f>
        <v>2490</v>
      </c>
      <c r="T11">
        <f ca="1">IF(AND($B$51=1,LEN($T$57)&gt;0),$T$57*10,HLOOKUP(INDIRECT(ADDRESS(2,COLUMN())),OFFSET($CL$2,0,0,ROW()-1,84),ROW()-1,FALSE))</f>
        <v>2620</v>
      </c>
      <c r="U11">
        <f ca="1">IF(AND($B$51=1,LEN($U$57)&gt;0),$U$57*10,HLOOKUP(INDIRECT(ADDRESS(2,COLUMN())),OFFSET($CL$2,0,0,ROW()-1,84),ROW()-1,FALSE))</f>
        <v>2620</v>
      </c>
      <c r="V11">
        <f ca="1">IF(AND($B$51=1,LEN($V$57)&gt;0),$V$57*10,HLOOKUP(INDIRECT(ADDRESS(2,COLUMN())),OFFSET($CL$2,0,0,ROW()-1,84),ROW()-1,FALSE))</f>
        <v>2680</v>
      </c>
      <c r="W11">
        <f ca="1">IF(AND($B$51=1,LEN($W$57)&gt;0),$W$57*10,HLOOKUP(INDIRECT(ADDRESS(2,COLUMN())),OFFSET($CL$2,0,0,ROW()-1,84),ROW()-1,FALSE))</f>
        <v>2610</v>
      </c>
      <c r="X11">
        <f ca="1">IF(AND($B$51=1,LEN($X$57)&gt;0),$X$57*10,HLOOKUP(INDIRECT(ADDRESS(2,COLUMN())),OFFSET($CL$2,0,0,ROW()-1,84),ROW()-1,FALSE))</f>
        <v>2210</v>
      </c>
      <c r="Y11">
        <f ca="1">IF(AND($B$51=1,LEN($Y$57)&gt;0),$Y$57*10,HLOOKUP(INDIRECT(ADDRESS(2,COLUMN())),OFFSET($CL$2,0,0,ROW()-1,84),ROW()-1,FALSE))</f>
        <v>1820</v>
      </c>
      <c r="Z11">
        <f ca="1">IF(AND($B$51=1,LEN($Z$57)&gt;0),$Z$57*10,HLOOKUP(INDIRECT(ADDRESS(2,COLUMN())),OFFSET($CL$2,0,0,ROW()-1,84),ROW()-1,FALSE))</f>
        <v>2460</v>
      </c>
      <c r="AA11">
        <f ca="1">IF(AND($B$51=1,LEN($AA$57)&gt;0),$AA$57*10,HLOOKUP(INDIRECT(ADDRESS(2,COLUMN())),OFFSET($CL$2,0,0,ROW()-1,84),ROW()-1,FALSE))</f>
        <v>2530</v>
      </c>
      <c r="AB11">
        <f ca="1">IF(AND($B$51=1,LEN($AB$57)&gt;0),$AB$57*10,HLOOKUP(INDIRECT(ADDRESS(2,COLUMN())),OFFSET($CL$2,0,0,ROW()-1,84),ROW()-1,FALSE))</f>
        <v>2450</v>
      </c>
      <c r="AC11">
        <f ca="1">IF(AND($B$51=1,LEN($AC$57)&gt;0),$AC$57*10,HLOOKUP(INDIRECT(ADDRESS(2,COLUMN())),OFFSET($CL$2,0,0,ROW()-1,84),ROW()-1,FALSE))</f>
        <v>2370</v>
      </c>
      <c r="AD11">
        <f ca="1">IF(AND($B$51=1,LEN($AD$57)&gt;0),$AD$57*10,HLOOKUP(INDIRECT(ADDRESS(2,COLUMN())),OFFSET($CL$2,0,0,ROW()-1,84),ROW()-1,FALSE))</f>
        <v>2720</v>
      </c>
      <c r="AE11">
        <f ca="1">IF(AND($B$51=1,LEN($AE$57)&gt;0),$AE$57*10,HLOOKUP(INDIRECT(ADDRESS(2,COLUMN())),OFFSET($CL$2,0,0,ROW()-1,84),ROW()-1,FALSE))</f>
        <v>2540</v>
      </c>
      <c r="AF11">
        <f ca="1">IF(AND($B$51=1,LEN($AF$57)&gt;0),$AF$57*10,HLOOKUP(INDIRECT(ADDRESS(2,COLUMN())),OFFSET($CL$2,0,0,ROW()-1,84),ROW()-1,FALSE))</f>
        <v>2380</v>
      </c>
      <c r="AG11">
        <f ca="1">IF(AND($B$51=1,LEN($AG$57)&gt;0),$AG$57*10,HLOOKUP(INDIRECT(ADDRESS(2,COLUMN())),OFFSET($CL$2,0,0,ROW()-1,84),ROW()-1,FALSE))</f>
        <v>1850</v>
      </c>
      <c r="AH11">
        <f ca="1">IF(AND($B$51=1,LEN($AH$57)&gt;0),$AH$57*10,HLOOKUP(INDIRECT(ADDRESS(2,COLUMN())),OFFSET($CL$2,0,0,ROW()-1,84),ROW()-1,FALSE))</f>
        <v>2340</v>
      </c>
      <c r="AI11">
        <f ca="1">IF(AND($B$51=1,LEN($AI$57)&gt;0),$AI$57*10,HLOOKUP(INDIRECT(ADDRESS(2,COLUMN())),OFFSET($CL$2,0,0,ROW()-1,84),ROW()-1,FALSE))</f>
        <v>2360</v>
      </c>
      <c r="AJ11">
        <f ca="1">IF(AND($B$51=1,LEN($AJ$57)&gt;0),$AJ$57*10,HLOOKUP(INDIRECT(ADDRESS(2,COLUMN())),OFFSET($CL$2,0,0,ROW()-1,84),ROW()-1,FALSE))</f>
        <v>2410</v>
      </c>
      <c r="AK11">
        <f ca="1">IF(AND($B$51=1,LEN($AK$57)&gt;0),$AK$57*10,HLOOKUP(INDIRECT(ADDRESS(2,COLUMN())),OFFSET($CL$2,0,0,ROW()-1,84),ROW()-1,FALSE))</f>
        <v>2100</v>
      </c>
      <c r="AL11">
        <f ca="1">IF(AND($B$51=1,LEN($AL$57)&gt;0),$AL$57*10,HLOOKUP(INDIRECT(ADDRESS(2,COLUMN())),OFFSET($CL$2,0,0,ROW()-1,84),ROW()-1,FALSE))</f>
        <v>2710</v>
      </c>
      <c r="AM11">
        <f ca="1">IF(AND($B$51=1,LEN($AM$57)&gt;0),$AM$57*10,HLOOKUP(INDIRECT(ADDRESS(2,COLUMN())),OFFSET($CL$2,0,0,ROW()-1,84),ROW()-1,FALSE))</f>
        <v>2570</v>
      </c>
      <c r="AN11">
        <f ca="1">IF(AND($B$51=1,LEN($AN$57)&gt;0),$AN$57*10,HLOOKUP(INDIRECT(ADDRESS(2,COLUMN())),OFFSET($CL$2,0,0,ROW()-1,84),ROW()-1,FALSE))</f>
        <v>2480</v>
      </c>
      <c r="AO11">
        <f ca="1">IF(AND($B$51=1,LEN($AO$57)&gt;0),$AO$57*10,HLOOKUP(INDIRECT(ADDRESS(2,COLUMN())),OFFSET($CL$2,0,0,ROW()-1,84),ROW()-1,FALSE))</f>
        <v>2580</v>
      </c>
      <c r="AP11">
        <f ca="1">IF(AND($B$51=1,LEN($AP$57)&gt;0),$AP$57*10,HLOOKUP(INDIRECT(ADDRESS(2,COLUMN())),OFFSET($CL$2,0,0,ROW()-1,84),ROW()-1,FALSE))</f>
        <v>2820</v>
      </c>
      <c r="AQ11">
        <f ca="1">IF(AND($B$51=1,LEN($AQ$57)&gt;0),$AQ$57*10,HLOOKUP(INDIRECT(ADDRESS(2,COLUMN())),OFFSET($CL$2,0,0,ROW()-1,84),ROW()-1,FALSE))</f>
        <v>2620</v>
      </c>
      <c r="AR11">
        <f ca="1">IF(AND($B$51=1,LEN($AR$57)&gt;0),$AR$57*10,HLOOKUP(INDIRECT(ADDRESS(2,COLUMN())),OFFSET($CL$2,0,0,ROW()-1,84),ROW()-1,FALSE))</f>
        <v>2400</v>
      </c>
      <c r="AS11">
        <f ca="1">IF(AND($B$51=1,LEN($AS$57)&gt;0),$AS$57*10,HLOOKUP(INDIRECT(ADDRESS(2,COLUMN())),OFFSET($CL$2,0,0,ROW()-1,84),ROW()-1,FALSE))</f>
        <v>2210</v>
      </c>
      <c r="AT11">
        <f ca="1">IF(AND($B$51=1,LEN($AT$57)&gt;0),$AT$57*10,HLOOKUP(INDIRECT(ADDRESS(2,COLUMN())),OFFSET($CL$2,0,0,ROW()-1,84),ROW()-1,FALSE))</f>
        <v>1810</v>
      </c>
      <c r="AU11">
        <f ca="1">IF(AND($B$51=1,LEN($AU$57)&gt;0),$AU$57*10,HLOOKUP(INDIRECT(ADDRESS(2,COLUMN())),OFFSET($CL$2,0,0,ROW()-1,84),ROW()-1,FALSE))</f>
        <v>1710</v>
      </c>
      <c r="AV11">
        <f ca="1">IF(AND($B$51=1,LEN($AV$57)&gt;0),$AV$57*10,HLOOKUP(INDIRECT(ADDRESS(2,COLUMN())),OFFSET($CL$2,0,0,ROW()-1,84),ROW()-1,FALSE))</f>
        <v>1840</v>
      </c>
      <c r="AW11">
        <f ca="1">IF(AND($B$51=1,LEN($AW$57)&gt;0),$AW$57*10,HLOOKUP(INDIRECT(ADDRESS(2,COLUMN())),OFFSET($CL$2,0,0,ROW()-1,84),ROW()-1,FALSE))</f>
        <v>1210</v>
      </c>
      <c r="AX11">
        <f ca="1">IF(AND($B$51=1,LEN($AX$57)&gt;0),$AX$57*10,HLOOKUP(INDIRECT(ADDRESS(2,COLUMN())),OFFSET($CL$2,0,0,ROW()-1,84),ROW()-1,FALSE))</f>
        <v>2290</v>
      </c>
      <c r="AY11">
        <f ca="1">IF(AND($B$51=1,LEN($AY$57)&gt;0),$AY$57*10,HLOOKUP(INDIRECT(ADDRESS(2,COLUMN())),OFFSET($CL$2,0,0,ROW()-1,84),ROW()-1,FALSE))</f>
        <v>2180</v>
      </c>
      <c r="AZ11">
        <f ca="1">IF(AND($B$51=1,LEN($AZ$57)&gt;0),$AZ$57*10,HLOOKUP(INDIRECT(ADDRESS(2,COLUMN())),OFFSET($CL$2,0,0,ROW()-1,84),ROW()-1,FALSE))</f>
        <v>2150</v>
      </c>
      <c r="BA11">
        <f ca="1">IF(AND($B$51=1,LEN($BA$57)&gt;0),$BA$57*10,HLOOKUP(INDIRECT(ADDRESS(2,COLUMN())),OFFSET($CL$2,0,0,ROW()-1,84),ROW()-1,FALSE))</f>
        <v>2120</v>
      </c>
      <c r="BB11">
        <f ca="1">IF(AND($B$51=1,LEN($BB$57)&gt;0),$BB$57*10,HLOOKUP(INDIRECT(ADDRESS(2,COLUMN())),OFFSET($CL$2,0,0,ROW()-1,84),ROW()-1,FALSE))</f>
        <v>2300</v>
      </c>
      <c r="BC11">
        <f ca="1">IF(AND($B$51=1,LEN($BC$57)&gt;0),$BC$57*10,HLOOKUP(INDIRECT(ADDRESS(2,COLUMN())),OFFSET($CL$2,0,0,ROW()-1,84),ROW()-1,FALSE))</f>
        <v>2340</v>
      </c>
      <c r="BD11">
        <f ca="1">IF(AND($B$51=1,LEN($BD$57)&gt;0),$BD$57*10,HLOOKUP(INDIRECT(ADDRESS(2,COLUMN())),OFFSET($CL$2,0,0,ROW()-1,84),ROW()-1,FALSE))</f>
        <v>2270</v>
      </c>
      <c r="BE11">
        <f ca="1">IF(AND($B$51=1,LEN($BE$57)&gt;0),$BE$57*10,HLOOKUP(INDIRECT(ADDRESS(2,COLUMN())),OFFSET($CL$2,0,0,ROW()-1,84),ROW()-1,FALSE))</f>
        <v>2180</v>
      </c>
      <c r="BF11">
        <f ca="1">IF(AND($B$51=1,LEN($BF$57)&gt;0),$BF$57*10,HLOOKUP(INDIRECT(ADDRESS(2,COLUMN())),OFFSET($CL$2,0,0,ROW()-1,84),ROW()-1,FALSE))</f>
        <v>2090</v>
      </c>
      <c r="BG11">
        <f ca="1">IF(AND($B$51=1,LEN($BG$57)&gt;0),$BG$57*10,HLOOKUP(INDIRECT(ADDRESS(2,COLUMN())),OFFSET($CL$2,0,0,ROW()-1,84),ROW()-1,FALSE))</f>
        <v>2080</v>
      </c>
      <c r="BH11">
        <f ca="1">IF(AND($B$51=1,LEN($BH$57)&gt;0),$BH$57*10,HLOOKUP(INDIRECT(ADDRESS(2,COLUMN())),OFFSET($CL$2,0,0,ROW()-1,84),ROW()-1,FALSE))</f>
        <v>2050</v>
      </c>
      <c r="BI11">
        <f ca="1">IF(AND($B$51=1,LEN($BI$57)&gt;0),$BI$57*10,HLOOKUP(INDIRECT(ADDRESS(2,COLUMN())),OFFSET($CL$2,0,0,ROW()-1,84),ROW()-1,FALSE))</f>
        <v>1600</v>
      </c>
      <c r="BJ11">
        <f ca="1">IF(AND($B$51=1,LEN($BJ$57)&gt;0),$BJ$57*10,HLOOKUP(INDIRECT(ADDRESS(2,COLUMN())),OFFSET($CL$2,0,0,ROW()-1,84),ROW()-1,FALSE))</f>
        <v>2410</v>
      </c>
      <c r="BK11">
        <f ca="1">IF(AND($B$51=1,LEN($BK$57)&gt;0),$BK$57*10,HLOOKUP(INDIRECT(ADDRESS(2,COLUMN())),OFFSET($CL$2,0,0,ROW()-1,84),ROW()-1,FALSE))</f>
        <v>2108.8000000000002</v>
      </c>
      <c r="BL11">
        <f ca="1">IF(AND($B$51=1,LEN($BL$57)&gt;0),$BL$57*10,HLOOKUP(INDIRECT(ADDRESS(2,COLUMN())),OFFSET($CL$2,0,0,ROW()-1,84),ROW()-1,FALSE))</f>
        <v>2304.4</v>
      </c>
      <c r="BM11">
        <f ca="1">IF(AND($B$51=1,LEN($BM$57)&gt;0),$BM$57*10,HLOOKUP(INDIRECT(ADDRESS(2,COLUMN())),OFFSET($CL$2,0,0,ROW()-1,84),ROW()-1,FALSE))</f>
        <v>2188.1</v>
      </c>
      <c r="BN11">
        <f ca="1">IF(AND($B$51=1,LEN($BN$57)&gt;0),$BN$57*10,HLOOKUP(INDIRECT(ADDRESS(2,COLUMN())),OFFSET($CL$2,0,0,ROW()-1,84),ROW()-1,FALSE))</f>
        <v>2287.1999999999998</v>
      </c>
      <c r="BO11">
        <f ca="1">IF(AND($B$51=1,LEN($BO$57)&gt;0),$BO$57*10,HLOOKUP(INDIRECT(ADDRESS(2,COLUMN())),OFFSET($CL$2,0,0,ROW()-1,84),ROW()-1,FALSE))</f>
        <v>2338.4</v>
      </c>
      <c r="BP11">
        <f ca="1">IF(AND($B$51=1,LEN($BP$57)&gt;0),$BP$57*10,HLOOKUP(INDIRECT(ADDRESS(2,COLUMN())),OFFSET($CL$2,0,0,ROW()-1,84),ROW()-1,FALSE))</f>
        <v>2276.6</v>
      </c>
      <c r="BQ11">
        <f ca="1">IF(AND($B$51=1,LEN($BQ$57)&gt;0),$BQ$57*10,HLOOKUP(INDIRECT(ADDRESS(2,COLUMN())),OFFSET($CL$2,0,0,ROW()-1,84),ROW()-1,FALSE))</f>
        <v>2078.4</v>
      </c>
      <c r="BR11">
        <f ca="1">IF(AND($B$51=1,LEN($BR$57)&gt;0),$BR$57*10,HLOOKUP(INDIRECT(ADDRESS(2,COLUMN())),OFFSET($CL$2,0,0,ROW()-1,84),ROW()-1,FALSE))</f>
        <v>2086.3000000000002</v>
      </c>
      <c r="BS11">
        <f ca="1">IF(AND($B$51=1,LEN($BS$57)&gt;0),$BS$57*10,HLOOKUP(INDIRECT(ADDRESS(2,COLUMN())),OFFSET($CL$2,0,0,ROW()-1,84),ROW()-1,FALSE))</f>
        <v>1954.8</v>
      </c>
      <c r="BT11">
        <f ca="1">IF(AND($B$51=1,LEN($BT$57)&gt;0),$BT$57*10,HLOOKUP(INDIRECT(ADDRESS(2,COLUMN())),OFFSET($CL$2,0,0,ROW()-1,84),ROW()-1,FALSE))</f>
        <v>1792.5</v>
      </c>
      <c r="BU11">
        <f ca="1">IF(AND($B$51=1,LEN($BU$57)&gt;0),$BU$57*10,HLOOKUP(INDIRECT(ADDRESS(2,COLUMN())),OFFSET($CL$2,0,0,ROW()-1,84),ROW()-1,FALSE))</f>
        <v>1880.4</v>
      </c>
      <c r="BV11">
        <f ca="1">IF(AND($B$51=1,LEN($BV$57)&gt;0),$BV$57*10,HLOOKUP(INDIRECT(ADDRESS(2,COLUMN())),OFFSET($CL$2,0,0,ROW()-1,84),ROW()-1,FALSE))</f>
        <v>2358</v>
      </c>
      <c r="BW11">
        <f ca="1">IF(AND($B$51=1,LEN($BW$57)&gt;0),$BW$57*10,HLOOKUP(INDIRECT(ADDRESS(2,COLUMN())),OFFSET($CL$2,0,0,ROW()-1,84),ROW()-1,FALSE))</f>
        <v>2045.1</v>
      </c>
      <c r="BX11">
        <f ca="1">IF(AND($B$51=1,LEN($BX$57)&gt;0),$BX$57*10,HLOOKUP(INDIRECT(ADDRESS(2,COLUMN())),OFFSET($CL$2,0,0,ROW()-1,84),ROW()-1,FALSE))</f>
        <v>2102.8000000000002</v>
      </c>
      <c r="BY11">
        <f ca="1">IF(AND($B$51=1,LEN($BY$57)&gt;0),$BY$57*10,HLOOKUP(INDIRECT(ADDRESS(2,COLUMN())),OFFSET($CL$2,0,0,ROW()-1,84),ROW()-1,FALSE))</f>
        <v>2145.6999999999998</v>
      </c>
      <c r="BZ11">
        <f ca="1">IF(AND($B$51=1,LEN($BZ$57)&gt;0),$BZ$57*10,HLOOKUP(INDIRECT(ADDRESS(2,COLUMN())),OFFSET($CL$2,0,0,ROW()-1,84),ROW()-1,FALSE))</f>
        <v>2456.9</v>
      </c>
      <c r="CA11">
        <f ca="1">IF(AND($B$51=1,LEN($CA$57)&gt;0),$CA$57*10,HLOOKUP(INDIRECT(ADDRESS(2,COLUMN())),OFFSET($CL$2,0,0,ROW()-1,84),ROW()-1,FALSE))</f>
        <v>2284.8000000000002</v>
      </c>
      <c r="CB11">
        <f ca="1">IF(AND($B$51=1,LEN($CB$57)&gt;0),$CB$57*10,HLOOKUP(INDIRECT(ADDRESS(2,COLUMN())),OFFSET($CL$2,0,0,ROW()-1,84),ROW()-1,FALSE))</f>
        <v>2347.6999999999998</v>
      </c>
      <c r="CC11">
        <f ca="1">IF(AND($B$51=1,LEN($CC$57)&gt;0),$CC$57*10,HLOOKUP(INDIRECT(ADDRESS(2,COLUMN())),OFFSET($CL$2,0,0,ROW()-1,84),ROW()-1,FALSE))</f>
        <v>2088.9</v>
      </c>
      <c r="CD11">
        <f ca="1">IF(AND($B$51=1,LEN($CD$57)&gt;0),$CD$57*10,HLOOKUP(INDIRECT(ADDRESS(2,COLUMN())),OFFSET($CL$2,0,0,ROW()-1,84),ROW()-1,FALSE))</f>
        <v>2155.3000000000002</v>
      </c>
      <c r="CE11">
        <f ca="1">IF(AND($B$51=1,LEN($CE$57)&gt;0),$CE$57*10,HLOOKUP(INDIRECT(ADDRESS(2,COLUMN())),OFFSET($CL$2,0,0,ROW()-1,84),ROW()-1,FALSE))</f>
        <v>2016</v>
      </c>
      <c r="CF11">
        <f ca="1">IF(AND($B$51=1,LEN($CF$57)&gt;0),$CF$57*10,HLOOKUP(INDIRECT(ADDRESS(2,COLUMN())),OFFSET($CL$2,0,0,ROW()-1,84),ROW()-1,FALSE))</f>
        <v>1924.1</v>
      </c>
      <c r="CG11">
        <f ca="1">IF(AND($B$51=1,LEN($CG$57)&gt;0),$CG$57*10,HLOOKUP(INDIRECT(ADDRESS(2,COLUMN())),OFFSET($CL$2,0,0,ROW()-1,84),ROW()-1,FALSE))</f>
        <v>1359.9</v>
      </c>
      <c r="CH11">
        <f ca="1">IF(AND($B$51=1,LEN($CH$57)&gt;0),$CH$57*10,HLOOKUP(INDIRECT(ADDRESS(2,COLUMN())),OFFSET($CL$2,0,0,ROW()-1,84),ROW()-1,FALSE))</f>
        <v>2163.9</v>
      </c>
      <c r="CI11">
        <f ca="1">IF(AND($B$51=1,LEN($CI$57)&gt;0),$CI$57*10,HLOOKUP(INDIRECT(ADDRESS(2,COLUMN())),OFFSET($CL$2,0,0,ROW()-1,84),ROW()-1,FALSE))</f>
        <v>2080</v>
      </c>
      <c r="CJ11">
        <f ca="1">IF(AND($B$51=1,LEN($CJ$57)&gt;0),$CJ$57*10,HLOOKUP(INDIRECT(ADDRESS(2,COLUMN())),OFFSET($CL$2,0,0,ROW()-1,84),ROW()-1,FALSE))</f>
        <v>2088.1</v>
      </c>
      <c r="CK11">
        <f ca="1">IF(AND($B$51=1,LEN($CK$57)&gt;0),$CK$57*10,HLOOKUP(INDIRECT(ADDRESS(2,COLUMN())),OFFSET($CL$2,0,0,ROW()-1,84),ROW()-1,FALSE))</f>
        <v>1943.5</v>
      </c>
      <c r="CL11" t="str">
        <f>""</f>
        <v/>
      </c>
      <c r="CM11">
        <f>2750</f>
        <v>2750</v>
      </c>
      <c r="CN11">
        <f>2820</f>
        <v>2820</v>
      </c>
      <c r="CO11">
        <f>2620</f>
        <v>2620</v>
      </c>
      <c r="CP11">
        <f>2480</f>
        <v>2480</v>
      </c>
      <c r="CQ11">
        <f>2260</f>
        <v>2260</v>
      </c>
      <c r="CR11">
        <f>2260</f>
        <v>2260</v>
      </c>
      <c r="CS11" t="str">
        <f>""</f>
        <v/>
      </c>
      <c r="CT11" t="str">
        <f>""</f>
        <v/>
      </c>
      <c r="CU11">
        <f>3200</f>
        <v>3200</v>
      </c>
      <c r="CV11">
        <f>2660</f>
        <v>2660</v>
      </c>
      <c r="CW11">
        <f>2240</f>
        <v>2240</v>
      </c>
      <c r="CX11">
        <f>2430</f>
        <v>2430</v>
      </c>
      <c r="CY11">
        <f>2490</f>
        <v>2490</v>
      </c>
      <c r="CZ11">
        <f>2620</f>
        <v>2620</v>
      </c>
      <c r="DA11">
        <f>2620</f>
        <v>2620</v>
      </c>
      <c r="DB11">
        <f>2680</f>
        <v>2680</v>
      </c>
      <c r="DC11">
        <f>2610</f>
        <v>2610</v>
      </c>
      <c r="DD11">
        <f>2210</f>
        <v>2210</v>
      </c>
      <c r="DE11">
        <f>1820</f>
        <v>1820</v>
      </c>
      <c r="DF11">
        <f>2460</f>
        <v>2460</v>
      </c>
      <c r="DG11">
        <f>2530</f>
        <v>2530</v>
      </c>
      <c r="DH11">
        <f>2450</f>
        <v>2450</v>
      </c>
      <c r="DI11">
        <f>2370</f>
        <v>2370</v>
      </c>
      <c r="DJ11">
        <f>2720</f>
        <v>2720</v>
      </c>
      <c r="DK11">
        <f>2540</f>
        <v>2540</v>
      </c>
      <c r="DL11">
        <f>2380</f>
        <v>2380</v>
      </c>
      <c r="DM11">
        <f>1850</f>
        <v>1850</v>
      </c>
      <c r="DN11">
        <f>2340</f>
        <v>2340</v>
      </c>
      <c r="DO11">
        <f>2360</f>
        <v>2360</v>
      </c>
      <c r="DP11">
        <f>2410</f>
        <v>2410</v>
      </c>
      <c r="DQ11">
        <f>2100</f>
        <v>2100</v>
      </c>
      <c r="DR11">
        <f>2710</f>
        <v>2710</v>
      </c>
      <c r="DS11">
        <f>2570</f>
        <v>2570</v>
      </c>
      <c r="DT11">
        <f>2480</f>
        <v>2480</v>
      </c>
      <c r="DU11">
        <f>2580</f>
        <v>2580</v>
      </c>
      <c r="DV11">
        <f>2820</f>
        <v>2820</v>
      </c>
      <c r="DW11">
        <f>2620</f>
        <v>2620</v>
      </c>
      <c r="DX11">
        <f>2400</f>
        <v>2400</v>
      </c>
      <c r="DY11">
        <f>2210</f>
        <v>2210</v>
      </c>
      <c r="DZ11">
        <f>1810</f>
        <v>1810</v>
      </c>
      <c r="EA11">
        <f>1710</f>
        <v>1710</v>
      </c>
      <c r="EB11">
        <f>1840</f>
        <v>1840</v>
      </c>
      <c r="EC11">
        <f>1210</f>
        <v>1210</v>
      </c>
      <c r="ED11">
        <f>2290</f>
        <v>2290</v>
      </c>
      <c r="EE11">
        <f>2180</f>
        <v>2180</v>
      </c>
      <c r="EF11">
        <f>2150</f>
        <v>2150</v>
      </c>
      <c r="EG11">
        <f>2120</f>
        <v>2120</v>
      </c>
      <c r="EH11">
        <f>2300</f>
        <v>2300</v>
      </c>
      <c r="EI11">
        <f>2340</f>
        <v>2340</v>
      </c>
      <c r="EJ11">
        <f>2270</f>
        <v>2270</v>
      </c>
      <c r="EK11">
        <f>2180</f>
        <v>2180</v>
      </c>
      <c r="EL11">
        <f>2090</f>
        <v>2090</v>
      </c>
      <c r="EM11">
        <f>2080</f>
        <v>2080</v>
      </c>
      <c r="EN11">
        <f>2050</f>
        <v>2050</v>
      </c>
      <c r="EO11">
        <f>1600</f>
        <v>1600</v>
      </c>
      <c r="EP11">
        <f>2410</f>
        <v>2410</v>
      </c>
      <c r="EQ11">
        <f>2108.8</f>
        <v>2108.8000000000002</v>
      </c>
      <c r="ER11">
        <f>2304.4</f>
        <v>2304.4</v>
      </c>
      <c r="ES11">
        <f>2188.1</f>
        <v>2188.1</v>
      </c>
      <c r="ET11">
        <f>2287.2</f>
        <v>2287.1999999999998</v>
      </c>
      <c r="EU11">
        <f>2338.4</f>
        <v>2338.4</v>
      </c>
      <c r="EV11">
        <f>2276.6</f>
        <v>2276.6</v>
      </c>
      <c r="EW11">
        <f>2078.4</f>
        <v>2078.4</v>
      </c>
      <c r="EX11">
        <f>2086.3</f>
        <v>2086.3000000000002</v>
      </c>
      <c r="EY11">
        <f>1954.8</f>
        <v>1954.8</v>
      </c>
      <c r="EZ11">
        <f>1792.5</f>
        <v>1792.5</v>
      </c>
      <c r="FA11">
        <f>1880.4</f>
        <v>1880.4</v>
      </c>
      <c r="FB11">
        <f>2358</f>
        <v>2358</v>
      </c>
      <c r="FC11">
        <f>2045.1</f>
        <v>2045.1</v>
      </c>
      <c r="FD11">
        <f>2102.8</f>
        <v>2102.8000000000002</v>
      </c>
      <c r="FE11">
        <f>2145.7</f>
        <v>2145.6999999999998</v>
      </c>
      <c r="FF11">
        <f>2456.9</f>
        <v>2456.9</v>
      </c>
      <c r="FG11">
        <f>2284.8</f>
        <v>2284.8000000000002</v>
      </c>
      <c r="FH11">
        <f>2347.7</f>
        <v>2347.6999999999998</v>
      </c>
      <c r="FI11">
        <f>2088.9</f>
        <v>2088.9</v>
      </c>
      <c r="FJ11">
        <f>2155.3</f>
        <v>2155.3000000000002</v>
      </c>
      <c r="FK11">
        <f>2016</f>
        <v>2016</v>
      </c>
      <c r="FL11">
        <f>1924.1</f>
        <v>1924.1</v>
      </c>
      <c r="FM11">
        <f>1359.9</f>
        <v>1359.9</v>
      </c>
      <c r="FN11">
        <f>2163.9</f>
        <v>2163.9</v>
      </c>
      <c r="FO11">
        <f>2080</f>
        <v>2080</v>
      </c>
      <c r="FP11">
        <f>2088.1</f>
        <v>2088.1</v>
      </c>
      <c r="FQ11">
        <f>1943.5</f>
        <v>1943.5</v>
      </c>
    </row>
    <row r="12" spans="1:173" x14ac:dyDescent="0.25">
      <c r="A12" t="str">
        <f>"Ningbo-Zhoushan Sea Port Container Throughput (000 TEU)"</f>
        <v>Ningbo-Zhoushan Sea Port Container Throughput (000 TEU)</v>
      </c>
      <c r="B12" t="str">
        <f>"CNIFSCNZ Index"</f>
        <v>CNIFSCNZ Index</v>
      </c>
      <c r="E12" t="str">
        <f>"Expression"</f>
        <v>Expression</v>
      </c>
      <c r="F12" t="str">
        <f ca="1">IF(AND($B$51=1,LEN($F$58)&gt;0),$F$58*10,HLOOKUP(INDIRECT(ADDRESS(2,COLUMN())),OFFSET($CL$2,0,0,ROW()-1,84),ROW()-1,FALSE))</f>
        <v/>
      </c>
      <c r="G12">
        <f ca="1">IF(AND($B$51=1,LEN($G$58)&gt;0),$G$58*10,HLOOKUP(INDIRECT(ADDRESS(2,COLUMN())),OFFSET($CL$2,0,0,ROW()-1,84),ROW()-1,FALSE))</f>
        <v>3190</v>
      </c>
      <c r="H12">
        <f ca="1">IF(AND($B$51=1,LEN($H$58)&gt;0),$H$58*10,HLOOKUP(INDIRECT(ADDRESS(2,COLUMN())),OFFSET($CL$2,0,0,ROW()-1,84),ROW()-1,FALSE))</f>
        <v>3180</v>
      </c>
      <c r="I12">
        <f ca="1">IF(AND($B$51=1,LEN($I$58)&gt;0),$I$58*10,HLOOKUP(INDIRECT(ADDRESS(2,COLUMN())),OFFSET($CL$2,0,0,ROW()-1,84),ROW()-1,FALSE))</f>
        <v>3220</v>
      </c>
      <c r="J12">
        <f ca="1">IF(AND($B$51=1,LEN($J$58)&gt;0),$J$58*10,HLOOKUP(INDIRECT(ADDRESS(2,COLUMN())),OFFSET($CL$2,0,0,ROW()-1,84),ROW()-1,FALSE))</f>
        <v>3150</v>
      </c>
      <c r="K12">
        <f ca="1">IF(AND($B$51=1,LEN($K$58)&gt;0),$K$58*10,HLOOKUP(INDIRECT(ADDRESS(2,COLUMN())),OFFSET($CL$2,0,0,ROW()-1,84),ROW()-1,FALSE))</f>
        <v>3130</v>
      </c>
      <c r="L12">
        <f ca="1">IF(AND($B$51=1,LEN($L$58)&gt;0),$L$58*10,HLOOKUP(INDIRECT(ADDRESS(2,COLUMN())),OFFSET($CL$2,0,0,ROW()-1,84),ROW()-1,FALSE))</f>
        <v>2880</v>
      </c>
      <c r="M12" t="str">
        <f ca="1">IF(AND($B$51=1,LEN($M$58)&gt;0),$M$58*10,HLOOKUP(INDIRECT(ADDRESS(2,COLUMN())),OFFSET($CL$2,0,0,ROW()-1,84),ROW()-1,FALSE))</f>
        <v/>
      </c>
      <c r="N12" t="str">
        <f ca="1">IF(AND($B$51=1,LEN($N$58)&gt;0),$N$58*10,HLOOKUP(INDIRECT(ADDRESS(2,COLUMN())),OFFSET($CL$2,0,0,ROW()-1,84),ROW()-1,FALSE))</f>
        <v/>
      </c>
      <c r="O12">
        <f ca="1">IF(AND($B$51=1,LEN($O$58)&gt;0),$O$58*10,HLOOKUP(INDIRECT(ADDRESS(2,COLUMN())),OFFSET($CL$2,0,0,ROW()-1,84),ROW()-1,FALSE))</f>
        <v>2090</v>
      </c>
      <c r="P12">
        <f ca="1">IF(AND($B$51=1,LEN($P$58)&gt;0),$P$58*10,HLOOKUP(INDIRECT(ADDRESS(2,COLUMN())),OFFSET($CL$2,0,0,ROW()-1,84),ROW()-1,FALSE))</f>
        <v>2370</v>
      </c>
      <c r="Q12">
        <f ca="1">IF(AND($B$51=1,LEN($Q$58)&gt;0),$Q$58*10,HLOOKUP(INDIRECT(ADDRESS(2,COLUMN())),OFFSET($CL$2,0,0,ROW()-1,84),ROW()-1,FALSE))</f>
        <v>2570</v>
      </c>
      <c r="R12">
        <f ca="1">IF(AND($B$51=1,LEN($R$58)&gt;0),$R$58*10,HLOOKUP(INDIRECT(ADDRESS(2,COLUMN())),OFFSET($CL$2,0,0,ROW()-1,84),ROW()-1,FALSE))</f>
        <v>2630</v>
      </c>
      <c r="S12">
        <f ca="1">IF(AND($B$51=1,LEN($S$58)&gt;0),$S$58*10,HLOOKUP(INDIRECT(ADDRESS(2,COLUMN())),OFFSET($CL$2,0,0,ROW()-1,84),ROW()-1,FALSE))</f>
        <v>2940</v>
      </c>
      <c r="T12">
        <f ca="1">IF(AND($B$51=1,LEN($T$58)&gt;0),$T$58*10,HLOOKUP(INDIRECT(ADDRESS(2,COLUMN())),OFFSET($CL$2,0,0,ROW()-1,84),ROW()-1,FALSE))</f>
        <v>3280</v>
      </c>
      <c r="U12">
        <f ca="1">IF(AND($B$51=1,LEN($U$58)&gt;0),$U$58*10,HLOOKUP(INDIRECT(ADDRESS(2,COLUMN())),OFFSET($CL$2,0,0,ROW()-1,84),ROW()-1,FALSE))</f>
        <v>3160</v>
      </c>
      <c r="V12">
        <f ca="1">IF(AND($B$51=1,LEN($V$58)&gt;0),$V$58*10,HLOOKUP(INDIRECT(ADDRESS(2,COLUMN())),OFFSET($CL$2,0,0,ROW()-1,84),ROW()-1,FALSE))</f>
        <v>3370</v>
      </c>
      <c r="W12">
        <f ca="1">IF(AND($B$51=1,LEN($W$58)&gt;0),$W$58*10,HLOOKUP(INDIRECT(ADDRESS(2,COLUMN())),OFFSET($CL$2,0,0,ROW()-1,84),ROW()-1,FALSE))</f>
        <v>3030</v>
      </c>
      <c r="X12">
        <f ca="1">IF(AND($B$51=1,LEN($X$58)&gt;0),$X$58*10,HLOOKUP(INDIRECT(ADDRESS(2,COLUMN())),OFFSET($CL$2,0,0,ROW()-1,84),ROW()-1,FALSE))</f>
        <v>2660</v>
      </c>
      <c r="Y12">
        <f ca="1">IF(AND($B$51=1,LEN($Y$58)&gt;0),$Y$58*10,HLOOKUP(INDIRECT(ADDRESS(2,COLUMN())),OFFSET($CL$2,0,0,ROW()-1,84),ROW()-1,FALSE))</f>
        <v>2290</v>
      </c>
      <c r="Z12">
        <f ca="1">IF(AND($B$51=1,LEN($Z$58)&gt;0),$Z$58*10,HLOOKUP(INDIRECT(ADDRESS(2,COLUMN())),OFFSET($CL$2,0,0,ROW()-1,84),ROW()-1,FALSE))</f>
        <v>2970</v>
      </c>
      <c r="AA12">
        <f ca="1">IF(AND($B$51=1,LEN($AA$58)&gt;0),$AA$58*10,HLOOKUP(INDIRECT(ADDRESS(2,COLUMN())),OFFSET($CL$2,0,0,ROW()-1,84),ROW()-1,FALSE))</f>
        <v>2090</v>
      </c>
      <c r="AB12">
        <f ca="1">IF(AND($B$51=1,LEN($AB$58)&gt;0),$AB$58*10,HLOOKUP(INDIRECT(ADDRESS(2,COLUMN())),OFFSET($CL$2,0,0,ROW()-1,84),ROW()-1,FALSE))</f>
        <v>2270</v>
      </c>
      <c r="AC12">
        <f ca="1">IF(AND($B$51=1,LEN($AC$58)&gt;0),$AC$58*10,HLOOKUP(INDIRECT(ADDRESS(2,COLUMN())),OFFSET($CL$2,0,0,ROW()-1,84),ROW()-1,FALSE))</f>
        <v>2750</v>
      </c>
      <c r="AD12">
        <f ca="1">IF(AND($B$51=1,LEN($AD$58)&gt;0),$AD$58*10,HLOOKUP(INDIRECT(ADDRESS(2,COLUMN())),OFFSET($CL$2,0,0,ROW()-1,84),ROW()-1,FALSE))</f>
        <v>2610</v>
      </c>
      <c r="AE12">
        <f ca="1">IF(AND($B$51=1,LEN($AE$58)&gt;0),$AE$58*10,HLOOKUP(INDIRECT(ADDRESS(2,COLUMN())),OFFSET($CL$2,0,0,ROW()-1,84),ROW()-1,FALSE))</f>
        <v>2680</v>
      </c>
      <c r="AF12">
        <f ca="1">IF(AND($B$51=1,LEN($AF$58)&gt;0),$AF$58*10,HLOOKUP(INDIRECT(ADDRESS(2,COLUMN())),OFFSET($CL$2,0,0,ROW()-1,84),ROW()-1,FALSE))</f>
        <v>2610</v>
      </c>
      <c r="AG12">
        <f ca="1">IF(AND($B$51=1,LEN($AG$58)&gt;0),$AG$58*10,HLOOKUP(INDIRECT(ADDRESS(2,COLUMN())),OFFSET($CL$2,0,0,ROW()-1,84),ROW()-1,FALSE))</f>
        <v>2830</v>
      </c>
      <c r="AH12">
        <f ca="1">IF(AND($B$51=1,LEN($AH$58)&gt;0),$AH$58*10,HLOOKUP(INDIRECT(ADDRESS(2,COLUMN())),OFFSET($CL$2,0,0,ROW()-1,84),ROW()-1,FALSE))</f>
        <v>2840</v>
      </c>
      <c r="AI12">
        <f ca="1">IF(AND($B$51=1,LEN($AI$58)&gt;0),$AI$58*10,HLOOKUP(INDIRECT(ADDRESS(2,COLUMN())),OFFSET($CL$2,0,0,ROW()-1,84),ROW()-1,FALSE))</f>
        <v>2710</v>
      </c>
      <c r="AJ12">
        <f ca="1">IF(AND($B$51=1,LEN($AJ$58)&gt;0),$AJ$58*10,HLOOKUP(INDIRECT(ADDRESS(2,COLUMN())),OFFSET($CL$2,0,0,ROW()-1,84),ROW()-1,FALSE))</f>
        <v>2490</v>
      </c>
      <c r="AK12">
        <f ca="1">IF(AND($B$51=1,LEN($AK$58)&gt;0),$AK$58*10,HLOOKUP(INDIRECT(ADDRESS(2,COLUMN())),OFFSET($CL$2,0,0,ROW()-1,84),ROW()-1,FALSE))</f>
        <v>2310</v>
      </c>
      <c r="AL12">
        <f ca="1">IF(AND($B$51=1,LEN($AL$58)&gt;0),$AL$58*10,HLOOKUP(INDIRECT(ADDRESS(2,COLUMN())),OFFSET($CL$2,0,0,ROW()-1,84),ROW()-1,FALSE))</f>
        <v>2890</v>
      </c>
      <c r="AM12">
        <f ca="1">IF(AND($B$51=1,LEN($AM$58)&gt;0),$AM$58*10,HLOOKUP(INDIRECT(ADDRESS(2,COLUMN())),OFFSET($CL$2,0,0,ROW()-1,84),ROW()-1,FALSE))</f>
        <v>2240</v>
      </c>
      <c r="AN12">
        <f ca="1">IF(AND($B$51=1,LEN($AN$58)&gt;0),$AN$58*10,HLOOKUP(INDIRECT(ADDRESS(2,COLUMN())),OFFSET($CL$2,0,0,ROW()-1,84),ROW()-1,FALSE))</f>
        <v>2420</v>
      </c>
      <c r="AO12">
        <f ca="1">IF(AND($B$51=1,LEN($AO$58)&gt;0),$AO$58*10,HLOOKUP(INDIRECT(ADDRESS(2,COLUMN())),OFFSET($CL$2,0,0,ROW()-1,84),ROW()-1,FALSE))</f>
        <v>2710</v>
      </c>
      <c r="AP12">
        <f ca="1">IF(AND($B$51=1,LEN($AP$58)&gt;0),$AP$58*10,HLOOKUP(INDIRECT(ADDRESS(2,COLUMN())),OFFSET($CL$2,0,0,ROW()-1,84),ROW()-1,FALSE))</f>
        <v>2730</v>
      </c>
      <c r="AQ12">
        <f ca="1">IF(AND($B$51=1,LEN($AQ$58)&gt;0),$AQ$58*10,HLOOKUP(INDIRECT(ADDRESS(2,COLUMN())),OFFSET($CL$2,0,0,ROW()-1,84),ROW()-1,FALSE))</f>
        <v>2670</v>
      </c>
      <c r="AR12">
        <f ca="1">IF(AND($B$51=1,LEN($AR$58)&gt;0),$AR$58*10,HLOOKUP(INDIRECT(ADDRESS(2,COLUMN())),OFFSET($CL$2,0,0,ROW()-1,84),ROW()-1,FALSE))</f>
        <v>2710</v>
      </c>
      <c r="AS12">
        <f ca="1">IF(AND($B$51=1,LEN($AS$58)&gt;0),$AS$58*10,HLOOKUP(INDIRECT(ADDRESS(2,COLUMN())),OFFSET($CL$2,0,0,ROW()-1,84),ROW()-1,FALSE))</f>
        <v>2530</v>
      </c>
      <c r="AT12">
        <f ca="1">IF(AND($B$51=1,LEN($AT$58)&gt;0),$AT$58*10,HLOOKUP(INDIRECT(ADDRESS(2,COLUMN())),OFFSET($CL$2,0,0,ROW()-1,84),ROW()-1,FALSE))</f>
        <v>2430</v>
      </c>
      <c r="AU12">
        <f ca="1">IF(AND($B$51=1,LEN($AU$58)&gt;0),$AU$58*10,HLOOKUP(INDIRECT(ADDRESS(2,COLUMN())),OFFSET($CL$2,0,0,ROW()-1,84),ROW()-1,FALSE))</f>
        <v>2140</v>
      </c>
      <c r="AV12">
        <f ca="1">IF(AND($B$51=1,LEN($AV$58)&gt;0),$AV$58*10,HLOOKUP(INDIRECT(ADDRESS(2,COLUMN())),OFFSET($CL$2,0,0,ROW()-1,84),ROW()-1,FALSE))</f>
        <v>2090</v>
      </c>
      <c r="AW12">
        <f ca="1">IF(AND($B$51=1,LEN($AW$58)&gt;0),$AW$58*10,HLOOKUP(INDIRECT(ADDRESS(2,COLUMN())),OFFSET($CL$2,0,0,ROW()-1,84),ROW()-1,FALSE))</f>
        <v>1540</v>
      </c>
      <c r="AX12">
        <f ca="1">IF(AND($B$51=1,LEN($AX$58)&gt;0),$AX$58*10,HLOOKUP(INDIRECT(ADDRESS(2,COLUMN())),OFFSET($CL$2,0,0,ROW()-1,84),ROW()-1,FALSE))</f>
        <v>2520</v>
      </c>
      <c r="AY12">
        <f ca="1">IF(AND($B$51=1,LEN($AY$58)&gt;0),$AY$58*10,HLOOKUP(INDIRECT(ADDRESS(2,COLUMN())),OFFSET($CL$2,0,0,ROW()-1,84),ROW()-1,FALSE))</f>
        <v>1940</v>
      </c>
      <c r="AZ12">
        <f ca="1">IF(AND($B$51=1,LEN($AZ$58)&gt;0),$AZ$58*10,HLOOKUP(INDIRECT(ADDRESS(2,COLUMN())),OFFSET($CL$2,0,0,ROW()-1,84),ROW()-1,FALSE))</f>
        <v>2100</v>
      </c>
      <c r="BA12">
        <f ca="1">IF(AND($B$51=1,LEN($BA$58)&gt;0),$BA$58*10,HLOOKUP(INDIRECT(ADDRESS(2,COLUMN())),OFFSET($CL$2,0,0,ROW()-1,84),ROW()-1,FALSE))</f>
        <v>2230</v>
      </c>
      <c r="BB12">
        <f ca="1">IF(AND($B$51=1,LEN($BB$58)&gt;0),$BB$58*10,HLOOKUP(INDIRECT(ADDRESS(2,COLUMN())),OFFSET($CL$2,0,0,ROW()-1,84),ROW()-1,FALSE))</f>
        <v>2400</v>
      </c>
      <c r="BC12">
        <f ca="1">IF(AND($B$51=1,LEN($BC$58)&gt;0),$BC$58*10,HLOOKUP(INDIRECT(ADDRESS(2,COLUMN())),OFFSET($CL$2,0,0,ROW()-1,84),ROW()-1,FALSE))</f>
        <v>2440</v>
      </c>
      <c r="BD12">
        <f ca="1">IF(AND($B$51=1,LEN($BD$58)&gt;0),$BD$58*10,HLOOKUP(INDIRECT(ADDRESS(2,COLUMN())),OFFSET($CL$2,0,0,ROW()-1,84),ROW()-1,FALSE))</f>
        <v>2510</v>
      </c>
      <c r="BE12">
        <f ca="1">IF(AND($B$51=1,LEN($BE$58)&gt;0),$BE$58*10,HLOOKUP(INDIRECT(ADDRESS(2,COLUMN())),OFFSET($CL$2,0,0,ROW()-1,84),ROW()-1,FALSE))</f>
        <v>2420</v>
      </c>
      <c r="BF12">
        <f ca="1">IF(AND($B$51=1,LEN($BF$58)&gt;0),$BF$58*10,HLOOKUP(INDIRECT(ADDRESS(2,COLUMN())),OFFSET($CL$2,0,0,ROW()-1,84),ROW()-1,FALSE))</f>
        <v>2550</v>
      </c>
      <c r="BG12">
        <f ca="1">IF(AND($B$51=1,LEN($BG$58)&gt;0),$BG$58*10,HLOOKUP(INDIRECT(ADDRESS(2,COLUMN())),OFFSET($CL$2,0,0,ROW()-1,84),ROW()-1,FALSE))</f>
        <v>2250</v>
      </c>
      <c r="BH12">
        <f ca="1">IF(AND($B$51=1,LEN($BH$58)&gt;0),$BH$58*10,HLOOKUP(INDIRECT(ADDRESS(2,COLUMN())),OFFSET($CL$2,0,0,ROW()-1,84),ROW()-1,FALSE))</f>
        <v>2150</v>
      </c>
      <c r="BI12">
        <f ca="1">IF(AND($B$51=1,LEN($BI$58)&gt;0),$BI$58*10,HLOOKUP(INDIRECT(ADDRESS(2,COLUMN())),OFFSET($CL$2,0,0,ROW()-1,84),ROW()-1,FALSE))</f>
        <v>1950</v>
      </c>
      <c r="BJ12">
        <f ca="1">IF(AND($B$51=1,LEN($BJ$58)&gt;0),$BJ$58*10,HLOOKUP(INDIRECT(ADDRESS(2,COLUMN())),OFFSET($CL$2,0,0,ROW()-1,84),ROW()-1,FALSE))</f>
        <v>2600</v>
      </c>
      <c r="BK12">
        <f ca="1">IF(AND($B$51=1,LEN($BK$58)&gt;0),$BK$58*10,HLOOKUP(INDIRECT(ADDRESS(2,COLUMN())),OFFSET($CL$2,0,0,ROW()-1,84),ROW()-1,FALSE))</f>
        <v>1880.1</v>
      </c>
      <c r="BL12">
        <f ca="1">IF(AND($B$51=1,LEN($BL$58)&gt;0),$BL$58*10,HLOOKUP(INDIRECT(ADDRESS(2,COLUMN())),OFFSET($CL$2,0,0,ROW()-1,84),ROW()-1,FALSE))</f>
        <v>2104</v>
      </c>
      <c r="BM12">
        <f ca="1">IF(AND($B$51=1,LEN($BM$58)&gt;0),$BM$58*10,HLOOKUP(INDIRECT(ADDRESS(2,COLUMN())),OFFSET($CL$2,0,0,ROW()-1,84),ROW()-1,FALSE))</f>
        <v>2136.3000000000002</v>
      </c>
      <c r="BN12">
        <f ca="1">IF(AND($B$51=1,LEN($BN$58)&gt;0),$BN$58*10,HLOOKUP(INDIRECT(ADDRESS(2,COLUMN())),OFFSET($CL$2,0,0,ROW()-1,84),ROW()-1,FALSE))</f>
        <v>2362</v>
      </c>
      <c r="BO12">
        <f ca="1">IF(AND($B$51=1,LEN($BO$58)&gt;0),$BO$58*10,HLOOKUP(INDIRECT(ADDRESS(2,COLUMN())),OFFSET($CL$2,0,0,ROW()-1,84),ROW()-1,FALSE))</f>
        <v>2276.9</v>
      </c>
      <c r="BP12">
        <f ca="1">IF(AND($B$51=1,LEN($BP$58)&gt;0),$BP$58*10,HLOOKUP(INDIRECT(ADDRESS(2,COLUMN())),OFFSET($CL$2,0,0,ROW()-1,84),ROW()-1,FALSE))</f>
        <v>2151.9</v>
      </c>
      <c r="BQ12">
        <f ca="1">IF(AND($B$51=1,LEN($BQ$58)&gt;0),$BQ$58*10,HLOOKUP(INDIRECT(ADDRESS(2,COLUMN())),OFFSET($CL$2,0,0,ROW()-1,84),ROW()-1,FALSE))</f>
        <v>2271.8000000000002</v>
      </c>
      <c r="BR12">
        <f ca="1">IF(AND($B$51=1,LEN($BR$58)&gt;0),$BR$58*10,HLOOKUP(INDIRECT(ADDRESS(2,COLUMN())),OFFSET($CL$2,0,0,ROW()-1,84),ROW()-1,FALSE))</f>
        <v>2391.8000000000002</v>
      </c>
      <c r="BS12">
        <f ca="1">IF(AND($B$51=1,LEN($BS$58)&gt;0),$BS$58*10,HLOOKUP(INDIRECT(ADDRESS(2,COLUMN())),OFFSET($CL$2,0,0,ROW()-1,84),ROW()-1,FALSE))</f>
        <v>2217.8000000000002</v>
      </c>
      <c r="BT12">
        <f ca="1">IF(AND($B$51=1,LEN($BT$58)&gt;0),$BT$58*10,HLOOKUP(INDIRECT(ADDRESS(2,COLUMN())),OFFSET($CL$2,0,0,ROW()-1,84),ROW()-1,FALSE))</f>
        <v>2091.4</v>
      </c>
      <c r="BU12">
        <f ca="1">IF(AND($B$51=1,LEN($BU$58)&gt;0),$BU$58*10,HLOOKUP(INDIRECT(ADDRESS(2,COLUMN())),OFFSET($CL$2,0,0,ROW()-1,84),ROW()-1,FALSE))</f>
        <v>2041.5</v>
      </c>
      <c r="BV12">
        <f ca="1">IF(AND($B$51=1,LEN($BV$58)&gt;0),$BV$58*10,HLOOKUP(INDIRECT(ADDRESS(2,COLUMN())),OFFSET($CL$2,0,0,ROW()-1,84),ROW()-1,FALSE))</f>
        <v>2361.9</v>
      </c>
      <c r="BW12">
        <f ca="1">IF(AND($B$51=1,LEN($BW$58)&gt;0),$BW$58*10,HLOOKUP(INDIRECT(ADDRESS(2,COLUMN())),OFFSET($CL$2,0,0,ROW()-1,84),ROW()-1,FALSE))</f>
        <v>1833.1</v>
      </c>
      <c r="BX12">
        <f ca="1">IF(AND($B$51=1,LEN($BX$58)&gt;0),$BX$58*10,HLOOKUP(INDIRECT(ADDRESS(2,COLUMN())),OFFSET($CL$2,0,0,ROW()-1,84),ROW()-1,FALSE))</f>
        <v>2027</v>
      </c>
      <c r="BY12">
        <f ca="1">IF(AND($B$51=1,LEN($BY$58)&gt;0),$BY$58*10,HLOOKUP(INDIRECT(ADDRESS(2,COLUMN())),OFFSET($CL$2,0,0,ROW()-1,84),ROW()-1,FALSE))</f>
        <v>1996.9</v>
      </c>
      <c r="BZ12">
        <f ca="1">IF(AND($B$51=1,LEN($BZ$58)&gt;0),$BZ$58*10,HLOOKUP(INDIRECT(ADDRESS(2,COLUMN())),OFFSET($CL$2,0,0,ROW()-1,84),ROW()-1,FALSE))</f>
        <v>1996.4</v>
      </c>
      <c r="CA12">
        <f ca="1">IF(AND($B$51=1,LEN($CA$58)&gt;0),$CA$58*10,HLOOKUP(INDIRECT(ADDRESS(2,COLUMN())),OFFSET($CL$2,0,0,ROW()-1,84),ROW()-1,FALSE))</f>
        <v>2161.4</v>
      </c>
      <c r="CB12">
        <f ca="1">IF(AND($B$51=1,LEN($CB$58)&gt;0),$CB$58*10,HLOOKUP(INDIRECT(ADDRESS(2,COLUMN())),OFFSET($CL$2,0,0,ROW()-1,84),ROW()-1,FALSE))</f>
        <v>2184.6</v>
      </c>
      <c r="CC12">
        <f ca="1">IF(AND($B$51=1,LEN($CC$58)&gt;0),$CC$58*10,HLOOKUP(INDIRECT(ADDRESS(2,COLUMN())),OFFSET($CL$2,0,0,ROW()-1,84),ROW()-1,FALSE))</f>
        <v>2135.6999999999998</v>
      </c>
      <c r="CD12">
        <f ca="1">IF(AND($B$51=1,LEN($CD$58)&gt;0),$CD$58*10,HLOOKUP(INDIRECT(ADDRESS(2,COLUMN())),OFFSET($CL$2,0,0,ROW()-1,84),ROW()-1,FALSE))</f>
        <v>2272.5</v>
      </c>
      <c r="CE12">
        <f ca="1">IF(AND($B$51=1,LEN($CE$58)&gt;0),$CE$58*10,HLOOKUP(INDIRECT(ADDRESS(2,COLUMN())),OFFSET($CL$2,0,0,ROW()-1,84),ROW()-1,FALSE))</f>
        <v>2018.7</v>
      </c>
      <c r="CF12">
        <f ca="1">IF(AND($B$51=1,LEN($CF$58)&gt;0),$CF$58*10,HLOOKUP(INDIRECT(ADDRESS(2,COLUMN())),OFFSET($CL$2,0,0,ROW()-1,84),ROW()-1,FALSE))</f>
        <v>2002.4</v>
      </c>
      <c r="CG12">
        <f ca="1">IF(AND($B$51=1,LEN($CG$58)&gt;0),$CG$58*10,HLOOKUP(INDIRECT(ADDRESS(2,COLUMN())),OFFSET($CL$2,0,0,ROW()-1,84),ROW()-1,FALSE))</f>
        <v>1756</v>
      </c>
      <c r="CH12">
        <f ca="1">IF(AND($B$51=1,LEN($CH$58)&gt;0),$CH$58*10,HLOOKUP(INDIRECT(ADDRESS(2,COLUMN())),OFFSET($CL$2,0,0,ROW()-1,84),ROW()-1,FALSE))</f>
        <v>2139.8000000000002</v>
      </c>
      <c r="CI12">
        <f ca="1">IF(AND($B$51=1,LEN($CI$58)&gt;0),$CI$58*10,HLOOKUP(INDIRECT(ADDRESS(2,COLUMN())),OFFSET($CL$2,0,0,ROW()-1,84),ROW()-1,FALSE))</f>
        <v>1680</v>
      </c>
      <c r="CJ12">
        <f ca="1">IF(AND($B$51=1,LEN($CJ$58)&gt;0),$CJ$58*10,HLOOKUP(INDIRECT(ADDRESS(2,COLUMN())),OFFSET($CL$2,0,0,ROW()-1,84),ROW()-1,FALSE))</f>
        <v>1711.7</v>
      </c>
      <c r="CK12">
        <f ca="1">IF(AND($B$51=1,LEN($CK$58)&gt;0),$CK$58*10,HLOOKUP(INDIRECT(ADDRESS(2,COLUMN())),OFFSET($CL$2,0,0,ROW()-1,84),ROW()-1,FALSE))</f>
        <v>1811.3</v>
      </c>
      <c r="CL12" t="str">
        <f>""</f>
        <v/>
      </c>
      <c r="CM12">
        <f>3190</f>
        <v>3190</v>
      </c>
      <c r="CN12">
        <f>3180</f>
        <v>3180</v>
      </c>
      <c r="CO12">
        <f>3220</f>
        <v>3220</v>
      </c>
      <c r="CP12">
        <f>3150</f>
        <v>3150</v>
      </c>
      <c r="CQ12">
        <f>3130</f>
        <v>3130</v>
      </c>
      <c r="CR12">
        <f>2880</f>
        <v>2880</v>
      </c>
      <c r="CS12" t="str">
        <f>""</f>
        <v/>
      </c>
      <c r="CT12" t="str">
        <f>""</f>
        <v/>
      </c>
      <c r="CU12">
        <f>2090</f>
        <v>2090</v>
      </c>
      <c r="CV12">
        <f>2370</f>
        <v>2370</v>
      </c>
      <c r="CW12">
        <f>2570</f>
        <v>2570</v>
      </c>
      <c r="CX12">
        <f>2630</f>
        <v>2630</v>
      </c>
      <c r="CY12">
        <f>2940</f>
        <v>2940</v>
      </c>
      <c r="CZ12">
        <f>3280</f>
        <v>3280</v>
      </c>
      <c r="DA12">
        <f>3160</f>
        <v>3160</v>
      </c>
      <c r="DB12">
        <f>3370</f>
        <v>3370</v>
      </c>
      <c r="DC12">
        <f>3030</f>
        <v>3030</v>
      </c>
      <c r="DD12">
        <f>2660</f>
        <v>2660</v>
      </c>
      <c r="DE12">
        <f>2290</f>
        <v>2290</v>
      </c>
      <c r="DF12">
        <f>2970</f>
        <v>2970</v>
      </c>
      <c r="DG12">
        <f>2090</f>
        <v>2090</v>
      </c>
      <c r="DH12">
        <f>2270</f>
        <v>2270</v>
      </c>
      <c r="DI12">
        <f>2750</f>
        <v>2750</v>
      </c>
      <c r="DJ12">
        <f>2610</f>
        <v>2610</v>
      </c>
      <c r="DK12">
        <f>2680</f>
        <v>2680</v>
      </c>
      <c r="DL12">
        <f>2610</f>
        <v>2610</v>
      </c>
      <c r="DM12">
        <f>2830</f>
        <v>2830</v>
      </c>
      <c r="DN12">
        <f>2840</f>
        <v>2840</v>
      </c>
      <c r="DO12">
        <f>2710</f>
        <v>2710</v>
      </c>
      <c r="DP12">
        <f>2490</f>
        <v>2490</v>
      </c>
      <c r="DQ12">
        <f>2310</f>
        <v>2310</v>
      </c>
      <c r="DR12">
        <f>2890</f>
        <v>2890</v>
      </c>
      <c r="DS12">
        <f>2240</f>
        <v>2240</v>
      </c>
      <c r="DT12">
        <f>2420</f>
        <v>2420</v>
      </c>
      <c r="DU12">
        <f>2710</f>
        <v>2710</v>
      </c>
      <c r="DV12">
        <f>2730</f>
        <v>2730</v>
      </c>
      <c r="DW12">
        <f>2670</f>
        <v>2670</v>
      </c>
      <c r="DX12">
        <f>2710</f>
        <v>2710</v>
      </c>
      <c r="DY12">
        <f>2530</f>
        <v>2530</v>
      </c>
      <c r="DZ12">
        <f>2430</f>
        <v>2430</v>
      </c>
      <c r="EA12">
        <f>2140</f>
        <v>2140</v>
      </c>
      <c r="EB12">
        <f>2090</f>
        <v>2090</v>
      </c>
      <c r="EC12">
        <f>1540</f>
        <v>1540</v>
      </c>
      <c r="ED12">
        <f>2520</f>
        <v>2520</v>
      </c>
      <c r="EE12">
        <f>1940</f>
        <v>1940</v>
      </c>
      <c r="EF12">
        <f>2100</f>
        <v>2100</v>
      </c>
      <c r="EG12">
        <f>2230</f>
        <v>2230</v>
      </c>
      <c r="EH12">
        <f>2400</f>
        <v>2400</v>
      </c>
      <c r="EI12">
        <f>2440</f>
        <v>2440</v>
      </c>
      <c r="EJ12">
        <f>2510</f>
        <v>2510</v>
      </c>
      <c r="EK12">
        <f>2420</f>
        <v>2420</v>
      </c>
      <c r="EL12">
        <f>2550</f>
        <v>2550</v>
      </c>
      <c r="EM12">
        <f>2250</f>
        <v>2250</v>
      </c>
      <c r="EN12">
        <f>2150</f>
        <v>2150</v>
      </c>
      <c r="EO12">
        <f>1950</f>
        <v>1950</v>
      </c>
      <c r="EP12">
        <f>2600</f>
        <v>2600</v>
      </c>
      <c r="EQ12">
        <f>1880.1</f>
        <v>1880.1</v>
      </c>
      <c r="ER12">
        <f>2104</f>
        <v>2104</v>
      </c>
      <c r="ES12">
        <f>2136.3</f>
        <v>2136.3000000000002</v>
      </c>
      <c r="ET12">
        <f>2362</f>
        <v>2362</v>
      </c>
      <c r="EU12">
        <f>2276.9</f>
        <v>2276.9</v>
      </c>
      <c r="EV12">
        <f>2151.9</f>
        <v>2151.9</v>
      </c>
      <c r="EW12">
        <f>2271.8</f>
        <v>2271.8000000000002</v>
      </c>
      <c r="EX12">
        <f>2391.8</f>
        <v>2391.8000000000002</v>
      </c>
      <c r="EY12">
        <f>2217.8</f>
        <v>2217.8000000000002</v>
      </c>
      <c r="EZ12">
        <f>2091.4</f>
        <v>2091.4</v>
      </c>
      <c r="FA12">
        <f>2041.5</f>
        <v>2041.5</v>
      </c>
      <c r="FB12">
        <f>2361.9</f>
        <v>2361.9</v>
      </c>
      <c r="FC12">
        <f>1833.1</f>
        <v>1833.1</v>
      </c>
      <c r="FD12">
        <f>2027</f>
        <v>2027</v>
      </c>
      <c r="FE12">
        <f>1996.9</f>
        <v>1996.9</v>
      </c>
      <c r="FF12">
        <f>1996.4</f>
        <v>1996.4</v>
      </c>
      <c r="FG12">
        <f>2161.4</f>
        <v>2161.4</v>
      </c>
      <c r="FH12">
        <f>2184.6</f>
        <v>2184.6</v>
      </c>
      <c r="FI12">
        <f>2135.7</f>
        <v>2135.6999999999998</v>
      </c>
      <c r="FJ12">
        <f>2272.5</f>
        <v>2272.5</v>
      </c>
      <c r="FK12">
        <f>2018.7</f>
        <v>2018.7</v>
      </c>
      <c r="FL12">
        <f>2002.4</f>
        <v>2002.4</v>
      </c>
      <c r="FM12">
        <f>1756</f>
        <v>1756</v>
      </c>
      <c r="FN12">
        <f>2139.8</f>
        <v>2139.8000000000002</v>
      </c>
      <c r="FO12">
        <f>1680</f>
        <v>1680</v>
      </c>
      <c r="FP12">
        <f>1711.7</f>
        <v>1711.7</v>
      </c>
      <c r="FQ12">
        <f>1811.3</f>
        <v>1811.3</v>
      </c>
    </row>
    <row r="13" spans="1:173" x14ac:dyDescent="0.25">
      <c r="A13" t="str">
        <f>"Ministry of Transport of the People's Republic of China"</f>
        <v>Ministry of Transport of the People's Republic of China</v>
      </c>
      <c r="B13" t="str">
        <f>""</f>
        <v/>
      </c>
      <c r="E13" t="str">
        <f>"Heading"</f>
        <v>Heading</v>
      </c>
      <c r="CL13" t="str">
        <f>""</f>
        <v/>
      </c>
      <c r="CM13" t="str">
        <f>""</f>
        <v/>
      </c>
      <c r="CN13" t="str">
        <f>""</f>
        <v/>
      </c>
      <c r="CO13" t="str">
        <f>""</f>
        <v/>
      </c>
      <c r="CP13" t="str">
        <f>""</f>
        <v/>
      </c>
      <c r="CQ13" t="str">
        <f>""</f>
        <v/>
      </c>
      <c r="CR13" t="str">
        <f>""</f>
        <v/>
      </c>
      <c r="CS13" t="str">
        <f>""</f>
        <v/>
      </c>
      <c r="CT13" t="str">
        <f>""</f>
        <v/>
      </c>
      <c r="CU13" t="str">
        <f>""</f>
        <v/>
      </c>
      <c r="CV13" t="str">
        <f>""</f>
        <v/>
      </c>
      <c r="CW13" t="str">
        <f>""</f>
        <v/>
      </c>
      <c r="CX13" t="str">
        <f>""</f>
        <v/>
      </c>
      <c r="CY13" t="str">
        <f>""</f>
        <v/>
      </c>
      <c r="CZ13" t="str">
        <f>""</f>
        <v/>
      </c>
      <c r="DA13" t="str">
        <f>""</f>
        <v/>
      </c>
      <c r="DB13" t="str">
        <f>""</f>
        <v/>
      </c>
      <c r="DC13" t="str">
        <f>""</f>
        <v/>
      </c>
      <c r="DD13" t="str">
        <f>""</f>
        <v/>
      </c>
      <c r="DE13" t="str">
        <f>""</f>
        <v/>
      </c>
      <c r="DF13" t="str">
        <f>""</f>
        <v/>
      </c>
      <c r="DG13" t="str">
        <f>""</f>
        <v/>
      </c>
      <c r="DH13" t="str">
        <f>""</f>
        <v/>
      </c>
      <c r="DI13" t="str">
        <f>""</f>
        <v/>
      </c>
      <c r="DJ13" t="str">
        <f>""</f>
        <v/>
      </c>
      <c r="DK13" t="str">
        <f>""</f>
        <v/>
      </c>
      <c r="DL13" t="str">
        <f>""</f>
        <v/>
      </c>
      <c r="DM13" t="str">
        <f>""</f>
        <v/>
      </c>
      <c r="DN13" t="str">
        <f>""</f>
        <v/>
      </c>
      <c r="DO13" t="str">
        <f>""</f>
        <v/>
      </c>
      <c r="DP13" t="str">
        <f>""</f>
        <v/>
      </c>
      <c r="DQ13" t="str">
        <f>""</f>
        <v/>
      </c>
      <c r="DR13" t="str">
        <f>""</f>
        <v/>
      </c>
      <c r="DS13" t="str">
        <f>""</f>
        <v/>
      </c>
      <c r="DT13" t="str">
        <f>""</f>
        <v/>
      </c>
      <c r="DU13" t="str">
        <f>""</f>
        <v/>
      </c>
      <c r="DV13" t="str">
        <f>""</f>
        <v/>
      </c>
      <c r="DW13" t="str">
        <f>""</f>
        <v/>
      </c>
      <c r="DX13" t="str">
        <f>""</f>
        <v/>
      </c>
      <c r="DY13" t="str">
        <f>""</f>
        <v/>
      </c>
      <c r="DZ13" t="str">
        <f>""</f>
        <v/>
      </c>
      <c r="EA13" t="str">
        <f>""</f>
        <v/>
      </c>
      <c r="EB13" t="str">
        <f>""</f>
        <v/>
      </c>
      <c r="EC13" t="str">
        <f>""</f>
        <v/>
      </c>
      <c r="ED13" t="str">
        <f>""</f>
        <v/>
      </c>
      <c r="EE13" t="str">
        <f>""</f>
        <v/>
      </c>
      <c r="EF13" t="str">
        <f>""</f>
        <v/>
      </c>
      <c r="EG13" t="str">
        <f>""</f>
        <v/>
      </c>
      <c r="EH13" t="str">
        <f>""</f>
        <v/>
      </c>
      <c r="EI13" t="str">
        <f>""</f>
        <v/>
      </c>
      <c r="EJ13" t="str">
        <f>""</f>
        <v/>
      </c>
      <c r="EK13" t="str">
        <f>""</f>
        <v/>
      </c>
      <c r="EL13" t="str">
        <f>""</f>
        <v/>
      </c>
      <c r="EM13" t="str">
        <f>""</f>
        <v/>
      </c>
      <c r="EN13" t="str">
        <f>""</f>
        <v/>
      </c>
      <c r="EO13" t="str">
        <f>""</f>
        <v/>
      </c>
      <c r="EP13" t="str">
        <f>""</f>
        <v/>
      </c>
      <c r="EQ13" t="str">
        <f>""</f>
        <v/>
      </c>
      <c r="ER13" t="str">
        <f>""</f>
        <v/>
      </c>
      <c r="ES13" t="str">
        <f>""</f>
        <v/>
      </c>
      <c r="ET13" t="str">
        <f>""</f>
        <v/>
      </c>
      <c r="EU13" t="str">
        <f>""</f>
        <v/>
      </c>
      <c r="EV13" t="str">
        <f>""</f>
        <v/>
      </c>
      <c r="EW13" t="str">
        <f>""</f>
        <v/>
      </c>
      <c r="EX13" t="str">
        <f>""</f>
        <v/>
      </c>
      <c r="EY13" t="str">
        <f>""</f>
        <v/>
      </c>
      <c r="EZ13" t="str">
        <f>""</f>
        <v/>
      </c>
      <c r="FA13" t="str">
        <f>""</f>
        <v/>
      </c>
      <c r="FB13" t="str">
        <f>""</f>
        <v/>
      </c>
      <c r="FC13" t="str">
        <f>""</f>
        <v/>
      </c>
      <c r="FD13" t="str">
        <f>""</f>
        <v/>
      </c>
      <c r="FE13" t="str">
        <f>""</f>
        <v/>
      </c>
      <c r="FF13" t="str">
        <f>""</f>
        <v/>
      </c>
      <c r="FG13" t="str">
        <f>""</f>
        <v/>
      </c>
      <c r="FH13" t="str">
        <f>""</f>
        <v/>
      </c>
      <c r="FI13" t="str">
        <f>""</f>
        <v/>
      </c>
      <c r="FJ13" t="str">
        <f>""</f>
        <v/>
      </c>
      <c r="FK13" t="str">
        <f>""</f>
        <v/>
      </c>
      <c r="FL13" t="str">
        <f>""</f>
        <v/>
      </c>
      <c r="FM13" t="str">
        <f>""</f>
        <v/>
      </c>
      <c r="FN13" t="str">
        <f>""</f>
        <v/>
      </c>
      <c r="FO13" t="str">
        <f>""</f>
        <v/>
      </c>
      <c r="FP13" t="str">
        <f>""</f>
        <v/>
      </c>
      <c r="FQ13" t="str">
        <f>""</f>
        <v/>
      </c>
    </row>
    <row r="14" spans="1:173" x14ac:dyDescent="0.25">
      <c r="A14" t="str">
        <f>""</f>
        <v/>
      </c>
      <c r="B14" t="str">
        <f>""</f>
        <v/>
      </c>
      <c r="E14" t="str">
        <f>"Static"</f>
        <v>Static</v>
      </c>
      <c r="F14" t="str">
        <f t="shared" ref="F14:AK14" ca="1" si="3">HLOOKUP(INDIRECT(ADDRESS(2,COLUMN())),OFFSET($CL$2,0,0,ROW()-1,84),ROW()-1,FALSE)</f>
        <v/>
      </c>
      <c r="G14" t="str">
        <f t="shared" ca="1" si="3"/>
        <v/>
      </c>
      <c r="H14" t="str">
        <f t="shared" ca="1" si="3"/>
        <v/>
      </c>
      <c r="I14" t="str">
        <f t="shared" ca="1" si="3"/>
        <v/>
      </c>
      <c r="J14" t="str">
        <f t="shared" ca="1" si="3"/>
        <v/>
      </c>
      <c r="K14" t="str">
        <f t="shared" ca="1" si="3"/>
        <v/>
      </c>
      <c r="L14" t="str">
        <f t="shared" ca="1" si="3"/>
        <v/>
      </c>
      <c r="M14" t="str">
        <f t="shared" ca="1" si="3"/>
        <v/>
      </c>
      <c r="N14" t="str">
        <f t="shared" ca="1" si="3"/>
        <v/>
      </c>
      <c r="O14" t="str">
        <f t="shared" ca="1" si="3"/>
        <v/>
      </c>
      <c r="P14" t="str">
        <f t="shared" ca="1" si="3"/>
        <v/>
      </c>
      <c r="Q14" t="str">
        <f t="shared" ca="1" si="3"/>
        <v/>
      </c>
      <c r="R14" t="str">
        <f t="shared" ca="1" si="3"/>
        <v/>
      </c>
      <c r="S14" t="str">
        <f t="shared" ca="1" si="3"/>
        <v/>
      </c>
      <c r="T14" t="str">
        <f t="shared" ca="1" si="3"/>
        <v/>
      </c>
      <c r="U14" t="str">
        <f t="shared" ca="1" si="3"/>
        <v/>
      </c>
      <c r="V14" t="str">
        <f t="shared" ca="1" si="3"/>
        <v/>
      </c>
      <c r="W14" t="str">
        <f t="shared" ca="1" si="3"/>
        <v/>
      </c>
      <c r="X14" t="str">
        <f t="shared" ca="1" si="3"/>
        <v/>
      </c>
      <c r="Y14" t="str">
        <f t="shared" ca="1" si="3"/>
        <v/>
      </c>
      <c r="Z14" t="str">
        <f t="shared" ca="1" si="3"/>
        <v/>
      </c>
      <c r="AA14" t="str">
        <f t="shared" ca="1" si="3"/>
        <v/>
      </c>
      <c r="AB14" t="str">
        <f t="shared" ca="1" si="3"/>
        <v/>
      </c>
      <c r="AC14" t="str">
        <f t="shared" ca="1" si="3"/>
        <v/>
      </c>
      <c r="AD14" t="str">
        <f t="shared" ca="1" si="3"/>
        <v/>
      </c>
      <c r="AE14" t="str">
        <f t="shared" ca="1" si="3"/>
        <v/>
      </c>
      <c r="AF14" t="str">
        <f t="shared" ca="1" si="3"/>
        <v/>
      </c>
      <c r="AG14" t="str">
        <f t="shared" ca="1" si="3"/>
        <v/>
      </c>
      <c r="AH14" t="str">
        <f t="shared" ca="1" si="3"/>
        <v/>
      </c>
      <c r="AI14" t="str">
        <f t="shared" ca="1" si="3"/>
        <v/>
      </c>
      <c r="AJ14" t="str">
        <f t="shared" ca="1" si="3"/>
        <v/>
      </c>
      <c r="AK14" t="str">
        <f t="shared" ca="1" si="3"/>
        <v/>
      </c>
      <c r="AL14" t="str">
        <f t="shared" ref="AL14:BQ14" ca="1" si="4">HLOOKUP(INDIRECT(ADDRESS(2,COLUMN())),OFFSET($CL$2,0,0,ROW()-1,84),ROW()-1,FALSE)</f>
        <v/>
      </c>
      <c r="AM14" t="str">
        <f t="shared" ca="1" si="4"/>
        <v/>
      </c>
      <c r="AN14" t="str">
        <f t="shared" ca="1" si="4"/>
        <v/>
      </c>
      <c r="AO14" t="str">
        <f t="shared" ca="1" si="4"/>
        <v/>
      </c>
      <c r="AP14" t="str">
        <f t="shared" ca="1" si="4"/>
        <v/>
      </c>
      <c r="AQ14" t="str">
        <f t="shared" ca="1" si="4"/>
        <v/>
      </c>
      <c r="AR14" t="str">
        <f t="shared" ca="1" si="4"/>
        <v/>
      </c>
      <c r="AS14" t="str">
        <f t="shared" ca="1" si="4"/>
        <v/>
      </c>
      <c r="AT14" t="str">
        <f t="shared" ca="1" si="4"/>
        <v/>
      </c>
      <c r="AU14" t="str">
        <f t="shared" ca="1" si="4"/>
        <v/>
      </c>
      <c r="AV14" t="str">
        <f t="shared" ca="1" si="4"/>
        <v/>
      </c>
      <c r="AW14" t="str">
        <f t="shared" ca="1" si="4"/>
        <v/>
      </c>
      <c r="AX14" t="str">
        <f t="shared" ca="1" si="4"/>
        <v/>
      </c>
      <c r="AY14" t="str">
        <f t="shared" ca="1" si="4"/>
        <v/>
      </c>
      <c r="AZ14" t="str">
        <f t="shared" ca="1" si="4"/>
        <v/>
      </c>
      <c r="BA14" t="str">
        <f t="shared" ca="1" si="4"/>
        <v/>
      </c>
      <c r="BB14" t="str">
        <f t="shared" ca="1" si="4"/>
        <v/>
      </c>
      <c r="BC14" t="str">
        <f t="shared" ca="1" si="4"/>
        <v/>
      </c>
      <c r="BD14" t="str">
        <f t="shared" ca="1" si="4"/>
        <v/>
      </c>
      <c r="BE14" t="str">
        <f t="shared" ca="1" si="4"/>
        <v/>
      </c>
      <c r="BF14" t="str">
        <f t="shared" ca="1" si="4"/>
        <v/>
      </c>
      <c r="BG14" t="str">
        <f t="shared" ca="1" si="4"/>
        <v/>
      </c>
      <c r="BH14" t="str">
        <f t="shared" ca="1" si="4"/>
        <v/>
      </c>
      <c r="BI14" t="str">
        <f t="shared" ca="1" si="4"/>
        <v/>
      </c>
      <c r="BJ14" t="str">
        <f t="shared" ca="1" si="4"/>
        <v/>
      </c>
      <c r="BK14" t="str">
        <f t="shared" ca="1" si="4"/>
        <v/>
      </c>
      <c r="BL14" t="str">
        <f t="shared" ca="1" si="4"/>
        <v/>
      </c>
      <c r="BM14" t="str">
        <f t="shared" ca="1" si="4"/>
        <v/>
      </c>
      <c r="BN14" t="str">
        <f t="shared" ca="1" si="4"/>
        <v/>
      </c>
      <c r="BO14" t="str">
        <f t="shared" ca="1" si="4"/>
        <v/>
      </c>
      <c r="BP14" t="str">
        <f t="shared" ca="1" si="4"/>
        <v/>
      </c>
      <c r="BQ14" t="str">
        <f t="shared" ca="1" si="4"/>
        <v/>
      </c>
      <c r="BR14" t="str">
        <f t="shared" ref="BR14:CK14" ca="1" si="5">HLOOKUP(INDIRECT(ADDRESS(2,COLUMN())),OFFSET($CL$2,0,0,ROW()-1,84),ROW()-1,FALSE)</f>
        <v/>
      </c>
      <c r="BS14" t="str">
        <f t="shared" ca="1" si="5"/>
        <v/>
      </c>
      <c r="BT14" t="str">
        <f t="shared" ca="1" si="5"/>
        <v/>
      </c>
      <c r="BU14" t="str">
        <f t="shared" ca="1" si="5"/>
        <v/>
      </c>
      <c r="BV14" t="str">
        <f t="shared" ca="1" si="5"/>
        <v/>
      </c>
      <c r="BW14" t="str">
        <f t="shared" ca="1" si="5"/>
        <v/>
      </c>
      <c r="BX14" t="str">
        <f t="shared" ca="1" si="5"/>
        <v/>
      </c>
      <c r="BY14" t="str">
        <f t="shared" ca="1" si="5"/>
        <v/>
      </c>
      <c r="BZ14" t="str">
        <f t="shared" ca="1" si="5"/>
        <v/>
      </c>
      <c r="CA14" t="str">
        <f t="shared" ca="1" si="5"/>
        <v/>
      </c>
      <c r="CB14" t="str">
        <f t="shared" ca="1" si="5"/>
        <v/>
      </c>
      <c r="CC14" t="str">
        <f t="shared" ca="1" si="5"/>
        <v/>
      </c>
      <c r="CD14" t="str">
        <f t="shared" ca="1" si="5"/>
        <v/>
      </c>
      <c r="CE14" t="str">
        <f t="shared" ca="1" si="5"/>
        <v/>
      </c>
      <c r="CF14" t="str">
        <f t="shared" ca="1" si="5"/>
        <v/>
      </c>
      <c r="CG14" t="str">
        <f t="shared" ca="1" si="5"/>
        <v/>
      </c>
      <c r="CH14" t="str">
        <f t="shared" ca="1" si="5"/>
        <v/>
      </c>
      <c r="CI14" t="str">
        <f t="shared" ca="1" si="5"/>
        <v/>
      </c>
      <c r="CJ14" t="str">
        <f t="shared" ca="1" si="5"/>
        <v/>
      </c>
      <c r="CK14" t="str">
        <f t="shared" ca="1" si="5"/>
        <v/>
      </c>
      <c r="CL14" t="str">
        <f>""</f>
        <v/>
      </c>
      <c r="CM14" t="str">
        <f>""</f>
        <v/>
      </c>
      <c r="CN14" t="str">
        <f>""</f>
        <v/>
      </c>
      <c r="CO14" t="str">
        <f>""</f>
        <v/>
      </c>
      <c r="CP14" t="str">
        <f>""</f>
        <v/>
      </c>
      <c r="CQ14" t="str">
        <f>""</f>
        <v/>
      </c>
      <c r="CR14" t="str">
        <f>""</f>
        <v/>
      </c>
      <c r="CS14" t="str">
        <f>""</f>
        <v/>
      </c>
      <c r="CT14" t="str">
        <f>""</f>
        <v/>
      </c>
      <c r="CU14" t="str">
        <f>""</f>
        <v/>
      </c>
      <c r="CV14" t="str">
        <f>""</f>
        <v/>
      </c>
      <c r="CW14" t="str">
        <f>""</f>
        <v/>
      </c>
      <c r="CX14" t="str">
        <f>""</f>
        <v/>
      </c>
      <c r="CY14" t="str">
        <f>""</f>
        <v/>
      </c>
      <c r="CZ14" t="str">
        <f>""</f>
        <v/>
      </c>
      <c r="DA14" t="str">
        <f>""</f>
        <v/>
      </c>
      <c r="DB14" t="str">
        <f>""</f>
        <v/>
      </c>
      <c r="DC14" t="str">
        <f>""</f>
        <v/>
      </c>
      <c r="DD14" t="str">
        <f>""</f>
        <v/>
      </c>
      <c r="DE14" t="str">
        <f>""</f>
        <v/>
      </c>
      <c r="DF14" t="str">
        <f>""</f>
        <v/>
      </c>
      <c r="DG14" t="str">
        <f>""</f>
        <v/>
      </c>
      <c r="DH14" t="str">
        <f>""</f>
        <v/>
      </c>
      <c r="DI14" t="str">
        <f>""</f>
        <v/>
      </c>
      <c r="DJ14" t="str">
        <f>""</f>
        <v/>
      </c>
      <c r="DK14" t="str">
        <f>""</f>
        <v/>
      </c>
      <c r="DL14" t="str">
        <f>""</f>
        <v/>
      </c>
      <c r="DM14" t="str">
        <f>""</f>
        <v/>
      </c>
      <c r="DN14" t="str">
        <f>""</f>
        <v/>
      </c>
      <c r="DO14" t="str">
        <f>""</f>
        <v/>
      </c>
      <c r="DP14" t="str">
        <f>""</f>
        <v/>
      </c>
      <c r="DQ14" t="str">
        <f>""</f>
        <v/>
      </c>
      <c r="DR14" t="str">
        <f>""</f>
        <v/>
      </c>
      <c r="DS14" t="str">
        <f>""</f>
        <v/>
      </c>
      <c r="DT14" t="str">
        <f>""</f>
        <v/>
      </c>
      <c r="DU14" t="str">
        <f>""</f>
        <v/>
      </c>
      <c r="DV14" t="str">
        <f>""</f>
        <v/>
      </c>
      <c r="DW14" t="str">
        <f>""</f>
        <v/>
      </c>
      <c r="DX14" t="str">
        <f>""</f>
        <v/>
      </c>
      <c r="DY14" t="str">
        <f>""</f>
        <v/>
      </c>
      <c r="DZ14" t="str">
        <f>""</f>
        <v/>
      </c>
      <c r="EA14" t="str">
        <f>""</f>
        <v/>
      </c>
      <c r="EB14" t="str">
        <f>""</f>
        <v/>
      </c>
      <c r="EC14" t="str">
        <f>""</f>
        <v/>
      </c>
      <c r="ED14" t="str">
        <f>""</f>
        <v/>
      </c>
      <c r="EE14" t="str">
        <f>""</f>
        <v/>
      </c>
      <c r="EF14" t="str">
        <f>""</f>
        <v/>
      </c>
      <c r="EG14" t="str">
        <f>""</f>
        <v/>
      </c>
      <c r="EH14" t="str">
        <f>""</f>
        <v/>
      </c>
      <c r="EI14" t="str">
        <f>""</f>
        <v/>
      </c>
      <c r="EJ14" t="str">
        <f>""</f>
        <v/>
      </c>
      <c r="EK14" t="str">
        <f>""</f>
        <v/>
      </c>
      <c r="EL14" t="str">
        <f>""</f>
        <v/>
      </c>
      <c r="EM14" t="str">
        <f>""</f>
        <v/>
      </c>
      <c r="EN14" t="str">
        <f>""</f>
        <v/>
      </c>
      <c r="EO14" t="str">
        <f>""</f>
        <v/>
      </c>
      <c r="EP14" t="str">
        <f>""</f>
        <v/>
      </c>
      <c r="EQ14" t="str">
        <f>""</f>
        <v/>
      </c>
      <c r="ER14" t="str">
        <f>""</f>
        <v/>
      </c>
      <c r="ES14" t="str">
        <f>""</f>
        <v/>
      </c>
      <c r="ET14" t="str">
        <f>""</f>
        <v/>
      </c>
      <c r="EU14" t="str">
        <f>""</f>
        <v/>
      </c>
      <c r="EV14" t="str">
        <f>""</f>
        <v/>
      </c>
      <c r="EW14" t="str">
        <f>""</f>
        <v/>
      </c>
      <c r="EX14" t="str">
        <f>""</f>
        <v/>
      </c>
      <c r="EY14" t="str">
        <f>""</f>
        <v/>
      </c>
      <c r="EZ14" t="str">
        <f>""</f>
        <v/>
      </c>
      <c r="FA14" t="str">
        <f>""</f>
        <v/>
      </c>
      <c r="FB14" t="str">
        <f>""</f>
        <v/>
      </c>
      <c r="FC14" t="str">
        <f>""</f>
        <v/>
      </c>
      <c r="FD14" t="str">
        <f>""</f>
        <v/>
      </c>
      <c r="FE14" t="str">
        <f>""</f>
        <v/>
      </c>
      <c r="FF14" t="str">
        <f>""</f>
        <v/>
      </c>
      <c r="FG14" t="str">
        <f>""</f>
        <v/>
      </c>
      <c r="FH14" t="str">
        <f>""</f>
        <v/>
      </c>
      <c r="FI14" t="str">
        <f>""</f>
        <v/>
      </c>
      <c r="FJ14" t="str">
        <f>""</f>
        <v/>
      </c>
      <c r="FK14" t="str">
        <f>""</f>
        <v/>
      </c>
      <c r="FL14" t="str">
        <f>""</f>
        <v/>
      </c>
      <c r="FM14" t="str">
        <f>""</f>
        <v/>
      </c>
      <c r="FN14" t="str">
        <f>""</f>
        <v/>
      </c>
      <c r="FO14" t="str">
        <f>""</f>
        <v/>
      </c>
      <c r="FP14" t="str">
        <f>""</f>
        <v/>
      </c>
      <c r="FQ14" t="str">
        <f>""</f>
        <v/>
      </c>
    </row>
    <row r="15" spans="1:173" x14ac:dyDescent="0.25">
      <c r="A15" t="str">
        <f>"South Korea Port Container Throughput (000 TEU)"</f>
        <v>South Korea Port Container Throughput (000 TEU)</v>
      </c>
      <c r="B15" t="str">
        <f>"SKTSTOTL Index"</f>
        <v>SKTSTOTL Index</v>
      </c>
      <c r="C15" t="str">
        <f>"PR005"</f>
        <v>PR005</v>
      </c>
      <c r="D15" t="str">
        <f>"PX_LAST"</f>
        <v>PX_LAST</v>
      </c>
      <c r="E15" t="str">
        <f>"Dynamic"</f>
        <v>Dynamic</v>
      </c>
      <c r="F15" t="str">
        <f ca="1">IF(AND(ISNUMBER($F$61),$B$51=1),$F$61,HLOOKUP(INDIRECT(ADDRESS(2,COLUMN())),OFFSET($CL$2,0,0,ROW()-1,84),ROW()-1,FALSE))</f>
        <v/>
      </c>
      <c r="G15" t="str">
        <f ca="1">IF(AND(ISNUMBER($G$61),$B$51=1),$G$61,HLOOKUP(INDIRECT(ADDRESS(2,COLUMN())),OFFSET($CL$2,0,0,ROW()-1,84),ROW()-1,FALSE))</f>
        <v/>
      </c>
      <c r="H15" t="str">
        <f ca="1">IF(AND(ISNUMBER($H$61),$B$51=1),$H$61,HLOOKUP(INDIRECT(ADDRESS(2,COLUMN())),OFFSET($CL$2,0,0,ROW()-1,84),ROW()-1,FALSE))</f>
        <v/>
      </c>
      <c r="I15" t="str">
        <f ca="1">IF(AND(ISNUMBER($I$61),$B$51=1),$I$61,HLOOKUP(INDIRECT(ADDRESS(2,COLUMN())),OFFSET($CL$2,0,0,ROW()-1,84),ROW()-1,FALSE))</f>
        <v/>
      </c>
      <c r="J15" t="str">
        <f ca="1">IF(AND(ISNUMBER($J$61),$B$51=1),$J$61,HLOOKUP(INDIRECT(ADDRESS(2,COLUMN())),OFFSET($CL$2,0,0,ROW()-1,84),ROW()-1,FALSE))</f>
        <v/>
      </c>
      <c r="K15" t="str">
        <f ca="1">IF(AND(ISNUMBER($K$61),$B$51=1),$K$61,HLOOKUP(INDIRECT(ADDRESS(2,COLUMN())),OFFSET($CL$2,0,0,ROW()-1,84),ROW()-1,FALSE))</f>
        <v/>
      </c>
      <c r="L15" t="str">
        <f ca="1">IF(AND(ISNUMBER($L$61),$B$51=1),$L$61,HLOOKUP(INDIRECT(ADDRESS(2,COLUMN())),OFFSET($CL$2,0,0,ROW()-1,84),ROW()-1,FALSE))</f>
        <v/>
      </c>
      <c r="M15" t="str">
        <f ca="1">IF(AND(ISNUMBER($M$61),$B$51=1),$M$61,HLOOKUP(INDIRECT(ADDRESS(2,COLUMN())),OFFSET($CL$2,0,0,ROW()-1,84),ROW()-1,FALSE))</f>
        <v/>
      </c>
      <c r="N15" t="str">
        <f ca="1">IF(AND(ISNUMBER($N$61),$B$51=1),$N$61,HLOOKUP(INDIRECT(ADDRESS(2,COLUMN())),OFFSET($CL$2,0,0,ROW()-1,84),ROW()-1,FALSE))</f>
        <v/>
      </c>
      <c r="O15" t="str">
        <f ca="1">IF(AND(ISNUMBER($O$61),$B$51=1),$O$61,HLOOKUP(INDIRECT(ADDRESS(2,COLUMN())),OFFSET($CL$2,0,0,ROW()-1,84),ROW()-1,FALSE))</f>
        <v/>
      </c>
      <c r="P15" t="str">
        <f ca="1">IF(AND(ISNUMBER($P$61),$B$51=1),$P$61,HLOOKUP(INDIRECT(ADDRESS(2,COLUMN())),OFFSET($CL$2,0,0,ROW()-1,84),ROW()-1,FALSE))</f>
        <v/>
      </c>
      <c r="Q15" t="str">
        <f ca="1">IF(AND(ISNUMBER($Q$61),$B$51=1),$Q$61,HLOOKUP(INDIRECT(ADDRESS(2,COLUMN())),OFFSET($CL$2,0,0,ROW()-1,84),ROW()-1,FALSE))</f>
        <v/>
      </c>
      <c r="R15" t="str">
        <f ca="1">IF(AND(ISNUMBER($R$61),$B$51=1),$R$61,HLOOKUP(INDIRECT(ADDRESS(2,COLUMN())),OFFSET($CL$2,0,0,ROW()-1,84),ROW()-1,FALSE))</f>
        <v/>
      </c>
      <c r="S15" t="str">
        <f ca="1">IF(AND(ISNUMBER($S$61),$B$51=1),$S$61,HLOOKUP(INDIRECT(ADDRESS(2,COLUMN())),OFFSET($CL$2,0,0,ROW()-1,84),ROW()-1,FALSE))</f>
        <v/>
      </c>
      <c r="T15" t="str">
        <f ca="1">IF(AND(ISNUMBER($T$61),$B$51=1),$T$61,HLOOKUP(INDIRECT(ADDRESS(2,COLUMN())),OFFSET($CL$2,0,0,ROW()-1,84),ROW()-1,FALSE))</f>
        <v/>
      </c>
      <c r="U15" t="str">
        <f ca="1">IF(AND(ISNUMBER($U$61),$B$51=1),$U$61,HLOOKUP(INDIRECT(ADDRESS(2,COLUMN())),OFFSET($CL$2,0,0,ROW()-1,84),ROW()-1,FALSE))</f>
        <v/>
      </c>
      <c r="V15" t="str">
        <f ca="1">IF(AND(ISNUMBER($V$61),$B$51=1),$V$61,HLOOKUP(INDIRECT(ADDRESS(2,COLUMN())),OFFSET($CL$2,0,0,ROW()-1,84),ROW()-1,FALSE))</f>
        <v/>
      </c>
      <c r="W15" t="str">
        <f ca="1">IF(AND(ISNUMBER($W$61),$B$51=1),$W$61,HLOOKUP(INDIRECT(ADDRESS(2,COLUMN())),OFFSET($CL$2,0,0,ROW()-1,84),ROW()-1,FALSE))</f>
        <v/>
      </c>
      <c r="X15" t="str">
        <f ca="1">IF(AND(ISNUMBER($X$61),$B$51=1),$X$61,HLOOKUP(INDIRECT(ADDRESS(2,COLUMN())),OFFSET($CL$2,0,0,ROW()-1,84),ROW()-1,FALSE))</f>
        <v/>
      </c>
      <c r="Y15" t="str">
        <f ca="1">IF(AND(ISNUMBER($Y$61),$B$51=1),$Y$61,HLOOKUP(INDIRECT(ADDRESS(2,COLUMN())),OFFSET($CL$2,0,0,ROW()-1,84),ROW()-1,FALSE))</f>
        <v/>
      </c>
      <c r="Z15" t="str">
        <f ca="1">IF(AND(ISNUMBER($Z$61),$B$51=1),$Z$61,HLOOKUP(INDIRECT(ADDRESS(2,COLUMN())),OFFSET($CL$2,0,0,ROW()-1,84),ROW()-1,FALSE))</f>
        <v/>
      </c>
      <c r="AA15" t="str">
        <f ca="1">IF(AND(ISNUMBER($AA$61),$B$51=1),$AA$61,HLOOKUP(INDIRECT(ADDRESS(2,COLUMN())),OFFSET($CL$2,0,0,ROW()-1,84),ROW()-1,FALSE))</f>
        <v/>
      </c>
      <c r="AB15" t="str">
        <f ca="1">IF(AND(ISNUMBER($AB$61),$B$51=1),$AB$61,HLOOKUP(INDIRECT(ADDRESS(2,COLUMN())),OFFSET($CL$2,0,0,ROW()-1,84),ROW()-1,FALSE))</f>
        <v/>
      </c>
      <c r="AC15" t="str">
        <f ca="1">IF(AND(ISNUMBER($AC$61),$B$51=1),$AC$61,HLOOKUP(INDIRECT(ADDRESS(2,COLUMN())),OFFSET($CL$2,0,0,ROW()-1,84),ROW()-1,FALSE))</f>
        <v/>
      </c>
      <c r="AD15" t="str">
        <f ca="1">IF(AND(ISNUMBER($AD$61),$B$51=1),$AD$61,HLOOKUP(INDIRECT(ADDRESS(2,COLUMN())),OFFSET($CL$2,0,0,ROW()-1,84),ROW()-1,FALSE))</f>
        <v/>
      </c>
      <c r="AE15" t="str">
        <f ca="1">IF(AND(ISNUMBER($AE$61),$B$51=1),$AE$61,HLOOKUP(INDIRECT(ADDRESS(2,COLUMN())),OFFSET($CL$2,0,0,ROW()-1,84),ROW()-1,FALSE))</f>
        <v/>
      </c>
      <c r="AF15" t="str">
        <f ca="1">IF(AND(ISNUMBER($AF$61),$B$51=1),$AF$61,HLOOKUP(INDIRECT(ADDRESS(2,COLUMN())),OFFSET($CL$2,0,0,ROW()-1,84),ROW()-1,FALSE))</f>
        <v/>
      </c>
      <c r="AG15" t="str">
        <f ca="1">IF(AND(ISNUMBER($AG$61),$B$51=1),$AG$61,HLOOKUP(INDIRECT(ADDRESS(2,COLUMN())),OFFSET($CL$2,0,0,ROW()-1,84),ROW()-1,FALSE))</f>
        <v/>
      </c>
      <c r="AH15" t="str">
        <f ca="1">IF(AND(ISNUMBER($AH$61),$B$51=1),$AH$61,HLOOKUP(INDIRECT(ADDRESS(2,COLUMN())),OFFSET($CL$2,0,0,ROW()-1,84),ROW()-1,FALSE))</f>
        <v/>
      </c>
      <c r="AI15" t="str">
        <f ca="1">IF(AND(ISNUMBER($AI$61),$B$51=1),$AI$61,HLOOKUP(INDIRECT(ADDRESS(2,COLUMN())),OFFSET($CL$2,0,0,ROW()-1,84),ROW()-1,FALSE))</f>
        <v/>
      </c>
      <c r="AJ15" t="str">
        <f ca="1">IF(AND(ISNUMBER($AJ$61),$B$51=1),$AJ$61,HLOOKUP(INDIRECT(ADDRESS(2,COLUMN())),OFFSET($CL$2,0,0,ROW()-1,84),ROW()-1,FALSE))</f>
        <v/>
      </c>
      <c r="AK15" t="str">
        <f ca="1">IF(AND(ISNUMBER($AK$61),$B$51=1),$AK$61,HLOOKUP(INDIRECT(ADDRESS(2,COLUMN())),OFFSET($CL$2,0,0,ROW()-1,84),ROW()-1,FALSE))</f>
        <v/>
      </c>
      <c r="AL15" t="str">
        <f ca="1">IF(AND(ISNUMBER($AL$61),$B$51=1),$AL$61,HLOOKUP(INDIRECT(ADDRESS(2,COLUMN())),OFFSET($CL$2,0,0,ROW()-1,84),ROW()-1,FALSE))</f>
        <v/>
      </c>
      <c r="AM15" t="str">
        <f ca="1">IF(AND(ISNUMBER($AM$61),$B$51=1),$AM$61,HLOOKUP(INDIRECT(ADDRESS(2,COLUMN())),OFFSET($CL$2,0,0,ROW()-1,84),ROW()-1,FALSE))</f>
        <v/>
      </c>
      <c r="AN15">
        <f ca="1">IF(AND(ISNUMBER($AN$61),$B$51=1),$AN$61,HLOOKUP(INDIRECT(ADDRESS(2,COLUMN())),OFFSET($CL$2,0,0,ROW()-1,84),ROW()-1,FALSE))</f>
        <v>1923.9984999999999</v>
      </c>
      <c r="AO15">
        <f ca="1">IF(AND(ISNUMBER($AO$61),$B$51=1),$AO$61,HLOOKUP(INDIRECT(ADDRESS(2,COLUMN())),OFFSET($CL$2,0,0,ROW()-1,84),ROW()-1,FALSE))</f>
        <v>1876.3969999999999</v>
      </c>
      <c r="AP15">
        <f ca="1">IF(AND(ISNUMBER($AP$61),$B$51=1),$AP$61,HLOOKUP(INDIRECT(ADDRESS(2,COLUMN())),OFFSET($CL$2,0,0,ROW()-1,84),ROW()-1,FALSE))</f>
        <v>1699.9235000000001</v>
      </c>
      <c r="AQ15">
        <f ca="1">IF(AND(ISNUMBER($AQ$61),$B$51=1),$AQ$61,HLOOKUP(INDIRECT(ADDRESS(2,COLUMN())),OFFSET($CL$2,0,0,ROW()-1,84),ROW()-1,FALSE))</f>
        <v>1728.78925</v>
      </c>
      <c r="AR15">
        <f ca="1">IF(AND(ISNUMBER($AR$61),$B$51=1),$AR$61,HLOOKUP(INDIRECT(ADDRESS(2,COLUMN())),OFFSET($CL$2,0,0,ROW()-1,84),ROW()-1,FALSE))</f>
        <v>1751.31</v>
      </c>
      <c r="AS15">
        <f ca="1">IF(AND(ISNUMBER($AS$61),$B$51=1),$AS$61,HLOOKUP(INDIRECT(ADDRESS(2,COLUMN())),OFFSET($CL$2,0,0,ROW()-1,84),ROW()-1,FALSE))</f>
        <v>1746.5137500000001</v>
      </c>
      <c r="AT15">
        <f ca="1">IF(AND(ISNUMBER($AT$61),$B$51=1),$AT$61,HLOOKUP(INDIRECT(ADDRESS(2,COLUMN())),OFFSET($CL$2,0,0,ROW()-1,84),ROW()-1,FALSE))</f>
        <v>1697.2547500000001</v>
      </c>
      <c r="AU15">
        <f ca="1">IF(AND(ISNUMBER($AU$61),$B$51=1),$AU$61,HLOOKUP(INDIRECT(ADDRESS(2,COLUMN())),OFFSET($CL$2,0,0,ROW()-1,84),ROW()-1,FALSE))</f>
        <v>1817.8072500000001</v>
      </c>
      <c r="AV15">
        <f ca="1">IF(AND(ISNUMBER($AV$61),$B$51=1),$AV$61,HLOOKUP(INDIRECT(ADDRESS(2,COLUMN())),OFFSET($CL$2,0,0,ROW()-1,84),ROW()-1,FALSE))</f>
        <v>1886.8412499999999</v>
      </c>
      <c r="AW15">
        <f ca="1">IF(AND(ISNUMBER($AW$61),$B$51=1),$AW$61,HLOOKUP(INDIRECT(ADDRESS(2,COLUMN())),OFFSET($CL$2,0,0,ROW()-1,84),ROW()-1,FALSE))</f>
        <v>1726.7272499999999</v>
      </c>
      <c r="AX15">
        <f ca="1">IF(AND(ISNUMBER($AX$61),$B$51=1),$AX$61,HLOOKUP(INDIRECT(ADDRESS(2,COLUMN())),OFFSET($CL$2,0,0,ROW()-1,84),ROW()-1,FALSE))</f>
        <v>1791.039</v>
      </c>
      <c r="AY15">
        <f ca="1">IF(AND(ISNUMBER($AY$61),$B$51=1),$AY$61,HLOOKUP(INDIRECT(ADDRESS(2,COLUMN())),OFFSET($CL$2,0,0,ROW()-1,84),ROW()-1,FALSE))</f>
        <v>1853.5767499999999</v>
      </c>
      <c r="AZ15">
        <f ca="1">IF(AND(ISNUMBER($AZ$61),$B$51=1),$AZ$61,HLOOKUP(INDIRECT(ADDRESS(2,COLUMN())),OFFSET($CL$2,0,0,ROW()-1,84),ROW()-1,FALSE))</f>
        <v>1814.23325</v>
      </c>
      <c r="BA15">
        <f ca="1">IF(AND(ISNUMBER($BA$61),$B$51=1),$BA$61,HLOOKUP(INDIRECT(ADDRESS(2,COLUMN())),OFFSET($CL$2,0,0,ROW()-1,84),ROW()-1,FALSE))</f>
        <v>1865.0535</v>
      </c>
      <c r="BB15">
        <f ca="1">IF(AND(ISNUMBER($BB$61),$B$51=1),$BB$61,HLOOKUP(INDIRECT(ADDRESS(2,COLUMN())),OFFSET($CL$2,0,0,ROW()-1,84),ROW()-1,FALSE))</f>
        <v>1678.1695</v>
      </c>
      <c r="BC15">
        <f ca="1">IF(AND(ISNUMBER($BC$61),$B$51=1),$BC$61,HLOOKUP(INDIRECT(ADDRESS(2,COLUMN())),OFFSET($CL$2,0,0,ROW()-1,84),ROW()-1,FALSE))</f>
        <v>1809.78475</v>
      </c>
      <c r="BD15">
        <f ca="1">IF(AND(ISNUMBER($BD$61),$B$51=1),$BD$61,HLOOKUP(INDIRECT(ADDRESS(2,COLUMN())),OFFSET($CL$2,0,0,ROW()-1,84),ROW()-1,FALSE))</f>
        <v>1881.8632500000001</v>
      </c>
      <c r="BE15">
        <f ca="1">IF(AND(ISNUMBER($BE$61),$B$51=1),$BE$61,HLOOKUP(INDIRECT(ADDRESS(2,COLUMN())),OFFSET($CL$2,0,0,ROW()-1,84),ROW()-1,FALSE))</f>
        <v>1812.2045000000001</v>
      </c>
      <c r="BF15">
        <f ca="1">IF(AND(ISNUMBER($BF$61),$B$51=1),$BF$61,HLOOKUP(INDIRECT(ADDRESS(2,COLUMN())),OFFSET($CL$2,0,0,ROW()-1,84),ROW()-1,FALSE))</f>
        <v>1869.49325</v>
      </c>
      <c r="BG15">
        <f ca="1">IF(AND(ISNUMBER($BG$61),$B$51=1),$BG$61,HLOOKUP(INDIRECT(ADDRESS(2,COLUMN())),OFFSET($CL$2,0,0,ROW()-1,84),ROW()-1,FALSE))</f>
        <v>1836.44625</v>
      </c>
      <c r="BH15">
        <f ca="1">IF(AND(ISNUMBER($BH$61),$B$51=1),$BH$61,HLOOKUP(INDIRECT(ADDRESS(2,COLUMN())),OFFSET($CL$2,0,0,ROW()-1,84),ROW()-1,FALSE))</f>
        <v>1869.1547499999999</v>
      </c>
      <c r="BI15">
        <f ca="1">IF(AND(ISNUMBER($BI$61),$B$51=1),$BI$61,HLOOKUP(INDIRECT(ADDRESS(2,COLUMN())),OFFSET($CL$2,0,0,ROW()-1,84),ROW()-1,FALSE))</f>
        <v>1656.82925</v>
      </c>
      <c r="BJ15">
        <f ca="1">IF(AND(ISNUMBER($BJ$61),$B$51=1),$BJ$61,HLOOKUP(INDIRECT(ADDRESS(2,COLUMN())),OFFSET($CL$2,0,0,ROW()-1,84),ROW()-1,FALSE))</f>
        <v>1793.0775000000001</v>
      </c>
      <c r="BK15">
        <f ca="1">IF(AND(ISNUMBER($BK$61),$B$51=1),$BK$61,HLOOKUP(INDIRECT(ADDRESS(2,COLUMN())),OFFSET($CL$2,0,0,ROW()-1,84),ROW()-1,FALSE))</f>
        <v>1814.44175</v>
      </c>
      <c r="BL15">
        <f ca="1">IF(AND(ISNUMBER($BL$61),$B$51=1),$BL$61,HLOOKUP(INDIRECT(ADDRESS(2,COLUMN())),OFFSET($CL$2,0,0,ROW()-1,84),ROW()-1,FALSE))</f>
        <v>1901.0039999999999</v>
      </c>
      <c r="BM15">
        <f ca="1">IF(AND(ISNUMBER($BM$61),$B$51=1),$BM$61,HLOOKUP(INDIRECT(ADDRESS(2,COLUMN())),OFFSET($CL$2,0,0,ROW()-1,84),ROW()-1,FALSE))</f>
        <v>1796.02575</v>
      </c>
      <c r="BN15">
        <f ca="1">IF(AND(ISNUMBER($BN$61),$B$51=1),$BN$61,HLOOKUP(INDIRECT(ADDRESS(2,COLUMN())),OFFSET($CL$2,0,0,ROW()-1,84),ROW()-1,FALSE))</f>
        <v>1827.6087500000001</v>
      </c>
      <c r="BO15">
        <f ca="1">IF(AND(ISNUMBER($BO$61),$B$51=1),$BO$61,HLOOKUP(INDIRECT(ADDRESS(2,COLUMN())),OFFSET($CL$2,0,0,ROW()-1,84),ROW()-1,FALSE))</f>
        <v>1756.9955</v>
      </c>
      <c r="BP15">
        <f ca="1">IF(AND(ISNUMBER($BP$61),$B$51=1),$BP$61,HLOOKUP(INDIRECT(ADDRESS(2,COLUMN())),OFFSET($CL$2,0,0,ROW()-1,84),ROW()-1,FALSE))</f>
        <v>1833.47</v>
      </c>
      <c r="BQ15">
        <f ca="1">IF(AND(ISNUMBER($BQ$61),$B$51=1),$BQ$61,HLOOKUP(INDIRECT(ADDRESS(2,COLUMN())),OFFSET($CL$2,0,0,ROW()-1,84),ROW()-1,FALSE))</f>
        <v>1822.1457499999999</v>
      </c>
      <c r="BR15">
        <f ca="1">IF(AND(ISNUMBER($BR$61),$B$51=1),$BR$61,HLOOKUP(INDIRECT(ADDRESS(2,COLUMN())),OFFSET($CL$2,0,0,ROW()-1,84),ROW()-1,FALSE))</f>
        <v>1880.7294999999999</v>
      </c>
      <c r="BS15">
        <f ca="1">IF(AND(ISNUMBER($BS$61),$B$51=1),$BS$61,HLOOKUP(INDIRECT(ADDRESS(2,COLUMN())),OFFSET($CL$2,0,0,ROW()-1,84),ROW()-1,FALSE))</f>
        <v>1784.7697499999999</v>
      </c>
      <c r="BT15">
        <f ca="1">IF(AND(ISNUMBER($BT$61),$B$51=1),$BT$61,HLOOKUP(INDIRECT(ADDRESS(2,COLUMN())),OFFSET($CL$2,0,0,ROW()-1,84),ROW()-1,FALSE))</f>
        <v>1752.6857500000001</v>
      </c>
      <c r="BU15">
        <f ca="1">IF(AND(ISNUMBER($BU$61),$B$51=1),$BU$61,HLOOKUP(INDIRECT(ADDRESS(2,COLUMN())),OFFSET($CL$2,0,0,ROW()-1,84),ROW()-1,FALSE))</f>
        <v>1657.51775</v>
      </c>
      <c r="BV15">
        <f ca="1">IF(AND(ISNUMBER($BV$61),$B$51=1),$BV$61,HLOOKUP(INDIRECT(ADDRESS(2,COLUMN())),OFFSET($CL$2,0,0,ROW()-1,84),ROW()-1,FALSE))</f>
        <v>1686.6947500000001</v>
      </c>
      <c r="BW15">
        <f ca="1">IF(AND(ISNUMBER($BW$61),$B$51=1),$BW$61,HLOOKUP(INDIRECT(ADDRESS(2,COLUMN())),OFFSET($CL$2,0,0,ROW()-1,84),ROW()-1,FALSE))</f>
        <v>1743.8834999999999</v>
      </c>
      <c r="BX15">
        <f ca="1">IF(AND(ISNUMBER($BX$61),$B$51=1),$BX$61,HLOOKUP(INDIRECT(ADDRESS(2,COLUMN())),OFFSET($CL$2,0,0,ROW()-1,84),ROW()-1,FALSE))</f>
        <v>1714.9092499999999</v>
      </c>
      <c r="BY15">
        <f ca="1">IF(AND(ISNUMBER($BY$61),$B$51=1),$BY$61,HLOOKUP(INDIRECT(ADDRESS(2,COLUMN())),OFFSET($CL$2,0,0,ROW()-1,84),ROW()-1,FALSE))</f>
        <v>1667.3530000000001</v>
      </c>
      <c r="BZ15">
        <f ca="1">IF(AND(ISNUMBER($BZ$61),$B$51=1),$BZ$61,HLOOKUP(INDIRECT(ADDRESS(2,COLUMN())),OFFSET($CL$2,0,0,ROW()-1,84),ROW()-1,FALSE))</f>
        <v>1671.329</v>
      </c>
      <c r="CA15">
        <f ca="1">IF(AND(ISNUMBER($CA$61),$B$51=1),$CA$61,HLOOKUP(INDIRECT(ADDRESS(2,COLUMN())),OFFSET($CL$2,0,0,ROW()-1,84),ROW()-1,FALSE))</f>
        <v>1702.03775</v>
      </c>
      <c r="CB15">
        <f ca="1">IF(AND(ISNUMBER($CB$61),$B$51=1),$CB$61,HLOOKUP(INDIRECT(ADDRESS(2,COLUMN())),OFFSET($CL$2,0,0,ROW()-1,84),ROW()-1,FALSE))</f>
        <v>1752.0675000000001</v>
      </c>
      <c r="CC15">
        <f ca="1">IF(AND(ISNUMBER($CC$61),$B$51=1),$CC$61,HLOOKUP(INDIRECT(ADDRESS(2,COLUMN())),OFFSET($CL$2,0,0,ROW()-1,84),ROW()-1,FALSE))</f>
        <v>1661.7835</v>
      </c>
      <c r="CD15">
        <f ca="1">IF(AND(ISNUMBER($CD$61),$B$51=1),$CD$61,HLOOKUP(INDIRECT(ADDRESS(2,COLUMN())),OFFSET($CL$2,0,0,ROW()-1,84),ROW()-1,FALSE))</f>
        <v>1786.5754999999999</v>
      </c>
      <c r="CE15">
        <f ca="1">IF(AND(ISNUMBER($CE$61),$B$51=1),$CE$61,HLOOKUP(INDIRECT(ADDRESS(2,COLUMN())),OFFSET($CL$2,0,0,ROW()-1,84),ROW()-1,FALSE))</f>
        <v>1766.5709999999999</v>
      </c>
      <c r="CF15">
        <f ca="1">IF(AND(ISNUMBER($CF$61),$B$51=1),$CF$61,HLOOKUP(INDIRECT(ADDRESS(2,COLUMN())),OFFSET($CL$2,0,0,ROW()-1,84),ROW()-1,FALSE))</f>
        <v>1741.5335</v>
      </c>
      <c r="CG15">
        <f ca="1">IF(AND(ISNUMBER($CG$61),$B$51=1),$CG$61,HLOOKUP(INDIRECT(ADDRESS(2,COLUMN())),OFFSET($CL$2,0,0,ROW()-1,84),ROW()-1,FALSE))</f>
        <v>1503.7159999999999</v>
      </c>
      <c r="CH15">
        <f ca="1">IF(AND(ISNUMBER($CH$61),$B$51=1),$CH$61,HLOOKUP(INDIRECT(ADDRESS(2,COLUMN())),OFFSET($CL$2,0,0,ROW()-1,84),ROW()-1,FALSE))</f>
        <v>1645.8530000000001</v>
      </c>
      <c r="CI15">
        <f ca="1">IF(AND(ISNUMBER($CI$61),$B$51=1),$CI$61,HLOOKUP(INDIRECT(ADDRESS(2,COLUMN())),OFFSET($CL$2,0,0,ROW()-1,84),ROW()-1,FALSE))</f>
        <v>1626.3217500000001</v>
      </c>
      <c r="CJ15">
        <f ca="1">IF(AND(ISNUMBER($CJ$61),$B$51=1),$CJ$61,HLOOKUP(INDIRECT(ADDRESS(2,COLUMN())),OFFSET($CL$2,0,0,ROW()-1,84),ROW()-1,FALSE))</f>
        <v>1635.3732500000001</v>
      </c>
      <c r="CK15">
        <f ca="1">IF(AND(ISNUMBER($CK$61),$B$51=1),$CK$61,HLOOKUP(INDIRECT(ADDRESS(2,COLUMN())),OFFSET($CL$2,0,0,ROW()-1,84),ROW()-1,FALSE))</f>
        <v>1650.19625</v>
      </c>
      <c r="CL15" t="str">
        <f>""</f>
        <v/>
      </c>
      <c r="CM15" t="str">
        <f>""</f>
        <v/>
      </c>
      <c r="CN15" t="str">
        <f>""</f>
        <v/>
      </c>
      <c r="CO15" t="str">
        <f>""</f>
        <v/>
      </c>
      <c r="CP15" t="str">
        <f>""</f>
        <v/>
      </c>
      <c r="CQ15" t="str">
        <f>""</f>
        <v/>
      </c>
      <c r="CR15" t="str">
        <f>""</f>
        <v/>
      </c>
      <c r="CS15" t="str">
        <f>""</f>
        <v/>
      </c>
      <c r="CT15" t="str">
        <f>""</f>
        <v/>
      </c>
      <c r="CU15" t="str">
        <f>""</f>
        <v/>
      </c>
      <c r="CV15" t="str">
        <f>""</f>
        <v/>
      </c>
      <c r="CW15" t="str">
        <f>""</f>
        <v/>
      </c>
      <c r="CX15" t="str">
        <f>""</f>
        <v/>
      </c>
      <c r="CY15" t="str">
        <f>""</f>
        <v/>
      </c>
      <c r="CZ15" t="str">
        <f>""</f>
        <v/>
      </c>
      <c r="DA15" t="str">
        <f>""</f>
        <v/>
      </c>
      <c r="DB15" t="str">
        <f>""</f>
        <v/>
      </c>
      <c r="DC15" t="str">
        <f>""</f>
        <v/>
      </c>
      <c r="DD15" t="str">
        <f>""</f>
        <v/>
      </c>
      <c r="DE15" t="str">
        <f>""</f>
        <v/>
      </c>
      <c r="DF15" t="str">
        <f>""</f>
        <v/>
      </c>
      <c r="DG15" t="str">
        <f>""</f>
        <v/>
      </c>
      <c r="DH15" t="str">
        <f>""</f>
        <v/>
      </c>
      <c r="DI15" t="str">
        <f>""</f>
        <v/>
      </c>
      <c r="DJ15" t="str">
        <f>""</f>
        <v/>
      </c>
      <c r="DK15" t="str">
        <f>""</f>
        <v/>
      </c>
      <c r="DL15" t="str">
        <f>""</f>
        <v/>
      </c>
      <c r="DM15" t="str">
        <f>""</f>
        <v/>
      </c>
      <c r="DN15" t="str">
        <f>""</f>
        <v/>
      </c>
      <c r="DO15" t="str">
        <f>""</f>
        <v/>
      </c>
      <c r="DP15" t="str">
        <f>""</f>
        <v/>
      </c>
      <c r="DQ15" t="str">
        <f>""</f>
        <v/>
      </c>
      <c r="DR15" t="str">
        <f>""</f>
        <v/>
      </c>
      <c r="DS15" t="str">
        <f>""</f>
        <v/>
      </c>
      <c r="DT15">
        <f>1923.9985</f>
        <v>1923.9984999999999</v>
      </c>
      <c r="DU15">
        <f>1876.397</f>
        <v>1876.3969999999999</v>
      </c>
      <c r="DV15">
        <f>1699.9235</f>
        <v>1699.9235000000001</v>
      </c>
      <c r="DW15">
        <f>1728.78925</f>
        <v>1728.78925</v>
      </c>
      <c r="DX15">
        <f>1751.31</f>
        <v>1751.31</v>
      </c>
      <c r="DY15">
        <f>1746.51375</f>
        <v>1746.5137500000001</v>
      </c>
      <c r="DZ15">
        <f>1697.25475</f>
        <v>1697.2547500000001</v>
      </c>
      <c r="EA15">
        <f>1817.80725</f>
        <v>1817.8072500000001</v>
      </c>
      <c r="EB15">
        <f>1886.84125</f>
        <v>1886.8412499999999</v>
      </c>
      <c r="EC15">
        <f>1726.72725</f>
        <v>1726.7272499999999</v>
      </c>
      <c r="ED15">
        <f>1791.039</f>
        <v>1791.039</v>
      </c>
      <c r="EE15">
        <f>1853.57675</f>
        <v>1853.5767499999999</v>
      </c>
      <c r="EF15">
        <f>1814.23325</f>
        <v>1814.23325</v>
      </c>
      <c r="EG15">
        <f>1865.0535</f>
        <v>1865.0535</v>
      </c>
      <c r="EH15">
        <f>1678.1695</f>
        <v>1678.1695</v>
      </c>
      <c r="EI15">
        <f>1809.78475</f>
        <v>1809.78475</v>
      </c>
      <c r="EJ15">
        <f>1881.86325</f>
        <v>1881.8632500000001</v>
      </c>
      <c r="EK15">
        <f>1812.2045</f>
        <v>1812.2045000000001</v>
      </c>
      <c r="EL15">
        <f>1869.49325</f>
        <v>1869.49325</v>
      </c>
      <c r="EM15">
        <f>1836.44625</f>
        <v>1836.44625</v>
      </c>
      <c r="EN15">
        <f>1869.15475</f>
        <v>1869.1547499999999</v>
      </c>
      <c r="EO15">
        <f>1656.82925</f>
        <v>1656.82925</v>
      </c>
      <c r="EP15">
        <f>1793.0775</f>
        <v>1793.0775000000001</v>
      </c>
      <c r="EQ15">
        <f>1814.44175</f>
        <v>1814.44175</v>
      </c>
      <c r="ER15">
        <f>1901.004</f>
        <v>1901.0039999999999</v>
      </c>
      <c r="ES15">
        <f>1796.02575</f>
        <v>1796.02575</v>
      </c>
      <c r="ET15">
        <f>1827.60875</f>
        <v>1827.6087500000001</v>
      </c>
      <c r="EU15">
        <f>1756.9955</f>
        <v>1756.9955</v>
      </c>
      <c r="EV15">
        <f>1833.47</f>
        <v>1833.47</v>
      </c>
      <c r="EW15">
        <f>1822.14575</f>
        <v>1822.1457499999999</v>
      </c>
      <c r="EX15">
        <f>1880.7295</f>
        <v>1880.7294999999999</v>
      </c>
      <c r="EY15">
        <f>1784.76975</f>
        <v>1784.7697499999999</v>
      </c>
      <c r="EZ15">
        <f>1752.68575</f>
        <v>1752.6857500000001</v>
      </c>
      <c r="FA15">
        <f>1657.51775</f>
        <v>1657.51775</v>
      </c>
      <c r="FB15">
        <f>1686.69475</f>
        <v>1686.6947500000001</v>
      </c>
      <c r="FC15">
        <f>1743.8835</f>
        <v>1743.8834999999999</v>
      </c>
      <c r="FD15">
        <f>1714.90925</f>
        <v>1714.9092499999999</v>
      </c>
      <c r="FE15">
        <f>1667.353</f>
        <v>1667.3530000000001</v>
      </c>
      <c r="FF15">
        <f>1671.329</f>
        <v>1671.329</v>
      </c>
      <c r="FG15">
        <f>1702.03775</f>
        <v>1702.03775</v>
      </c>
      <c r="FH15">
        <f>1752.0675</f>
        <v>1752.0675000000001</v>
      </c>
      <c r="FI15">
        <f>1661.7835</f>
        <v>1661.7835</v>
      </c>
      <c r="FJ15">
        <f>1786.5755</f>
        <v>1786.5754999999999</v>
      </c>
      <c r="FK15">
        <f>1766.571</f>
        <v>1766.5709999999999</v>
      </c>
      <c r="FL15">
        <f>1741.5335</f>
        <v>1741.5335</v>
      </c>
      <c r="FM15">
        <f>1503.716</f>
        <v>1503.7159999999999</v>
      </c>
      <c r="FN15">
        <f>1645.853</f>
        <v>1645.8530000000001</v>
      </c>
      <c r="FO15">
        <f>1626.32175</f>
        <v>1626.3217500000001</v>
      </c>
      <c r="FP15">
        <f>1635.37325</f>
        <v>1635.3732500000001</v>
      </c>
      <c r="FQ15">
        <f>1650.19625</f>
        <v>1650.19625</v>
      </c>
    </row>
    <row r="16" spans="1:173" x14ac:dyDescent="0.25">
      <c r="A16" t="str">
        <f>"South Korea Busan Port Authority"</f>
        <v>South Korea Busan Port Authority</v>
      </c>
      <c r="B16" t="str">
        <f>""</f>
        <v/>
      </c>
      <c r="E16" t="str">
        <f>"Heading"</f>
        <v>Heading</v>
      </c>
      <c r="CL16" t="str">
        <f>""</f>
        <v/>
      </c>
      <c r="CM16" t="str">
        <f>""</f>
        <v/>
      </c>
      <c r="CN16" t="str">
        <f>""</f>
        <v/>
      </c>
      <c r="CO16" t="str">
        <f>""</f>
        <v/>
      </c>
      <c r="CP16" t="str">
        <f>""</f>
        <v/>
      </c>
      <c r="CQ16" t="str">
        <f>""</f>
        <v/>
      </c>
      <c r="CR16" t="str">
        <f>""</f>
        <v/>
      </c>
      <c r="CS16" t="str">
        <f>""</f>
        <v/>
      </c>
      <c r="CT16" t="str">
        <f>""</f>
        <v/>
      </c>
      <c r="CU16" t="str">
        <f>""</f>
        <v/>
      </c>
      <c r="CV16" t="str">
        <f>""</f>
        <v/>
      </c>
      <c r="CW16" t="str">
        <f>""</f>
        <v/>
      </c>
      <c r="CX16" t="str">
        <f>""</f>
        <v/>
      </c>
      <c r="CY16" t="str">
        <f>""</f>
        <v/>
      </c>
      <c r="CZ16" t="str">
        <f>""</f>
        <v/>
      </c>
      <c r="DA16" t="str">
        <f>""</f>
        <v/>
      </c>
      <c r="DB16" t="str">
        <f>""</f>
        <v/>
      </c>
      <c r="DC16" t="str">
        <f>""</f>
        <v/>
      </c>
      <c r="DD16" t="str">
        <f>""</f>
        <v/>
      </c>
      <c r="DE16" t="str">
        <f>""</f>
        <v/>
      </c>
      <c r="DF16" t="str">
        <f>""</f>
        <v/>
      </c>
      <c r="DG16" t="str">
        <f>""</f>
        <v/>
      </c>
      <c r="DH16" t="str">
        <f>""</f>
        <v/>
      </c>
      <c r="DI16" t="str">
        <f>""</f>
        <v/>
      </c>
      <c r="DJ16" t="str">
        <f>""</f>
        <v/>
      </c>
      <c r="DK16" t="str">
        <f>""</f>
        <v/>
      </c>
      <c r="DL16" t="str">
        <f>""</f>
        <v/>
      </c>
      <c r="DM16" t="str">
        <f>""</f>
        <v/>
      </c>
      <c r="DN16" t="str">
        <f>""</f>
        <v/>
      </c>
      <c r="DO16" t="str">
        <f>""</f>
        <v/>
      </c>
      <c r="DP16" t="str">
        <f>""</f>
        <v/>
      </c>
      <c r="DQ16" t="str">
        <f>""</f>
        <v/>
      </c>
      <c r="DR16" t="str">
        <f>""</f>
        <v/>
      </c>
      <c r="DS16" t="str">
        <f>""</f>
        <v/>
      </c>
      <c r="DT16" t="str">
        <f>""</f>
        <v/>
      </c>
      <c r="DU16" t="str">
        <f>""</f>
        <v/>
      </c>
      <c r="DV16" t="str">
        <f>""</f>
        <v/>
      </c>
      <c r="DW16" t="str">
        <f>""</f>
        <v/>
      </c>
      <c r="DX16" t="str">
        <f>""</f>
        <v/>
      </c>
      <c r="DY16" t="str">
        <f>""</f>
        <v/>
      </c>
      <c r="DZ16" t="str">
        <f>""</f>
        <v/>
      </c>
      <c r="EA16" t="str">
        <f>""</f>
        <v/>
      </c>
      <c r="EB16" t="str">
        <f>""</f>
        <v/>
      </c>
      <c r="EC16" t="str">
        <f>""</f>
        <v/>
      </c>
      <c r="ED16" t="str">
        <f>""</f>
        <v/>
      </c>
      <c r="EE16" t="str">
        <f>""</f>
        <v/>
      </c>
      <c r="EF16" t="str">
        <f>""</f>
        <v/>
      </c>
      <c r="EG16" t="str">
        <f>""</f>
        <v/>
      </c>
      <c r="EH16" t="str">
        <f>""</f>
        <v/>
      </c>
      <c r="EI16" t="str">
        <f>""</f>
        <v/>
      </c>
      <c r="EJ16" t="str">
        <f>""</f>
        <v/>
      </c>
      <c r="EK16" t="str">
        <f>""</f>
        <v/>
      </c>
      <c r="EL16" t="str">
        <f>""</f>
        <v/>
      </c>
      <c r="EM16" t="str">
        <f>""</f>
        <v/>
      </c>
      <c r="EN16" t="str">
        <f>""</f>
        <v/>
      </c>
      <c r="EO16" t="str">
        <f>""</f>
        <v/>
      </c>
      <c r="EP16" t="str">
        <f>""</f>
        <v/>
      </c>
      <c r="EQ16" t="str">
        <f>""</f>
        <v/>
      </c>
      <c r="ER16" t="str">
        <f>""</f>
        <v/>
      </c>
      <c r="ES16" t="str">
        <f>""</f>
        <v/>
      </c>
      <c r="ET16" t="str">
        <f>""</f>
        <v/>
      </c>
      <c r="EU16" t="str">
        <f>""</f>
        <v/>
      </c>
      <c r="EV16" t="str">
        <f>""</f>
        <v/>
      </c>
      <c r="EW16" t="str">
        <f>""</f>
        <v/>
      </c>
      <c r="EX16" t="str">
        <f>""</f>
        <v/>
      </c>
      <c r="EY16" t="str">
        <f>""</f>
        <v/>
      </c>
      <c r="EZ16" t="str">
        <f>""</f>
        <v/>
      </c>
      <c r="FA16" t="str">
        <f>""</f>
        <v/>
      </c>
      <c r="FB16" t="str">
        <f>""</f>
        <v/>
      </c>
      <c r="FC16" t="str">
        <f>""</f>
        <v/>
      </c>
      <c r="FD16" t="str">
        <f>""</f>
        <v/>
      </c>
      <c r="FE16" t="str">
        <f>""</f>
        <v/>
      </c>
      <c r="FF16" t="str">
        <f>""</f>
        <v/>
      </c>
      <c r="FG16" t="str">
        <f>""</f>
        <v/>
      </c>
      <c r="FH16" t="str">
        <f>""</f>
        <v/>
      </c>
      <c r="FI16" t="str">
        <f>""</f>
        <v/>
      </c>
      <c r="FJ16" t="str">
        <f>""</f>
        <v/>
      </c>
      <c r="FK16" t="str">
        <f>""</f>
        <v/>
      </c>
      <c r="FL16" t="str">
        <f>""</f>
        <v/>
      </c>
      <c r="FM16" t="str">
        <f>""</f>
        <v/>
      </c>
      <c r="FN16" t="str">
        <f>""</f>
        <v/>
      </c>
      <c r="FO16" t="str">
        <f>""</f>
        <v/>
      </c>
      <c r="FP16" t="str">
        <f>""</f>
        <v/>
      </c>
      <c r="FQ16" t="str">
        <f>""</f>
        <v/>
      </c>
    </row>
    <row r="17" spans="1:173" x14ac:dyDescent="0.25">
      <c r="A17" t="str">
        <f>""</f>
        <v/>
      </c>
      <c r="B17" t="str">
        <f>""</f>
        <v/>
      </c>
      <c r="E17" t="str">
        <f>"Static"</f>
        <v>Static</v>
      </c>
      <c r="F17" t="str">
        <f t="shared" ref="F17:AK17" ca="1" si="6">HLOOKUP(INDIRECT(ADDRESS(2,COLUMN())),OFFSET($CL$2,0,0,ROW()-1,84),ROW()-1,FALSE)</f>
        <v/>
      </c>
      <c r="G17" t="str">
        <f t="shared" ca="1" si="6"/>
        <v/>
      </c>
      <c r="H17" t="str">
        <f t="shared" ca="1" si="6"/>
        <v/>
      </c>
      <c r="I17" t="str">
        <f t="shared" ca="1" si="6"/>
        <v/>
      </c>
      <c r="J17" t="str">
        <f t="shared" ca="1" si="6"/>
        <v/>
      </c>
      <c r="K17" t="str">
        <f t="shared" ca="1" si="6"/>
        <v/>
      </c>
      <c r="L17" t="str">
        <f t="shared" ca="1" si="6"/>
        <v/>
      </c>
      <c r="M17" t="str">
        <f t="shared" ca="1" si="6"/>
        <v/>
      </c>
      <c r="N17" t="str">
        <f t="shared" ca="1" si="6"/>
        <v/>
      </c>
      <c r="O17" t="str">
        <f t="shared" ca="1" si="6"/>
        <v/>
      </c>
      <c r="P17" t="str">
        <f t="shared" ca="1" si="6"/>
        <v/>
      </c>
      <c r="Q17" t="str">
        <f t="shared" ca="1" si="6"/>
        <v/>
      </c>
      <c r="R17" t="str">
        <f t="shared" ca="1" si="6"/>
        <v/>
      </c>
      <c r="S17" t="str">
        <f t="shared" ca="1" si="6"/>
        <v/>
      </c>
      <c r="T17" t="str">
        <f t="shared" ca="1" si="6"/>
        <v/>
      </c>
      <c r="U17" t="str">
        <f t="shared" ca="1" si="6"/>
        <v/>
      </c>
      <c r="V17" t="str">
        <f t="shared" ca="1" si="6"/>
        <v/>
      </c>
      <c r="W17" t="str">
        <f t="shared" ca="1" si="6"/>
        <v/>
      </c>
      <c r="X17" t="str">
        <f t="shared" ca="1" si="6"/>
        <v/>
      </c>
      <c r="Y17" t="str">
        <f t="shared" ca="1" si="6"/>
        <v/>
      </c>
      <c r="Z17" t="str">
        <f t="shared" ca="1" si="6"/>
        <v/>
      </c>
      <c r="AA17" t="str">
        <f t="shared" ca="1" si="6"/>
        <v/>
      </c>
      <c r="AB17" t="str">
        <f t="shared" ca="1" si="6"/>
        <v/>
      </c>
      <c r="AC17" t="str">
        <f t="shared" ca="1" si="6"/>
        <v/>
      </c>
      <c r="AD17" t="str">
        <f t="shared" ca="1" si="6"/>
        <v/>
      </c>
      <c r="AE17" t="str">
        <f t="shared" ca="1" si="6"/>
        <v/>
      </c>
      <c r="AF17" t="str">
        <f t="shared" ca="1" si="6"/>
        <v/>
      </c>
      <c r="AG17" t="str">
        <f t="shared" ca="1" si="6"/>
        <v/>
      </c>
      <c r="AH17" t="str">
        <f t="shared" ca="1" si="6"/>
        <v/>
      </c>
      <c r="AI17" t="str">
        <f t="shared" ca="1" si="6"/>
        <v/>
      </c>
      <c r="AJ17" t="str">
        <f t="shared" ca="1" si="6"/>
        <v/>
      </c>
      <c r="AK17" t="str">
        <f t="shared" ca="1" si="6"/>
        <v/>
      </c>
      <c r="AL17" t="str">
        <f t="shared" ref="AL17:BQ17" ca="1" si="7">HLOOKUP(INDIRECT(ADDRESS(2,COLUMN())),OFFSET($CL$2,0,0,ROW()-1,84),ROW()-1,FALSE)</f>
        <v/>
      </c>
      <c r="AM17" t="str">
        <f t="shared" ca="1" si="7"/>
        <v/>
      </c>
      <c r="AN17" t="str">
        <f t="shared" ca="1" si="7"/>
        <v/>
      </c>
      <c r="AO17" t="str">
        <f t="shared" ca="1" si="7"/>
        <v/>
      </c>
      <c r="AP17" t="str">
        <f t="shared" ca="1" si="7"/>
        <v/>
      </c>
      <c r="AQ17" t="str">
        <f t="shared" ca="1" si="7"/>
        <v/>
      </c>
      <c r="AR17" t="str">
        <f t="shared" ca="1" si="7"/>
        <v/>
      </c>
      <c r="AS17" t="str">
        <f t="shared" ca="1" si="7"/>
        <v/>
      </c>
      <c r="AT17" t="str">
        <f t="shared" ca="1" si="7"/>
        <v/>
      </c>
      <c r="AU17" t="str">
        <f t="shared" ca="1" si="7"/>
        <v/>
      </c>
      <c r="AV17" t="str">
        <f t="shared" ca="1" si="7"/>
        <v/>
      </c>
      <c r="AW17" t="str">
        <f t="shared" ca="1" si="7"/>
        <v/>
      </c>
      <c r="AX17" t="str">
        <f t="shared" ca="1" si="7"/>
        <v/>
      </c>
      <c r="AY17" t="str">
        <f t="shared" ca="1" si="7"/>
        <v/>
      </c>
      <c r="AZ17" t="str">
        <f t="shared" ca="1" si="7"/>
        <v/>
      </c>
      <c r="BA17" t="str">
        <f t="shared" ca="1" si="7"/>
        <v/>
      </c>
      <c r="BB17" t="str">
        <f t="shared" ca="1" si="7"/>
        <v/>
      </c>
      <c r="BC17" t="str">
        <f t="shared" ca="1" si="7"/>
        <v/>
      </c>
      <c r="BD17" t="str">
        <f t="shared" ca="1" si="7"/>
        <v/>
      </c>
      <c r="BE17" t="str">
        <f t="shared" ca="1" si="7"/>
        <v/>
      </c>
      <c r="BF17" t="str">
        <f t="shared" ca="1" si="7"/>
        <v/>
      </c>
      <c r="BG17" t="str">
        <f t="shared" ca="1" si="7"/>
        <v/>
      </c>
      <c r="BH17" t="str">
        <f t="shared" ca="1" si="7"/>
        <v/>
      </c>
      <c r="BI17" t="str">
        <f t="shared" ca="1" si="7"/>
        <v/>
      </c>
      <c r="BJ17" t="str">
        <f t="shared" ca="1" si="7"/>
        <v/>
      </c>
      <c r="BK17" t="str">
        <f t="shared" ca="1" si="7"/>
        <v/>
      </c>
      <c r="BL17" t="str">
        <f t="shared" ca="1" si="7"/>
        <v/>
      </c>
      <c r="BM17" t="str">
        <f t="shared" ca="1" si="7"/>
        <v/>
      </c>
      <c r="BN17" t="str">
        <f t="shared" ca="1" si="7"/>
        <v/>
      </c>
      <c r="BO17" t="str">
        <f t="shared" ca="1" si="7"/>
        <v/>
      </c>
      <c r="BP17" t="str">
        <f t="shared" ca="1" si="7"/>
        <v/>
      </c>
      <c r="BQ17" t="str">
        <f t="shared" ca="1" si="7"/>
        <v/>
      </c>
      <c r="BR17" t="str">
        <f t="shared" ref="BR17:CK17" ca="1" si="8">HLOOKUP(INDIRECT(ADDRESS(2,COLUMN())),OFFSET($CL$2,0,0,ROW()-1,84),ROW()-1,FALSE)</f>
        <v/>
      </c>
      <c r="BS17" t="str">
        <f t="shared" ca="1" si="8"/>
        <v/>
      </c>
      <c r="BT17" t="str">
        <f t="shared" ca="1" si="8"/>
        <v/>
      </c>
      <c r="BU17" t="str">
        <f t="shared" ca="1" si="8"/>
        <v/>
      </c>
      <c r="BV17" t="str">
        <f t="shared" ca="1" si="8"/>
        <v/>
      </c>
      <c r="BW17" t="str">
        <f t="shared" ca="1" si="8"/>
        <v/>
      </c>
      <c r="BX17" t="str">
        <f t="shared" ca="1" si="8"/>
        <v/>
      </c>
      <c r="BY17" t="str">
        <f t="shared" ca="1" si="8"/>
        <v/>
      </c>
      <c r="BZ17" t="str">
        <f t="shared" ca="1" si="8"/>
        <v/>
      </c>
      <c r="CA17" t="str">
        <f t="shared" ca="1" si="8"/>
        <v/>
      </c>
      <c r="CB17" t="str">
        <f t="shared" ca="1" si="8"/>
        <v/>
      </c>
      <c r="CC17" t="str">
        <f t="shared" ca="1" si="8"/>
        <v/>
      </c>
      <c r="CD17" t="str">
        <f t="shared" ca="1" si="8"/>
        <v/>
      </c>
      <c r="CE17" t="str">
        <f t="shared" ca="1" si="8"/>
        <v/>
      </c>
      <c r="CF17" t="str">
        <f t="shared" ca="1" si="8"/>
        <v/>
      </c>
      <c r="CG17" t="str">
        <f t="shared" ca="1" si="8"/>
        <v/>
      </c>
      <c r="CH17" t="str">
        <f t="shared" ca="1" si="8"/>
        <v/>
      </c>
      <c r="CI17" t="str">
        <f t="shared" ca="1" si="8"/>
        <v/>
      </c>
      <c r="CJ17" t="str">
        <f t="shared" ca="1" si="8"/>
        <v/>
      </c>
      <c r="CK17" t="str">
        <f t="shared" ca="1" si="8"/>
        <v/>
      </c>
      <c r="CL17" t="str">
        <f>""</f>
        <v/>
      </c>
      <c r="CM17" t="str">
        <f>""</f>
        <v/>
      </c>
      <c r="CN17" t="str">
        <f>""</f>
        <v/>
      </c>
      <c r="CO17" t="str">
        <f>""</f>
        <v/>
      </c>
      <c r="CP17" t="str">
        <f>""</f>
        <v/>
      </c>
      <c r="CQ17" t="str">
        <f>""</f>
        <v/>
      </c>
      <c r="CR17" t="str">
        <f>""</f>
        <v/>
      </c>
      <c r="CS17" t="str">
        <f>""</f>
        <v/>
      </c>
      <c r="CT17" t="str">
        <f>""</f>
        <v/>
      </c>
      <c r="CU17" t="str">
        <f>""</f>
        <v/>
      </c>
      <c r="CV17" t="str">
        <f>""</f>
        <v/>
      </c>
      <c r="CW17" t="str">
        <f>""</f>
        <v/>
      </c>
      <c r="CX17" t="str">
        <f>""</f>
        <v/>
      </c>
      <c r="CY17" t="str">
        <f>""</f>
        <v/>
      </c>
      <c r="CZ17" t="str">
        <f>""</f>
        <v/>
      </c>
      <c r="DA17" t="str">
        <f>""</f>
        <v/>
      </c>
      <c r="DB17" t="str">
        <f>""</f>
        <v/>
      </c>
      <c r="DC17" t="str">
        <f>""</f>
        <v/>
      </c>
      <c r="DD17" t="str">
        <f>""</f>
        <v/>
      </c>
      <c r="DE17" t="str">
        <f>""</f>
        <v/>
      </c>
      <c r="DF17" t="str">
        <f>""</f>
        <v/>
      </c>
      <c r="DG17" t="str">
        <f>""</f>
        <v/>
      </c>
      <c r="DH17" t="str">
        <f>""</f>
        <v/>
      </c>
      <c r="DI17" t="str">
        <f>""</f>
        <v/>
      </c>
      <c r="DJ17" t="str">
        <f>""</f>
        <v/>
      </c>
      <c r="DK17" t="str">
        <f>""</f>
        <v/>
      </c>
      <c r="DL17" t="str">
        <f>""</f>
        <v/>
      </c>
      <c r="DM17" t="str">
        <f>""</f>
        <v/>
      </c>
      <c r="DN17" t="str">
        <f>""</f>
        <v/>
      </c>
      <c r="DO17" t="str">
        <f>""</f>
        <v/>
      </c>
      <c r="DP17" t="str">
        <f>""</f>
        <v/>
      </c>
      <c r="DQ17" t="str">
        <f>""</f>
        <v/>
      </c>
      <c r="DR17" t="str">
        <f>""</f>
        <v/>
      </c>
      <c r="DS17" t="str">
        <f>""</f>
        <v/>
      </c>
      <c r="DT17" t="str">
        <f>""</f>
        <v/>
      </c>
      <c r="DU17" t="str">
        <f>""</f>
        <v/>
      </c>
      <c r="DV17" t="str">
        <f>""</f>
        <v/>
      </c>
      <c r="DW17" t="str">
        <f>""</f>
        <v/>
      </c>
      <c r="DX17" t="str">
        <f>""</f>
        <v/>
      </c>
      <c r="DY17" t="str">
        <f>""</f>
        <v/>
      </c>
      <c r="DZ17" t="str">
        <f>""</f>
        <v/>
      </c>
      <c r="EA17" t="str">
        <f>""</f>
        <v/>
      </c>
      <c r="EB17" t="str">
        <f>""</f>
        <v/>
      </c>
      <c r="EC17" t="str">
        <f>""</f>
        <v/>
      </c>
      <c r="ED17" t="str">
        <f>""</f>
        <v/>
      </c>
      <c r="EE17" t="str">
        <f>""</f>
        <v/>
      </c>
      <c r="EF17" t="str">
        <f>""</f>
        <v/>
      </c>
      <c r="EG17" t="str">
        <f>""</f>
        <v/>
      </c>
      <c r="EH17" t="str">
        <f>""</f>
        <v/>
      </c>
      <c r="EI17" t="str">
        <f>""</f>
        <v/>
      </c>
      <c r="EJ17" t="str">
        <f>""</f>
        <v/>
      </c>
      <c r="EK17" t="str">
        <f>""</f>
        <v/>
      </c>
      <c r="EL17" t="str">
        <f>""</f>
        <v/>
      </c>
      <c r="EM17" t="str">
        <f>""</f>
        <v/>
      </c>
      <c r="EN17" t="str">
        <f>""</f>
        <v/>
      </c>
      <c r="EO17" t="str">
        <f>""</f>
        <v/>
      </c>
      <c r="EP17" t="str">
        <f>""</f>
        <v/>
      </c>
      <c r="EQ17" t="str">
        <f>""</f>
        <v/>
      </c>
      <c r="ER17" t="str">
        <f>""</f>
        <v/>
      </c>
      <c r="ES17" t="str">
        <f>""</f>
        <v/>
      </c>
      <c r="ET17" t="str">
        <f>""</f>
        <v/>
      </c>
      <c r="EU17" t="str">
        <f>""</f>
        <v/>
      </c>
      <c r="EV17" t="str">
        <f>""</f>
        <v/>
      </c>
      <c r="EW17" t="str">
        <f>""</f>
        <v/>
      </c>
      <c r="EX17" t="str">
        <f>""</f>
        <v/>
      </c>
      <c r="EY17" t="str">
        <f>""</f>
        <v/>
      </c>
      <c r="EZ17" t="str">
        <f>""</f>
        <v/>
      </c>
      <c r="FA17" t="str">
        <f>""</f>
        <v/>
      </c>
      <c r="FB17" t="str">
        <f>""</f>
        <v/>
      </c>
      <c r="FC17" t="str">
        <f>""</f>
        <v/>
      </c>
      <c r="FD17" t="str">
        <f>""</f>
        <v/>
      </c>
      <c r="FE17" t="str">
        <f>""</f>
        <v/>
      </c>
      <c r="FF17" t="str">
        <f>""</f>
        <v/>
      </c>
      <c r="FG17" t="str">
        <f>""</f>
        <v/>
      </c>
      <c r="FH17" t="str">
        <f>""</f>
        <v/>
      </c>
      <c r="FI17" t="str">
        <f>""</f>
        <v/>
      </c>
      <c r="FJ17" t="str">
        <f>""</f>
        <v/>
      </c>
      <c r="FK17" t="str">
        <f>""</f>
        <v/>
      </c>
      <c r="FL17" t="str">
        <f>""</f>
        <v/>
      </c>
      <c r="FM17" t="str">
        <f>""</f>
        <v/>
      </c>
      <c r="FN17" t="str">
        <f>""</f>
        <v/>
      </c>
      <c r="FO17" t="str">
        <f>""</f>
        <v/>
      </c>
      <c r="FP17" t="str">
        <f>""</f>
        <v/>
      </c>
      <c r="FQ17" t="str">
        <f>""</f>
        <v/>
      </c>
    </row>
    <row r="18" spans="1:173" x14ac:dyDescent="0.25">
      <c r="A18" t="str">
        <f>"Statistics for Major North American Ports"</f>
        <v>Statistics for Major North American Ports</v>
      </c>
      <c r="B18" t="str">
        <f>""</f>
        <v/>
      </c>
      <c r="E18" t="str">
        <f>"Sum"</f>
        <v>Sum</v>
      </c>
      <c r="F18">
        <f ca="1">IF(ISERROR(IF(SUM($F$19,$F$23,$F$27,$F$28,$F$29,$F$30,$F$31,$F$32,$F$33,$F$34,$F$35) = 0, "", SUM($F$19,$F$23,$F$27,$F$28,$F$29,$F$30,$F$31,$F$32,$F$33,$F$34,$F$35))), "", (IF(SUM($F$19,$F$23,$F$27,$F$28,$F$29,$F$30,$F$31,$F$32,$F$33,$F$34,$F$35) = 0, "", SUM($F$19,$F$23,$F$27,$F$28,$F$29,$F$30,$F$31,$F$32,$F$33,$F$34,$F$35))))</f>
        <v>3395648.1</v>
      </c>
      <c r="G18">
        <f ca="1">IF(ISERROR(IF(SUM($G$19,$G$23,$G$27,$G$28,$G$29,$G$30,$G$31,$G$32,$G$33,$G$34,$G$35) = 0, "", SUM($G$19,$G$23,$G$27,$G$28,$G$29,$G$30,$G$31,$G$32,$G$33,$G$34,$G$35))), "", (IF(SUM($G$19,$G$23,$G$27,$G$28,$G$29,$G$30,$G$31,$G$32,$G$33,$G$34,$G$35) = 0, "", SUM($G$19,$G$23,$G$27,$G$28,$G$29,$G$30,$G$31,$G$32,$G$33,$G$34,$G$35))))</f>
        <v>3899702.45</v>
      </c>
      <c r="H18">
        <f ca="1">IF(ISERROR(IF(SUM($H$19,$H$23,$H$27,$H$28,$H$29,$H$30,$H$31,$H$32,$H$33,$H$34,$H$35) = 0, "", SUM($H$19,$H$23,$H$27,$H$28,$H$29,$H$30,$H$31,$H$32,$H$33,$H$34,$H$35))), "", (IF(SUM($H$19,$H$23,$H$27,$H$28,$H$29,$H$30,$H$31,$H$32,$H$33,$H$34,$H$35) = 0, "", SUM($H$19,$H$23,$H$27,$H$28,$H$29,$H$30,$H$31,$H$32,$H$33,$H$34,$H$35))))</f>
        <v>3695401.25</v>
      </c>
      <c r="I18">
        <f ca="1">IF(ISERROR(IF(SUM($I$19,$I$23,$I$27,$I$28,$I$29,$I$30,$I$31,$I$32,$I$33,$I$34,$I$35) = 0, "", SUM($I$19,$I$23,$I$27,$I$28,$I$29,$I$30,$I$31,$I$32,$I$33,$I$34,$I$35))), "", (IF(SUM($I$19,$I$23,$I$27,$I$28,$I$29,$I$30,$I$31,$I$32,$I$33,$I$34,$I$35) = 0, "", SUM($I$19,$I$23,$I$27,$I$28,$I$29,$I$30,$I$31,$I$32,$I$33,$I$34,$I$35))))</f>
        <v>3783510.2</v>
      </c>
      <c r="J18">
        <f ca="1">IF(ISERROR(IF(SUM($J$19,$J$23,$J$27,$J$28,$J$29,$J$30,$J$31,$J$32,$J$33,$J$34,$J$35) = 0, "", SUM($J$19,$J$23,$J$27,$J$28,$J$29,$J$30,$J$31,$J$32,$J$33,$J$34,$J$35))), "", (IF(SUM($J$19,$J$23,$J$27,$J$28,$J$29,$J$30,$J$31,$J$32,$J$33,$J$34,$J$35) = 0, "", SUM($J$19,$J$23,$J$27,$J$28,$J$29,$J$30,$J$31,$J$32,$J$33,$J$34,$J$35))))</f>
        <v>3932423.75</v>
      </c>
      <c r="K18">
        <f ca="1">IF(ISERROR(IF(SUM($K$19,$K$23,$K$27,$K$28,$K$29,$K$30,$K$31,$K$32,$K$33,$K$34,$K$35) = 0, "", SUM($K$19,$K$23,$K$27,$K$28,$K$29,$K$30,$K$31,$K$32,$K$33,$K$34,$K$35))), "", (IF(SUM($K$19,$K$23,$K$27,$K$28,$K$29,$K$30,$K$31,$K$32,$K$33,$K$34,$K$35) = 0, "", SUM($K$19,$K$23,$K$27,$K$28,$K$29,$K$30,$K$31,$K$32,$K$33,$K$34,$K$35))))</f>
        <v>3701940.5</v>
      </c>
      <c r="L18">
        <f ca="1">IF(ISERROR(IF(SUM($L$19,$L$23,$L$27,$L$28,$L$29,$L$30,$L$31,$L$32,$L$33,$L$34,$L$35) = 0, "", SUM($L$19,$L$23,$L$27,$L$28,$L$29,$L$30,$L$31,$L$32,$L$33,$L$34,$L$35))), "", (IF(SUM($L$19,$L$23,$L$27,$L$28,$L$29,$L$30,$L$31,$L$32,$L$33,$L$34,$L$35) = 0, "", SUM($L$19,$L$23,$L$27,$L$28,$L$29,$L$30,$L$31,$L$32,$L$33,$L$34,$L$35))))</f>
        <v>3443046.75</v>
      </c>
      <c r="M18">
        <f ca="1">IF(ISERROR(IF(SUM($M$19,$M$23,$M$27,$M$28,$M$29,$M$30,$M$31,$M$32,$M$33,$M$34,$M$35) = 0, "", SUM($M$19,$M$23,$M$27,$M$28,$M$29,$M$30,$M$31,$M$32,$M$33,$M$34,$M$35))), "", (IF(SUM($M$19,$M$23,$M$27,$M$28,$M$29,$M$30,$M$31,$M$32,$M$33,$M$34,$M$35) = 0, "", SUM($M$19,$M$23,$M$27,$M$28,$M$29,$M$30,$M$31,$M$32,$M$33,$M$34,$M$35))))</f>
        <v>3246269.65</v>
      </c>
      <c r="N18">
        <f ca="1">IF(ISERROR(IF(SUM($N$19,$N$23,$N$27,$N$28,$N$29,$N$30,$N$31,$N$32,$N$33,$N$34,$N$35) = 0, "", SUM($N$19,$N$23,$N$27,$N$28,$N$29,$N$30,$N$31,$N$32,$N$33,$N$34,$N$35))), "", (IF(SUM($N$19,$N$23,$N$27,$N$28,$N$29,$N$30,$N$31,$N$32,$N$33,$N$34,$N$35) = 0, "", SUM($N$19,$N$23,$N$27,$N$28,$N$29,$N$30,$N$31,$N$32,$N$33,$N$34,$N$35))))</f>
        <v>3697718.2</v>
      </c>
      <c r="O18">
        <f ca="1">IF(ISERROR(IF(SUM($O$19,$O$23,$O$27,$O$28,$O$29,$O$30,$O$31,$O$32,$O$33,$O$34,$O$35) = 0, "", SUM($O$19,$O$23,$O$27,$O$28,$O$29,$O$30,$O$31,$O$32,$O$33,$O$34,$O$35))), "", (IF(SUM($O$19,$O$23,$O$27,$O$28,$O$29,$O$30,$O$31,$O$32,$O$33,$O$34,$O$35) = 0, "", SUM($O$19,$O$23,$O$27,$O$28,$O$29,$O$30,$O$31,$O$32,$O$33,$O$34,$O$35))))</f>
        <v>3686560.5</v>
      </c>
      <c r="P18">
        <f ca="1">IF(ISERROR(IF(SUM($P$19,$P$23,$P$27,$P$28,$P$29,$P$30,$P$31,$P$32,$P$33,$P$34,$P$35) = 0, "", SUM($P$19,$P$23,$P$27,$P$28,$P$29,$P$30,$P$31,$P$32,$P$33,$P$34,$P$35))), "", (IF(SUM($P$19,$P$23,$P$27,$P$28,$P$29,$P$30,$P$31,$P$32,$P$33,$P$34,$P$35) = 0, "", SUM($P$19,$P$23,$P$27,$P$28,$P$29,$P$30,$P$31,$P$32,$P$33,$P$34,$P$35))))</f>
        <v>3780337</v>
      </c>
      <c r="Q18">
        <f ca="1">IF(ISERROR(IF(SUM($Q$19,$Q$23,$Q$27,$Q$28,$Q$29,$Q$30,$Q$31,$Q$32,$Q$33,$Q$34,$Q$35) = 0, "", SUM($Q$19,$Q$23,$Q$27,$Q$28,$Q$29,$Q$30,$Q$31,$Q$32,$Q$33,$Q$34,$Q$35))), "", (IF(SUM($Q$19,$Q$23,$Q$27,$Q$28,$Q$29,$Q$30,$Q$31,$Q$32,$Q$33,$Q$34,$Q$35) = 0, "", SUM($Q$19,$Q$23,$Q$27,$Q$28,$Q$29,$Q$30,$Q$31,$Q$32,$Q$33,$Q$34,$Q$35))))</f>
        <v>4200854.7</v>
      </c>
      <c r="R18">
        <f ca="1">IF(ISERROR(IF(SUM($R$19,$R$23,$R$27,$R$28,$R$29,$R$30,$R$31,$R$32,$R$33,$R$34,$R$35) = 0, "", SUM($R$19,$R$23,$R$27,$R$28,$R$29,$R$30,$R$31,$R$32,$R$33,$R$34,$R$35))), "", (IF(SUM($R$19,$R$23,$R$27,$R$28,$R$29,$R$30,$R$31,$R$32,$R$33,$R$34,$R$35) = 0, "", SUM($R$19,$R$23,$R$27,$R$28,$R$29,$R$30,$R$31,$R$32,$R$33,$R$34,$R$35))))</f>
        <v>4191747</v>
      </c>
      <c r="S18">
        <f ca="1">IF(ISERROR(IF(SUM($S$19,$S$23,$S$27,$S$28,$S$29,$S$30,$S$31,$S$32,$S$33,$S$34,$S$35) = 0, "", SUM($S$19,$S$23,$S$27,$S$28,$S$29,$S$30,$S$31,$S$32,$S$33,$S$34,$S$35))), "", (IF(SUM($S$19,$S$23,$S$27,$S$28,$S$29,$S$30,$S$31,$S$32,$S$33,$S$34,$S$35) = 0, "", SUM($S$19,$S$23,$S$27,$S$28,$S$29,$S$30,$S$31,$S$32,$S$33,$S$34,$S$35))))</f>
        <v>4610199.7</v>
      </c>
      <c r="T18">
        <f ca="1">IF(ISERROR(IF(SUM($T$19,$T$23,$T$27,$T$28,$T$29,$T$30,$T$31,$T$32,$T$33,$T$34,$T$35) = 0, "", SUM($T$19,$T$23,$T$27,$T$28,$T$29,$T$30,$T$31,$T$32,$T$33,$T$34,$T$35))), "", (IF(SUM($T$19,$T$23,$T$27,$T$28,$T$29,$T$30,$T$31,$T$32,$T$33,$T$34,$T$35) = 0, "", SUM($T$19,$T$23,$T$27,$T$28,$T$29,$T$30,$T$31,$T$32,$T$33,$T$34,$T$35))))</f>
        <v>4405019.3</v>
      </c>
      <c r="U18">
        <f ca="1">IF(ISERROR(IF(SUM($U$19,$U$23,$U$27,$U$28,$U$29,$U$30,$U$31,$U$32,$U$33,$U$34,$U$35) = 0, "", SUM($U$19,$U$23,$U$27,$U$28,$U$29,$U$30,$U$31,$U$32,$U$33,$U$34,$U$35))), "", (IF(SUM($U$19,$U$23,$U$27,$U$28,$U$29,$U$30,$U$31,$U$32,$U$33,$U$34,$U$35) = 0, "", SUM($U$19,$U$23,$U$27,$U$28,$U$29,$U$30,$U$31,$U$32,$U$33,$U$34,$U$35))))</f>
        <v>4522571.8</v>
      </c>
      <c r="V18">
        <f ca="1">IF(ISERROR(IF(SUM($V$19,$V$23,$V$27,$V$28,$V$29,$V$30,$V$31,$V$32,$V$33,$V$34,$V$35) = 0, "", SUM($V$19,$V$23,$V$27,$V$28,$V$29,$V$30,$V$31,$V$32,$V$33,$V$34,$V$35))), "", (IF(SUM($V$19,$V$23,$V$27,$V$28,$V$29,$V$30,$V$31,$V$32,$V$33,$V$34,$V$35) = 0, "", SUM($V$19,$V$23,$V$27,$V$28,$V$29,$V$30,$V$31,$V$32,$V$33,$V$34,$V$35))))</f>
        <v>4816115.6500000004</v>
      </c>
      <c r="W18">
        <f ca="1">IF(ISERROR(IF(SUM($W$19,$W$23,$W$27,$W$28,$W$29,$W$30,$W$31,$W$32,$W$33,$W$34,$W$35) = 0, "", SUM($W$19,$W$23,$W$27,$W$28,$W$29,$W$30,$W$31,$W$32,$W$33,$W$34,$W$35))), "", (IF(SUM($W$19,$W$23,$W$27,$W$28,$W$29,$W$30,$W$31,$W$32,$W$33,$W$34,$W$35) = 0, "", SUM($W$19,$W$23,$W$27,$W$28,$W$29,$W$30,$W$31,$W$32,$W$33,$W$34,$W$35))))</f>
        <v>4542067.3499999996</v>
      </c>
      <c r="X18">
        <f ca="1">IF(ISERROR(IF(SUM($X$19,$X$23,$X$27,$X$28,$X$29,$X$30,$X$31,$X$32,$X$33,$X$34,$X$35) = 0, "", SUM($X$19,$X$23,$X$27,$X$28,$X$29,$X$30,$X$31,$X$32,$X$33,$X$34,$X$35))), "", (IF(SUM($X$19,$X$23,$X$27,$X$28,$X$29,$X$30,$X$31,$X$32,$X$33,$X$34,$X$35) = 0, "", SUM($X$19,$X$23,$X$27,$X$28,$X$29,$X$30,$X$31,$X$32,$X$33,$X$34,$X$35))))</f>
        <v>4687585.55</v>
      </c>
      <c r="Y18">
        <f ca="1">IF(ISERROR(IF(SUM($Y$19,$Y$23,$Y$27,$Y$28,$Y$29,$Y$30,$Y$31,$Y$32,$Y$33,$Y$34,$Y$35) = 0, "", SUM($Y$19,$Y$23,$Y$27,$Y$28,$Y$29,$Y$30,$Y$31,$Y$32,$Y$33,$Y$34,$Y$35))), "", (IF(SUM($Y$19,$Y$23,$Y$27,$Y$28,$Y$29,$Y$30,$Y$31,$Y$32,$Y$33,$Y$34,$Y$35) = 0, "", SUM($Y$19,$Y$23,$Y$27,$Y$28,$Y$29,$Y$30,$Y$31,$Y$32,$Y$33,$Y$34,$Y$35))))</f>
        <v>4223221.4000000004</v>
      </c>
      <c r="Z18">
        <f ca="1">IF(ISERROR(IF(SUM($Z$19,$Z$23,$Z$27,$Z$28,$Z$29,$Z$30,$Z$31,$Z$32,$Z$33,$Z$34,$Z$35) = 0, "", SUM($Z$19,$Z$23,$Z$27,$Z$28,$Z$29,$Z$30,$Z$31,$Z$32,$Z$33,$Z$34,$Z$35))), "", (IF(SUM($Z$19,$Z$23,$Z$27,$Z$28,$Z$29,$Z$30,$Z$31,$Z$32,$Z$33,$Z$34,$Z$35) = 0, "", SUM($Z$19,$Z$23,$Z$27,$Z$28,$Z$29,$Z$30,$Z$31,$Z$32,$Z$33,$Z$34,$Z$35))))</f>
        <v>4251604.8499999996</v>
      </c>
      <c r="AA18">
        <f ca="1">IF(ISERROR(IF(SUM($AA$19,$AA$23,$AA$27,$AA$28,$AA$29,$AA$30,$AA$31,$AA$32,$AA$33,$AA$34,$AA$35) = 0, "", SUM($AA$19,$AA$23,$AA$27,$AA$28,$AA$29,$AA$30,$AA$31,$AA$32,$AA$33,$AA$34,$AA$35))), "", (IF(SUM($AA$19,$AA$23,$AA$27,$AA$28,$AA$29,$AA$30,$AA$31,$AA$32,$AA$33,$AA$34,$AA$35) = 0, "", SUM($AA$19,$AA$23,$AA$27,$AA$28,$AA$29,$AA$30,$AA$31,$AA$32,$AA$33,$AA$34,$AA$35))))</f>
        <v>4168059.75</v>
      </c>
      <c r="AB18">
        <f ca="1">IF(ISERROR(IF(SUM($AB$19,$AB$23,$AB$27,$AB$28,$AB$29,$AB$30,$AB$31,$AB$32,$AB$33,$AB$34,$AB$35) = 0, "", SUM($AB$19,$AB$23,$AB$27,$AB$28,$AB$29,$AB$30,$AB$31,$AB$32,$AB$33,$AB$34,$AB$35))), "", (IF(SUM($AB$19,$AB$23,$AB$27,$AB$28,$AB$29,$AB$30,$AB$31,$AB$32,$AB$33,$AB$34,$AB$35) = 0, "", SUM($AB$19,$AB$23,$AB$27,$AB$28,$AB$29,$AB$30,$AB$31,$AB$32,$AB$33,$AB$34,$AB$35))))</f>
        <v>4225487</v>
      </c>
      <c r="AC18">
        <f ca="1">IF(ISERROR(IF(SUM($AC$19,$AC$23,$AC$27,$AC$28,$AC$29,$AC$30,$AC$31,$AC$32,$AC$33,$AC$34,$AC$35) = 0, "", SUM($AC$19,$AC$23,$AC$27,$AC$28,$AC$29,$AC$30,$AC$31,$AC$32,$AC$33,$AC$34,$AC$35))), "", (IF(SUM($AC$19,$AC$23,$AC$27,$AC$28,$AC$29,$AC$30,$AC$31,$AC$32,$AC$33,$AC$34,$AC$35) = 0, "", SUM($AC$19,$AC$23,$AC$27,$AC$28,$AC$29,$AC$30,$AC$31,$AC$32,$AC$33,$AC$34,$AC$35))))</f>
        <v>4522769.25</v>
      </c>
      <c r="AD18">
        <f ca="1">IF(ISERROR(IF(SUM($AD$19,$AD$23,$AD$27,$AD$28,$AD$29,$AD$30,$AD$31,$AD$32,$AD$33,$AD$34,$AD$35) = 0, "", SUM($AD$19,$AD$23,$AD$27,$AD$28,$AD$29,$AD$30,$AD$31,$AD$32,$AD$33,$AD$34,$AD$35))), "", (IF(SUM($AD$19,$AD$23,$AD$27,$AD$28,$AD$29,$AD$30,$AD$31,$AD$32,$AD$33,$AD$34,$AD$35) = 0, "", SUM($AD$19,$AD$23,$AD$27,$AD$28,$AD$29,$AD$30,$AD$31,$AD$32,$AD$33,$AD$34,$AD$35))))</f>
        <v>4313633.0999999996</v>
      </c>
      <c r="AE18">
        <f ca="1">IF(ISERROR(IF(SUM($AE$19,$AE$23,$AE$27,$AE$28,$AE$29,$AE$30,$AE$31,$AE$32,$AE$33,$AE$34,$AE$35) = 0, "", SUM($AE$19,$AE$23,$AE$27,$AE$28,$AE$29,$AE$30,$AE$31,$AE$32,$AE$33,$AE$34,$AE$35))), "", (IF(SUM($AE$19,$AE$23,$AE$27,$AE$28,$AE$29,$AE$30,$AE$31,$AE$32,$AE$33,$AE$34,$AE$35) = 0, "", SUM($AE$19,$AE$23,$AE$27,$AE$28,$AE$29,$AE$30,$AE$31,$AE$32,$AE$33,$AE$34,$AE$35))))</f>
        <v>4571948.9000000004</v>
      </c>
      <c r="AF18">
        <f ca="1">IF(ISERROR(IF(SUM($AF$19,$AF$23,$AF$27,$AF$28,$AF$29,$AF$30,$AF$31,$AF$32,$AF$33,$AF$34,$AF$35) = 0, "", SUM($AF$19,$AF$23,$AF$27,$AF$28,$AF$29,$AF$30,$AF$31,$AF$32,$AF$33,$AF$34,$AF$35))), "", (IF(SUM($AF$19,$AF$23,$AF$27,$AF$28,$AF$29,$AF$30,$AF$31,$AF$32,$AF$33,$AF$34,$AF$35) = 0, "", SUM($AF$19,$AF$23,$AF$27,$AF$28,$AF$29,$AF$30,$AF$31,$AF$32,$AF$33,$AF$34,$AF$35))))</f>
        <v>4360891.4000000004</v>
      </c>
      <c r="AG18">
        <f ca="1">IF(ISERROR(IF(SUM($AG$19,$AG$23,$AG$27,$AG$28,$AG$29,$AG$30,$AG$31,$AG$32,$AG$33,$AG$34,$AG$35) = 0, "", SUM($AG$19,$AG$23,$AG$27,$AG$28,$AG$29,$AG$30,$AG$31,$AG$32,$AG$33,$AG$34,$AG$35))), "", (IF(SUM($AG$19,$AG$23,$AG$27,$AG$28,$AG$29,$AG$30,$AG$31,$AG$32,$AG$33,$AG$34,$AG$35) = 0, "", SUM($AG$19,$AG$23,$AG$27,$AG$28,$AG$29,$AG$30,$AG$31,$AG$32,$AG$33,$AG$34,$AG$35))))</f>
        <v>4279195.25</v>
      </c>
      <c r="AH18">
        <f ca="1">IF(ISERROR(IF(SUM($AH$19,$AH$23,$AH$27,$AH$28,$AH$29,$AH$30,$AH$31,$AH$32,$AH$33,$AH$34,$AH$35) = 0, "", SUM($AH$19,$AH$23,$AH$27,$AH$28,$AH$29,$AH$30,$AH$31,$AH$32,$AH$33,$AH$34,$AH$35))), "", (IF(SUM($AH$19,$AH$23,$AH$27,$AH$28,$AH$29,$AH$30,$AH$31,$AH$32,$AH$33,$AH$34,$AH$35) = 0, "", SUM($AH$19,$AH$23,$AH$27,$AH$28,$AH$29,$AH$30,$AH$31,$AH$32,$AH$33,$AH$34,$AH$35))))</f>
        <v>4801242.25</v>
      </c>
      <c r="AI18">
        <f ca="1">IF(ISERROR(IF(SUM($AI$19,$AI$23,$AI$27,$AI$28,$AI$29,$AI$30,$AI$31,$AI$32,$AI$33,$AI$34,$AI$35) = 0, "", SUM($AI$19,$AI$23,$AI$27,$AI$28,$AI$29,$AI$30,$AI$31,$AI$32,$AI$33,$AI$34,$AI$35))), "", (IF(SUM($AI$19,$AI$23,$AI$27,$AI$28,$AI$29,$AI$30,$AI$31,$AI$32,$AI$33,$AI$34,$AI$35) = 0, "", SUM($AI$19,$AI$23,$AI$27,$AI$28,$AI$29,$AI$30,$AI$31,$AI$32,$AI$33,$AI$34,$AI$35))))</f>
        <v>4349971.0999999996</v>
      </c>
      <c r="AJ18">
        <f ca="1">IF(ISERROR(IF(SUM($AJ$19,$AJ$23,$AJ$27,$AJ$28,$AJ$29,$AJ$30,$AJ$31,$AJ$32,$AJ$33,$AJ$34,$AJ$35) = 0, "", SUM($AJ$19,$AJ$23,$AJ$27,$AJ$28,$AJ$29,$AJ$30,$AJ$31,$AJ$32,$AJ$33,$AJ$34,$AJ$35))), "", (IF(SUM($AJ$19,$AJ$23,$AJ$27,$AJ$28,$AJ$29,$AJ$30,$AJ$31,$AJ$32,$AJ$33,$AJ$34,$AJ$35) = 0, "", SUM($AJ$19,$AJ$23,$AJ$27,$AJ$28,$AJ$29,$AJ$30,$AJ$31,$AJ$32,$AJ$33,$AJ$34,$AJ$35))))</f>
        <v>4655106.4000000004</v>
      </c>
      <c r="AK18">
        <f ca="1">IF(ISERROR(IF(SUM($AK$19,$AK$23,$AK$27,$AK$28,$AK$29,$AK$30,$AK$31,$AK$32,$AK$33,$AK$34,$AK$35) = 0, "", SUM($AK$19,$AK$23,$AK$27,$AK$28,$AK$29,$AK$30,$AK$31,$AK$32,$AK$33,$AK$34,$AK$35))), "", (IF(SUM($AK$19,$AK$23,$AK$27,$AK$28,$AK$29,$AK$30,$AK$31,$AK$32,$AK$33,$AK$34,$AK$35) = 0, "", SUM($AK$19,$AK$23,$AK$27,$AK$28,$AK$29,$AK$30,$AK$31,$AK$32,$AK$33,$AK$34,$AK$35))))</f>
        <v>3831778.4</v>
      </c>
      <c r="AL18">
        <f ca="1">IF(ISERROR(IF(SUM($AL$19,$AL$23,$AL$27,$AL$28,$AL$29,$AL$30,$AL$31,$AL$32,$AL$33,$AL$34,$AL$35) = 0, "", SUM($AL$19,$AL$23,$AL$27,$AL$28,$AL$29,$AL$30,$AL$31,$AL$32,$AL$33,$AL$34,$AL$35))), "", (IF(SUM($AL$19,$AL$23,$AL$27,$AL$28,$AL$29,$AL$30,$AL$31,$AL$32,$AL$33,$AL$34,$AL$35) = 0, "", SUM($AL$19,$AL$23,$AL$27,$AL$28,$AL$29,$AL$30,$AL$31,$AL$32,$AL$33,$AL$34,$AL$35))))</f>
        <v>4188856.6500000004</v>
      </c>
      <c r="AM18">
        <f ca="1">IF(ISERROR(IF(SUM($AM$19,$AM$23,$AM$27,$AM$28,$AM$29,$AM$30,$AM$31,$AM$32,$AM$33,$AM$34,$AM$35) = 0, "", SUM($AM$19,$AM$23,$AM$27,$AM$28,$AM$29,$AM$30,$AM$31,$AM$32,$AM$33,$AM$34,$AM$35))), "", (IF(SUM($AM$19,$AM$23,$AM$27,$AM$28,$AM$29,$AM$30,$AM$31,$AM$32,$AM$33,$AM$34,$AM$35) = 0, "", SUM($AM$19,$AM$23,$AM$27,$AM$28,$AM$29,$AM$30,$AM$31,$AM$32,$AM$33,$AM$34,$AM$35))))</f>
        <v>4280972.3</v>
      </c>
      <c r="AN18">
        <f ca="1">IF(ISERROR(IF(SUM($AN$19,$AN$23,$AN$27,$AN$28,$AN$29,$AN$30,$AN$31,$AN$32,$AN$33,$AN$34,$AN$35) = 0, "", SUM($AN$19,$AN$23,$AN$27,$AN$28,$AN$29,$AN$30,$AN$31,$AN$32,$AN$33,$AN$34,$AN$35))), "", (IF(SUM($AN$19,$AN$23,$AN$27,$AN$28,$AN$29,$AN$30,$AN$31,$AN$32,$AN$33,$AN$34,$AN$35) = 0, "", SUM($AN$19,$AN$23,$AN$27,$AN$28,$AN$29,$AN$30,$AN$31,$AN$32,$AN$33,$AN$34,$AN$35))))</f>
        <v>4300730.0999999996</v>
      </c>
      <c r="AO18">
        <f ca="1">IF(ISERROR(IF(SUM($AO$19,$AO$23,$AO$27,$AO$28,$AO$29,$AO$30,$AO$31,$AO$32,$AO$33,$AO$34,$AO$35) = 0, "", SUM($AO$19,$AO$23,$AO$27,$AO$28,$AO$29,$AO$30,$AO$31,$AO$32,$AO$33,$AO$34,$AO$35))), "", (IF(SUM($AO$19,$AO$23,$AO$27,$AO$28,$AO$29,$AO$30,$AO$31,$AO$32,$AO$33,$AO$34,$AO$35) = 0, "", SUM($AO$19,$AO$23,$AO$27,$AO$28,$AO$29,$AO$30,$AO$31,$AO$32,$AO$33,$AO$34,$AO$35))))</f>
        <v>4553359.55</v>
      </c>
      <c r="AP18">
        <f ca="1">IF(ISERROR(IF(SUM($AP$19,$AP$23,$AP$27,$AP$28,$AP$29,$AP$30,$AP$31,$AP$32,$AP$33,$AP$34,$AP$35) = 0, "", SUM($AP$19,$AP$23,$AP$27,$AP$28,$AP$29,$AP$30,$AP$31,$AP$32,$AP$33,$AP$34,$AP$35))), "", (IF(SUM($AP$19,$AP$23,$AP$27,$AP$28,$AP$29,$AP$30,$AP$31,$AP$32,$AP$33,$AP$34,$AP$35) = 0, "", SUM($AP$19,$AP$23,$AP$27,$AP$28,$AP$29,$AP$30,$AP$31,$AP$32,$AP$33,$AP$34,$AP$35))))</f>
        <v>4233934.8</v>
      </c>
      <c r="AQ18">
        <f ca="1">IF(ISERROR(IF(SUM($AQ$19,$AQ$23,$AQ$27,$AQ$28,$AQ$29,$AQ$30,$AQ$31,$AQ$32,$AQ$33,$AQ$34,$AQ$35) = 0, "", SUM($AQ$19,$AQ$23,$AQ$27,$AQ$28,$AQ$29,$AQ$30,$AQ$31,$AQ$32,$AQ$33,$AQ$34,$AQ$35))), "", (IF(SUM($AQ$19,$AQ$23,$AQ$27,$AQ$28,$AQ$29,$AQ$30,$AQ$31,$AQ$32,$AQ$33,$AQ$34,$AQ$35) = 0, "", SUM($AQ$19,$AQ$23,$AQ$27,$AQ$28,$AQ$29,$AQ$30,$AQ$31,$AQ$32,$AQ$33,$AQ$34,$AQ$35))))</f>
        <v>4224982.4000000004</v>
      </c>
      <c r="AR18">
        <f ca="1">IF(ISERROR(IF(SUM($AR$19,$AR$23,$AR$27,$AR$28,$AR$29,$AR$30,$AR$31,$AR$32,$AR$33,$AR$34,$AR$35) = 0, "", SUM($AR$19,$AR$23,$AR$27,$AR$28,$AR$29,$AR$30,$AR$31,$AR$32,$AR$33,$AR$34,$AR$35))), "", (IF(SUM($AR$19,$AR$23,$AR$27,$AR$28,$AR$29,$AR$30,$AR$31,$AR$32,$AR$33,$AR$34,$AR$35) = 0, "", SUM($AR$19,$AR$23,$AR$27,$AR$28,$AR$29,$AR$30,$AR$31,$AR$32,$AR$33,$AR$34,$AR$35))))</f>
        <v>3929856.4499999997</v>
      </c>
      <c r="AS18">
        <f ca="1">IF(ISERROR(IF(SUM($AS$19,$AS$23,$AS$27,$AS$28,$AS$29,$AS$30,$AS$31,$AS$32,$AS$33,$AS$34,$AS$35) = 0, "", SUM($AS$19,$AS$23,$AS$27,$AS$28,$AS$29,$AS$30,$AS$31,$AS$32,$AS$33,$AS$34,$AS$35))), "", (IF(SUM($AS$19,$AS$23,$AS$27,$AS$28,$AS$29,$AS$30,$AS$31,$AS$32,$AS$33,$AS$34,$AS$35) = 0, "", SUM($AS$19,$AS$23,$AS$27,$AS$28,$AS$29,$AS$30,$AS$31,$AS$32,$AS$33,$AS$34,$AS$35))))</f>
        <v>3414994.1</v>
      </c>
      <c r="AT18">
        <f ca="1">IF(ISERROR(IF(SUM($AT$19,$AT$23,$AT$27,$AT$28,$AT$29,$AT$30,$AT$31,$AT$32,$AT$33,$AT$34,$AT$35) = 0, "", SUM($AT$19,$AT$23,$AT$27,$AT$28,$AT$29,$AT$30,$AT$31,$AT$32,$AT$33,$AT$34,$AT$35))), "", (IF(SUM($AT$19,$AT$23,$AT$27,$AT$28,$AT$29,$AT$30,$AT$31,$AT$32,$AT$33,$AT$34,$AT$35) = 0, "", SUM($AT$19,$AT$23,$AT$27,$AT$28,$AT$29,$AT$30,$AT$31,$AT$32,$AT$33,$AT$34,$AT$35))))</f>
        <v>3273455.7</v>
      </c>
      <c r="AU18">
        <f ca="1">IF(ISERROR(IF(SUM($AU$19,$AU$23,$AU$27,$AU$28,$AU$29,$AU$30,$AU$31,$AU$32,$AU$33,$AU$34,$AU$35) = 0, "", SUM($AU$19,$AU$23,$AU$27,$AU$28,$AU$29,$AU$30,$AU$31,$AU$32,$AU$33,$AU$34,$AU$35))), "", (IF(SUM($AU$19,$AU$23,$AU$27,$AU$28,$AU$29,$AU$30,$AU$31,$AU$32,$AU$33,$AU$34,$AU$35) = 0, "", SUM($AU$19,$AU$23,$AU$27,$AU$28,$AU$29,$AU$30,$AU$31,$AU$32,$AU$33,$AU$34,$AU$35))))</f>
        <v>3352805.65</v>
      </c>
      <c r="AV18">
        <f ca="1">IF(ISERROR(IF(SUM($AV$19,$AV$23,$AV$27,$AV$28,$AV$29,$AV$30,$AV$31,$AV$32,$AV$33,$AV$34,$AV$35) = 0, "", SUM($AV$19,$AV$23,$AV$27,$AV$28,$AV$29,$AV$30,$AV$31,$AV$32,$AV$33,$AV$34,$AV$35))), "", (IF(SUM($AV$19,$AV$23,$AV$27,$AV$28,$AV$29,$AV$30,$AV$31,$AV$32,$AV$33,$AV$34,$AV$35) = 0, "", SUM($AV$19,$AV$23,$AV$27,$AV$28,$AV$29,$AV$30,$AV$31,$AV$32,$AV$33,$AV$34,$AV$35))))</f>
        <v>3113277.25</v>
      </c>
      <c r="AW18">
        <f ca="1">IF(ISERROR(IF(SUM($AW$19,$AW$23,$AW$27,$AW$28,$AW$29,$AW$30,$AW$31,$AW$32,$AW$33,$AW$34,$AW$35) = 0, "", SUM($AW$19,$AW$23,$AW$27,$AW$28,$AW$29,$AW$30,$AW$31,$AW$32,$AW$33,$AW$34,$AW$35))), "", (IF(SUM($AW$19,$AW$23,$AW$27,$AW$28,$AW$29,$AW$30,$AW$31,$AW$32,$AW$33,$AW$34,$AW$35) = 0, "", SUM($AW$19,$AW$23,$AW$27,$AW$28,$AW$29,$AW$30,$AW$31,$AW$32,$AW$33,$AW$34,$AW$35))))</f>
        <v>3295326.9499999997</v>
      </c>
      <c r="AX18">
        <f ca="1">IF(ISERROR(IF(SUM($AX$19,$AX$23,$AX$27,$AX$28,$AX$29,$AX$30,$AX$31,$AX$32,$AX$33,$AX$34,$AX$35) = 0, "", SUM($AX$19,$AX$23,$AX$27,$AX$28,$AX$29,$AX$30,$AX$31,$AX$32,$AX$33,$AX$34,$AX$35))), "", (IF(SUM($AX$19,$AX$23,$AX$27,$AX$28,$AX$29,$AX$30,$AX$31,$AX$32,$AX$33,$AX$34,$AX$35) = 0, "", SUM($AX$19,$AX$23,$AX$27,$AX$28,$AX$29,$AX$30,$AX$31,$AX$32,$AX$33,$AX$34,$AX$35))))</f>
        <v>3780931.2</v>
      </c>
      <c r="AY18">
        <f ca="1">IF(ISERROR(IF(SUM($AY$19,$AY$23,$AY$27,$AY$28,$AY$29,$AY$30,$AY$31,$AY$32,$AY$33,$AY$34,$AY$35) = 0, "", SUM($AY$19,$AY$23,$AY$27,$AY$28,$AY$29,$AY$30,$AY$31,$AY$32,$AY$33,$AY$34,$AY$35))), "", (IF(SUM($AY$19,$AY$23,$AY$27,$AY$28,$AY$29,$AY$30,$AY$31,$AY$32,$AY$33,$AY$34,$AY$35) = 0, "", SUM($AY$19,$AY$23,$AY$27,$AY$28,$AY$29,$AY$30,$AY$31,$AY$32,$AY$33,$AY$34,$AY$35))))</f>
        <v>3693677.8</v>
      </c>
      <c r="AZ18">
        <f ca="1">IF(ISERROR(IF(SUM($AZ$19,$AZ$23,$AZ$27,$AZ$28,$AZ$29,$AZ$30,$AZ$31,$AZ$32,$AZ$33,$AZ$34,$AZ$35) = 0, "", SUM($AZ$19,$AZ$23,$AZ$27,$AZ$28,$AZ$29,$AZ$30,$AZ$31,$AZ$32,$AZ$33,$AZ$34,$AZ$35))), "", (IF(SUM($AZ$19,$AZ$23,$AZ$27,$AZ$28,$AZ$29,$AZ$30,$AZ$31,$AZ$32,$AZ$33,$AZ$34,$AZ$35) = 0, "", SUM($AZ$19,$AZ$23,$AZ$27,$AZ$28,$AZ$29,$AZ$30,$AZ$31,$AZ$32,$AZ$33,$AZ$34,$AZ$35))))</f>
        <v>3602084.75</v>
      </c>
      <c r="BA18">
        <f ca="1">IF(ISERROR(IF(SUM($BA$19,$BA$23,$BA$27,$BA$28,$BA$29,$BA$30,$BA$31,$BA$32,$BA$33,$BA$34,$BA$35) = 0, "", SUM($BA$19,$BA$23,$BA$27,$BA$28,$BA$29,$BA$30,$BA$31,$BA$32,$BA$33,$BA$34,$BA$35))), "", (IF(SUM($BA$19,$BA$23,$BA$27,$BA$28,$BA$29,$BA$30,$BA$31,$BA$32,$BA$33,$BA$34,$BA$35) = 0, "", SUM($BA$19,$BA$23,$BA$27,$BA$28,$BA$29,$BA$30,$BA$31,$BA$32,$BA$33,$BA$34,$BA$35))))</f>
        <v>3986119.3</v>
      </c>
      <c r="BB18">
        <f ca="1">IF(ISERROR(IF(SUM($BB$19,$BB$23,$BB$27,$BB$28,$BB$29,$BB$30,$BB$31,$BB$32,$BB$33,$BB$34,$BB$35) = 0, "", SUM($BB$19,$BB$23,$BB$27,$BB$28,$BB$29,$BB$30,$BB$31,$BB$32,$BB$33,$BB$34,$BB$35))), "", (IF(SUM($BB$19,$BB$23,$BB$27,$BB$28,$BB$29,$BB$30,$BB$31,$BB$32,$BB$33,$BB$34,$BB$35) = 0, "", SUM($BB$19,$BB$23,$BB$27,$BB$28,$BB$29,$BB$30,$BB$31,$BB$32,$BB$33,$BB$34,$BB$35))))</f>
        <v>3948298.45</v>
      </c>
      <c r="BC18">
        <f ca="1">IF(ISERROR(IF(SUM($BC$19,$BC$23,$BC$27,$BC$28,$BC$29,$BC$30,$BC$31,$BC$32,$BC$33,$BC$34,$BC$35) = 0, "", SUM($BC$19,$BC$23,$BC$27,$BC$28,$BC$29,$BC$30,$BC$31,$BC$32,$BC$33,$BC$34,$BC$35))), "", (IF(SUM($BC$19,$BC$23,$BC$27,$BC$28,$BC$29,$BC$30,$BC$31,$BC$32,$BC$33,$BC$34,$BC$35) = 0, "", SUM($BC$19,$BC$23,$BC$27,$BC$28,$BC$29,$BC$30,$BC$31,$BC$32,$BC$33,$BC$34,$BC$35))))</f>
        <v>4146621.05</v>
      </c>
      <c r="BD18">
        <f ca="1">IF(ISERROR(IF(SUM($BD$19,$BD$23,$BD$27,$BD$28,$BD$29,$BD$30,$BD$31,$BD$32,$BD$33,$BD$34,$BD$35) = 0, "", SUM($BD$19,$BD$23,$BD$27,$BD$28,$BD$29,$BD$30,$BD$31,$BD$32,$BD$33,$BD$34,$BD$35))), "", (IF(SUM($BD$19,$BD$23,$BD$27,$BD$28,$BD$29,$BD$30,$BD$31,$BD$32,$BD$33,$BD$34,$BD$35) = 0, "", SUM($BD$19,$BD$23,$BD$27,$BD$28,$BD$29,$BD$30,$BD$31,$BD$32,$BD$33,$BD$34,$BD$35))))</f>
        <v>4067233.85</v>
      </c>
      <c r="BE18">
        <f ca="1">IF(ISERROR(IF(SUM($BE$19,$BE$23,$BE$27,$BE$28,$BE$29,$BE$30,$BE$31,$BE$32,$BE$33,$BE$34,$BE$35) = 0, "", SUM($BE$19,$BE$23,$BE$27,$BE$28,$BE$29,$BE$30,$BE$31,$BE$32,$BE$33,$BE$34,$BE$35))), "", (IF(SUM($BE$19,$BE$23,$BE$27,$BE$28,$BE$29,$BE$30,$BE$31,$BE$32,$BE$33,$BE$34,$BE$35) = 0, "", SUM($BE$19,$BE$23,$BE$27,$BE$28,$BE$29,$BE$30,$BE$31,$BE$32,$BE$33,$BE$34,$BE$35))))</f>
        <v>3847666.4</v>
      </c>
      <c r="BF18">
        <f ca="1">IF(ISERROR(IF(SUM($BF$19,$BF$23,$BF$27,$BF$28,$BF$29,$BF$30,$BF$31,$BF$32,$BF$33,$BF$34,$BF$35) = 0, "", SUM($BF$19,$BF$23,$BF$27,$BF$28,$BF$29,$BF$30,$BF$31,$BF$32,$BF$33,$BF$34,$BF$35))), "", (IF(SUM($BF$19,$BF$23,$BF$27,$BF$28,$BF$29,$BF$30,$BF$31,$BF$32,$BF$33,$BF$34,$BF$35) = 0, "", SUM($BF$19,$BF$23,$BF$27,$BF$28,$BF$29,$BF$30,$BF$31,$BF$32,$BF$33,$BF$34,$BF$35))))</f>
        <v>3900445.8</v>
      </c>
      <c r="BG18">
        <f ca="1">IF(ISERROR(IF(SUM($BG$19,$BG$23,$BG$27,$BG$28,$BG$29,$BG$30,$BG$31,$BG$32,$BG$33,$BG$34,$BG$35) = 0, "", SUM($BG$19,$BG$23,$BG$27,$BG$28,$BG$29,$BG$30,$BG$31,$BG$32,$BG$33,$BG$34,$BG$35))), "", (IF(SUM($BG$19,$BG$23,$BG$27,$BG$28,$BG$29,$BG$30,$BG$31,$BG$32,$BG$33,$BG$34,$BG$35) = 0, "", SUM($BG$19,$BG$23,$BG$27,$BG$28,$BG$29,$BG$30,$BG$31,$BG$32,$BG$33,$BG$34,$BG$35))))</f>
        <v>3789837</v>
      </c>
      <c r="BH18">
        <f ca="1">IF(ISERROR(IF(SUM($BH$19,$BH$23,$BH$27,$BH$28,$BH$29,$BH$30,$BH$31,$BH$32,$BH$33,$BH$34,$BH$35) = 0, "", SUM($BH$19,$BH$23,$BH$27,$BH$28,$BH$29,$BH$30,$BH$31,$BH$32,$BH$33,$BH$34,$BH$35))), "", (IF(SUM($BH$19,$BH$23,$BH$27,$BH$28,$BH$29,$BH$30,$BH$31,$BH$32,$BH$33,$BH$34,$BH$35) = 0, "", SUM($BH$19,$BH$23,$BH$27,$BH$28,$BH$29,$BH$30,$BH$31,$BH$32,$BH$33,$BH$34,$BH$35))))</f>
        <v>3668896.85</v>
      </c>
      <c r="BI18">
        <f ca="1">IF(ISERROR(IF(SUM($BI$19,$BI$23,$BI$27,$BI$28,$BI$29,$BI$30,$BI$31,$BI$32,$BI$33,$BI$34,$BI$35) = 0, "", SUM($BI$19,$BI$23,$BI$27,$BI$28,$BI$29,$BI$30,$BI$31,$BI$32,$BI$33,$BI$34,$BI$35))), "", (IF(SUM($BI$19,$BI$23,$BI$27,$BI$28,$BI$29,$BI$30,$BI$31,$BI$32,$BI$33,$BI$34,$BI$35) = 0, "", SUM($BI$19,$BI$23,$BI$27,$BI$28,$BI$29,$BI$30,$BI$31,$BI$32,$BI$33,$BI$34,$BI$35))))</f>
        <v>3403351.55</v>
      </c>
      <c r="BJ18">
        <f ca="1">IF(ISERROR(IF(SUM($BJ$19,$BJ$23,$BJ$27,$BJ$28,$BJ$29,$BJ$30,$BJ$31,$BJ$32,$BJ$33,$BJ$34,$BJ$35) = 0, "", SUM($BJ$19,$BJ$23,$BJ$27,$BJ$28,$BJ$29,$BJ$30,$BJ$31,$BJ$32,$BJ$33,$BJ$34,$BJ$35))), "", (IF(SUM($BJ$19,$BJ$23,$BJ$27,$BJ$28,$BJ$29,$BJ$30,$BJ$31,$BJ$32,$BJ$33,$BJ$34,$BJ$35) = 0, "", SUM($BJ$19,$BJ$23,$BJ$27,$BJ$28,$BJ$29,$BJ$30,$BJ$31,$BJ$32,$BJ$33,$BJ$34,$BJ$35))))</f>
        <v>3992860.3</v>
      </c>
      <c r="BK18">
        <f ca="1">IF(ISERROR(IF(SUM($BK$19,$BK$23,$BK$27,$BK$28,$BK$29,$BK$30,$BK$31,$BK$32,$BK$33,$BK$34,$BK$35) = 0, "", SUM($BK$19,$BK$23,$BK$27,$BK$28,$BK$29,$BK$30,$BK$31,$BK$32,$BK$33,$BK$34,$BK$35))), "", (IF(SUM($BK$19,$BK$23,$BK$27,$BK$28,$BK$29,$BK$30,$BK$31,$BK$32,$BK$33,$BK$34,$BK$35) = 0, "", SUM($BK$19,$BK$23,$BK$27,$BK$28,$BK$29,$BK$30,$BK$31,$BK$32,$BK$33,$BK$34,$BK$35))))</f>
        <v>4024231.9499999997</v>
      </c>
      <c r="BL18">
        <f ca="1">IF(ISERROR(IF(SUM($BL$19,$BL$23,$BL$27,$BL$28,$BL$29,$BL$30,$BL$31,$BL$32,$BL$33,$BL$34,$BL$35) = 0, "", SUM($BL$19,$BL$23,$BL$27,$BL$28,$BL$29,$BL$30,$BL$31,$BL$32,$BL$33,$BL$34,$BL$35))), "", (IF(SUM($BL$19,$BL$23,$BL$27,$BL$28,$BL$29,$BL$30,$BL$31,$BL$32,$BL$33,$BL$34,$BL$35) = 0, "", SUM($BL$19,$BL$23,$BL$27,$BL$28,$BL$29,$BL$30,$BL$31,$BL$32,$BL$33,$BL$34,$BL$35))))</f>
        <v>3796085.5</v>
      </c>
      <c r="BM18">
        <f ca="1">IF(ISERROR(IF(SUM($BM$19,$BM$23,$BM$27,$BM$28,$BM$29,$BM$30,$BM$31,$BM$32,$BM$33,$BM$34,$BM$35) = 0, "", SUM($BM$19,$BM$23,$BM$27,$BM$28,$BM$29,$BM$30,$BM$31,$BM$32,$BM$33,$BM$34,$BM$35))), "", (IF(SUM($BM$19,$BM$23,$BM$27,$BM$28,$BM$29,$BM$30,$BM$31,$BM$32,$BM$33,$BM$34,$BM$35) = 0, "", SUM($BM$19,$BM$23,$BM$27,$BM$28,$BM$29,$BM$30,$BM$31,$BM$32,$BM$33,$BM$34,$BM$35))))</f>
        <v>4222300.1500000004</v>
      </c>
      <c r="BN18">
        <f ca="1">IF(ISERROR(IF(SUM($BN$19,$BN$23,$BN$27,$BN$28,$BN$29,$BN$30,$BN$31,$BN$32,$BN$33,$BN$34,$BN$35) = 0, "", SUM($BN$19,$BN$23,$BN$27,$BN$28,$BN$29,$BN$30,$BN$31,$BN$32,$BN$33,$BN$34,$BN$35))), "", (IF(SUM($BN$19,$BN$23,$BN$27,$BN$28,$BN$29,$BN$30,$BN$31,$BN$32,$BN$33,$BN$34,$BN$35) = 0, "", SUM($BN$19,$BN$23,$BN$27,$BN$28,$BN$29,$BN$30,$BN$31,$BN$32,$BN$33,$BN$34,$BN$35))))</f>
        <v>3922321.85</v>
      </c>
      <c r="BO18">
        <f ca="1">IF(ISERROR(IF(SUM($BO$19,$BO$23,$BO$27,$BO$28,$BO$29,$BO$30,$BO$31,$BO$32,$BO$33,$BO$34,$BO$35) = 0, "", SUM($BO$19,$BO$23,$BO$27,$BO$28,$BO$29,$BO$30,$BO$31,$BO$32,$BO$33,$BO$34,$BO$35))), "", (IF(SUM($BO$19,$BO$23,$BO$27,$BO$28,$BO$29,$BO$30,$BO$31,$BO$32,$BO$33,$BO$34,$BO$35) = 0, "", SUM($BO$19,$BO$23,$BO$27,$BO$28,$BO$29,$BO$30,$BO$31,$BO$32,$BO$33,$BO$34,$BO$35))))</f>
        <v>3938682.1999999997</v>
      </c>
      <c r="BP18">
        <f ca="1">IF(ISERROR(IF(SUM($BP$19,$BP$23,$BP$27,$BP$28,$BP$29,$BP$30,$BP$31,$BP$32,$BP$33,$BP$34,$BP$35) = 0, "", SUM($BP$19,$BP$23,$BP$27,$BP$28,$BP$29,$BP$30,$BP$31,$BP$32,$BP$33,$BP$34,$BP$35))), "", (IF(SUM($BP$19,$BP$23,$BP$27,$BP$28,$BP$29,$BP$30,$BP$31,$BP$32,$BP$33,$BP$34,$BP$35) = 0, "", SUM($BP$19,$BP$23,$BP$27,$BP$28,$BP$29,$BP$30,$BP$31,$BP$32,$BP$33,$BP$34,$BP$35))))</f>
        <v>3960084.2</v>
      </c>
      <c r="BQ18">
        <f ca="1">IF(ISERROR(IF(SUM($BQ$19,$BQ$23,$BQ$27,$BQ$28,$BQ$29,$BQ$30,$BQ$31,$BQ$32,$BQ$33,$BQ$34,$BQ$35) = 0, "", SUM($BQ$19,$BQ$23,$BQ$27,$BQ$28,$BQ$29,$BQ$30,$BQ$31,$BQ$32,$BQ$33,$BQ$34,$BQ$35))), "", (IF(SUM($BQ$19,$BQ$23,$BQ$27,$BQ$28,$BQ$29,$BQ$30,$BQ$31,$BQ$32,$BQ$33,$BQ$34,$BQ$35) = 0, "", SUM($BQ$19,$BQ$23,$BQ$27,$BQ$28,$BQ$29,$BQ$30,$BQ$31,$BQ$32,$BQ$33,$BQ$34,$BQ$35))))</f>
        <v>3878718.65</v>
      </c>
      <c r="BR18">
        <f ca="1">IF(ISERROR(IF(SUM($BR$19,$BR$23,$BR$27,$BR$28,$BR$29,$BR$30,$BR$31,$BR$32,$BR$33,$BR$34,$BR$35) = 0, "", SUM($BR$19,$BR$23,$BR$27,$BR$28,$BR$29,$BR$30,$BR$31,$BR$32,$BR$33,$BR$34,$BR$35))), "", (IF(SUM($BR$19,$BR$23,$BR$27,$BR$28,$BR$29,$BR$30,$BR$31,$BR$32,$BR$33,$BR$34,$BR$35) = 0, "", SUM($BR$19,$BR$23,$BR$27,$BR$28,$BR$29,$BR$30,$BR$31,$BR$32,$BR$33,$BR$34,$BR$35))))</f>
        <v>3826238.45</v>
      </c>
      <c r="BS18">
        <f ca="1">IF(ISERROR(IF(SUM($BS$19,$BS$23,$BS$27,$BS$28,$BS$29,$BS$30,$BS$31,$BS$32,$BS$33,$BS$34,$BS$35) = 0, "", SUM($BS$19,$BS$23,$BS$27,$BS$28,$BS$29,$BS$30,$BS$31,$BS$32,$BS$33,$BS$34,$BS$35))), "", (IF(SUM($BS$19,$BS$23,$BS$27,$BS$28,$BS$29,$BS$30,$BS$31,$BS$32,$BS$33,$BS$34,$BS$35) = 0, "", SUM($BS$19,$BS$23,$BS$27,$BS$28,$BS$29,$BS$30,$BS$31,$BS$32,$BS$33,$BS$34,$BS$35))))</f>
        <v>3547039</v>
      </c>
      <c r="BT18">
        <f ca="1">IF(ISERROR(IF(SUM($BT$19,$BT$23,$BT$27,$BT$28,$BT$29,$BT$30,$BT$31,$BT$32,$BT$33,$BT$34,$BT$35) = 0, "", SUM($BT$19,$BT$23,$BT$27,$BT$28,$BT$29,$BT$30,$BT$31,$BT$32,$BT$33,$BT$34,$BT$35))), "", (IF(SUM($BT$19,$BT$23,$BT$27,$BT$28,$BT$29,$BT$30,$BT$31,$BT$32,$BT$33,$BT$34,$BT$35) = 0, "", SUM($BT$19,$BT$23,$BT$27,$BT$28,$BT$29,$BT$30,$BT$31,$BT$32,$BT$33,$BT$34,$BT$35))))</f>
        <v>3471319.05</v>
      </c>
      <c r="BU18">
        <f ca="1">IF(ISERROR(IF(SUM($BU$19,$BU$23,$BU$27,$BU$28,$BU$29,$BU$30,$BU$31,$BU$32,$BU$33,$BU$34,$BU$35) = 0, "", SUM($BU$19,$BU$23,$BU$27,$BU$28,$BU$29,$BU$30,$BU$31,$BU$32,$BU$33,$BU$34,$BU$35))), "", (IF(SUM($BU$19,$BU$23,$BU$27,$BU$28,$BU$29,$BU$30,$BU$31,$BU$32,$BU$33,$BU$34,$BU$35) = 0, "", SUM($BU$19,$BU$23,$BU$27,$BU$28,$BU$29,$BU$30,$BU$31,$BU$32,$BU$33,$BU$34,$BU$35))))</f>
        <v>3499360.6500000004</v>
      </c>
      <c r="BV18">
        <f ca="1">IF(ISERROR(IF(SUM($BV$19,$BV$23,$BV$27,$BV$28,$BV$29,$BV$30,$BV$31,$BV$32,$BV$33,$BV$34,$BV$35) = 0, "", SUM($BV$19,$BV$23,$BV$27,$BV$28,$BV$29,$BV$30,$BV$31,$BV$32,$BV$33,$BV$34,$BV$35))), "", (IF(SUM($BV$19,$BV$23,$BV$27,$BV$28,$BV$29,$BV$30,$BV$31,$BV$32,$BV$33,$BV$34,$BV$35) = 0, "", SUM($BV$19,$BV$23,$BV$27,$BV$28,$BV$29,$BV$30,$BV$31,$BV$32,$BV$33,$BV$34,$BV$35))))</f>
        <v>3616776.5</v>
      </c>
      <c r="BW18">
        <f ca="1">IF(ISERROR(IF(SUM($BW$19,$BW$23,$BW$27,$BW$28,$BW$29,$BW$30,$BW$31,$BW$32,$BW$33,$BW$34,$BW$35) = 0, "", SUM($BW$19,$BW$23,$BW$27,$BW$28,$BW$29,$BW$30,$BW$31,$BW$32,$BW$33,$BW$34,$BW$35))), "", (IF(SUM($BW$19,$BW$23,$BW$27,$BW$28,$BW$29,$BW$30,$BW$31,$BW$32,$BW$33,$BW$34,$BW$35) = 0, "", SUM($BW$19,$BW$23,$BW$27,$BW$28,$BW$29,$BW$30,$BW$31,$BW$32,$BW$33,$BW$34,$BW$35))))</f>
        <v>3691122.2</v>
      </c>
      <c r="BX18">
        <f ca="1">IF(ISERROR(IF(SUM($BX$19,$BX$23,$BX$27,$BX$28,$BX$29,$BX$30,$BX$31,$BX$32,$BX$33,$BX$34,$BX$35) = 0, "", SUM($BX$19,$BX$23,$BX$27,$BX$28,$BX$29,$BX$30,$BX$31,$BX$32,$BX$33,$BX$34,$BX$35))), "", (IF(SUM($BX$19,$BX$23,$BX$27,$BX$28,$BX$29,$BX$30,$BX$31,$BX$32,$BX$33,$BX$34,$BX$35) = 0, "", SUM($BX$19,$BX$23,$BX$27,$BX$28,$BX$29,$BX$30,$BX$31,$BX$32,$BX$33,$BX$34,$BX$35))))</f>
        <v>3719812.6</v>
      </c>
      <c r="BY18">
        <f ca="1">IF(ISERROR(IF(SUM($BY$19,$BY$23,$BY$27,$BY$28,$BY$29,$BY$30,$BY$31,$BY$32,$BY$33,$BY$34,$BY$35) = 0, "", SUM($BY$19,$BY$23,$BY$27,$BY$28,$BY$29,$BY$30,$BY$31,$BY$32,$BY$33,$BY$34,$BY$35))), "", (IF(SUM($BY$19,$BY$23,$BY$27,$BY$28,$BY$29,$BY$30,$BY$31,$BY$32,$BY$33,$BY$34,$BY$35) = 0, "", SUM($BY$19,$BY$23,$BY$27,$BY$28,$BY$29,$BY$30,$BY$31,$BY$32,$BY$33,$BY$34,$BY$35))))</f>
        <v>3809121</v>
      </c>
      <c r="BZ18">
        <f ca="1">IF(ISERROR(IF(SUM($BZ$19,$BZ$23,$BZ$27,$BZ$28,$BZ$29,$BZ$30,$BZ$31,$BZ$32,$BZ$33,$BZ$34,$BZ$35) = 0, "", SUM($BZ$19,$BZ$23,$BZ$27,$BZ$28,$BZ$29,$BZ$30,$BZ$31,$BZ$32,$BZ$33,$BZ$34,$BZ$35))), "", (IF(SUM($BZ$19,$BZ$23,$BZ$27,$BZ$28,$BZ$29,$BZ$30,$BZ$31,$BZ$32,$BZ$33,$BZ$34,$BZ$35) = 0, "", SUM($BZ$19,$BZ$23,$BZ$27,$BZ$28,$BZ$29,$BZ$30,$BZ$31,$BZ$32,$BZ$33,$BZ$34,$BZ$35))))</f>
        <v>3731875.4</v>
      </c>
      <c r="CA18">
        <f ca="1">IF(ISERROR(IF(SUM($CA$19,$CA$23,$CA$27,$CA$28,$CA$29,$CA$30,$CA$31,$CA$32,$CA$33,$CA$34,$CA$35) = 0, "", SUM($CA$19,$CA$23,$CA$27,$CA$28,$CA$29,$CA$30,$CA$31,$CA$32,$CA$33,$CA$34,$CA$35))), "", (IF(SUM($CA$19,$CA$23,$CA$27,$CA$28,$CA$29,$CA$30,$CA$31,$CA$32,$CA$33,$CA$34,$CA$35) = 0, "", SUM($CA$19,$CA$23,$CA$27,$CA$28,$CA$29,$CA$30,$CA$31,$CA$32,$CA$33,$CA$34,$CA$35))))</f>
        <v>3835807.65</v>
      </c>
      <c r="CB18">
        <f ca="1">IF(ISERROR(IF(SUM($CB$19,$CB$23,$CB$27,$CB$28,$CB$29,$CB$30,$CB$31,$CB$32,$CB$33,$CB$34,$CB$35) = 0, "", SUM($CB$19,$CB$23,$CB$27,$CB$28,$CB$29,$CB$30,$CB$31,$CB$32,$CB$33,$CB$34,$CB$35))), "", (IF(SUM($CB$19,$CB$23,$CB$27,$CB$28,$CB$29,$CB$30,$CB$31,$CB$32,$CB$33,$CB$34,$CB$35) = 0, "", SUM($CB$19,$CB$23,$CB$27,$CB$28,$CB$29,$CB$30,$CB$31,$CB$32,$CB$33,$CB$34,$CB$35))))</f>
        <v>3761829.25</v>
      </c>
      <c r="CC18">
        <f ca="1">IF(ISERROR(IF(SUM($CC$19,$CC$23,$CC$27,$CC$28,$CC$29,$CC$30,$CC$31,$CC$32,$CC$33,$CC$34,$CC$35) = 0, "", SUM($CC$19,$CC$23,$CC$27,$CC$28,$CC$29,$CC$30,$CC$31,$CC$32,$CC$33,$CC$34,$CC$35))), "", (IF(SUM($CC$19,$CC$23,$CC$27,$CC$28,$CC$29,$CC$30,$CC$31,$CC$32,$CC$33,$CC$34,$CC$35) = 0, "", SUM($CC$19,$CC$23,$CC$27,$CC$28,$CC$29,$CC$30,$CC$31,$CC$32,$CC$33,$CC$34,$CC$35))))</f>
        <v>3659150.45</v>
      </c>
      <c r="CD18">
        <f ca="1">IF(ISERROR(IF(SUM($CD$19,$CD$23,$CD$27,$CD$28,$CD$29,$CD$30,$CD$31,$CD$32,$CD$33,$CD$34,$CD$35) = 0, "", SUM($CD$19,$CD$23,$CD$27,$CD$28,$CD$29,$CD$30,$CD$31,$CD$32,$CD$33,$CD$34,$CD$35))), "", (IF(SUM($CD$19,$CD$23,$CD$27,$CD$28,$CD$29,$CD$30,$CD$31,$CD$32,$CD$33,$CD$34,$CD$35) = 0, "", SUM($CD$19,$CD$23,$CD$27,$CD$28,$CD$29,$CD$30,$CD$31,$CD$32,$CD$33,$CD$34,$CD$35))))</f>
        <v>3739241.4000000004</v>
      </c>
      <c r="CE18">
        <f ca="1">IF(ISERROR(IF(SUM($CE$19,$CE$23,$CE$27,$CE$28,$CE$29,$CE$30,$CE$31,$CE$32,$CE$33,$CE$34,$CE$35) = 0, "", SUM($CE$19,$CE$23,$CE$27,$CE$28,$CE$29,$CE$30,$CE$31,$CE$32,$CE$33,$CE$34,$CE$35))), "", (IF(SUM($CE$19,$CE$23,$CE$27,$CE$28,$CE$29,$CE$30,$CE$31,$CE$32,$CE$33,$CE$34,$CE$35) = 0, "", SUM($CE$19,$CE$23,$CE$27,$CE$28,$CE$29,$CE$30,$CE$31,$CE$32,$CE$33,$CE$34,$CE$35))))</f>
        <v>3428068.8</v>
      </c>
      <c r="CF18">
        <f ca="1">IF(ISERROR(IF(SUM($CF$19,$CF$23,$CF$27,$CF$28,$CF$29,$CF$30,$CF$31,$CF$32,$CF$33,$CF$34,$CF$35) = 0, "", SUM($CF$19,$CF$23,$CF$27,$CF$28,$CF$29,$CF$30,$CF$31,$CF$32,$CF$33,$CF$34,$CF$35))), "", (IF(SUM($CF$19,$CF$23,$CF$27,$CF$28,$CF$29,$CF$30,$CF$31,$CF$32,$CF$33,$CF$34,$CF$35) = 0, "", SUM($CF$19,$CF$23,$CF$27,$CF$28,$CF$29,$CF$30,$CF$31,$CF$32,$CF$33,$CF$34,$CF$35))))</f>
        <v>3464736.5</v>
      </c>
      <c r="CG18">
        <f ca="1">IF(ISERROR(IF(SUM($CG$19,$CG$23,$CG$27,$CG$28,$CG$29,$CG$30,$CG$31,$CG$32,$CG$33,$CG$34,$CG$35) = 0, "", SUM($CG$19,$CG$23,$CG$27,$CG$28,$CG$29,$CG$30,$CG$31,$CG$32,$CG$33,$CG$34,$CG$35))), "", (IF(SUM($CG$19,$CG$23,$CG$27,$CG$28,$CG$29,$CG$30,$CG$31,$CG$32,$CG$33,$CG$34,$CG$35) = 0, "", SUM($CG$19,$CG$23,$CG$27,$CG$28,$CG$29,$CG$30,$CG$31,$CG$32,$CG$33,$CG$34,$CG$35))))</f>
        <v>3153583.35</v>
      </c>
      <c r="CH18">
        <f ca="1">IF(ISERROR(IF(SUM($CH$19,$CH$23,$CH$27,$CH$28,$CH$29,$CH$30,$CH$31,$CH$32,$CH$33,$CH$34,$CH$35) = 0, "", SUM($CH$19,$CH$23,$CH$27,$CH$28,$CH$29,$CH$30,$CH$31,$CH$32,$CH$33,$CH$34,$CH$35))), "", (IF(SUM($CH$19,$CH$23,$CH$27,$CH$28,$CH$29,$CH$30,$CH$31,$CH$32,$CH$33,$CH$34,$CH$35) = 0, "", SUM($CH$19,$CH$23,$CH$27,$CH$28,$CH$29,$CH$30,$CH$31,$CH$32,$CH$33,$CH$34,$CH$35))))</f>
        <v>3577207.15</v>
      </c>
      <c r="CI18">
        <f ca="1">IF(ISERROR(IF(SUM($CI$19,$CI$23,$CI$27,$CI$28,$CI$29,$CI$30,$CI$31,$CI$32,$CI$33,$CI$34,$CI$35) = 0, "", SUM($CI$19,$CI$23,$CI$27,$CI$28,$CI$29,$CI$30,$CI$31,$CI$32,$CI$33,$CI$34,$CI$35))), "", (IF(SUM($CI$19,$CI$23,$CI$27,$CI$28,$CI$29,$CI$30,$CI$31,$CI$32,$CI$33,$CI$34,$CI$35) = 0, "", SUM($CI$19,$CI$23,$CI$27,$CI$28,$CI$29,$CI$30,$CI$31,$CI$32,$CI$33,$CI$34,$CI$35))))</f>
        <v>3394612.85</v>
      </c>
      <c r="CJ18">
        <f ca="1">IF(ISERROR(IF(SUM($CJ$19,$CJ$23,$CJ$27,$CJ$28,$CJ$29,$CJ$30,$CJ$31,$CJ$32,$CJ$33,$CJ$34,$CJ$35) = 0, "", SUM($CJ$19,$CJ$23,$CJ$27,$CJ$28,$CJ$29,$CJ$30,$CJ$31,$CJ$32,$CJ$33,$CJ$34,$CJ$35))), "", (IF(SUM($CJ$19,$CJ$23,$CJ$27,$CJ$28,$CJ$29,$CJ$30,$CJ$31,$CJ$32,$CJ$33,$CJ$34,$CJ$35) = 0, "", SUM($CJ$19,$CJ$23,$CJ$27,$CJ$28,$CJ$29,$CJ$30,$CJ$31,$CJ$32,$CJ$33,$CJ$34,$CJ$35))))</f>
        <v>3518010.45</v>
      </c>
      <c r="CK18">
        <f ca="1">IF(ISERROR(IF(SUM($CK$19,$CK$23,$CK$27,$CK$28,$CK$29,$CK$30,$CK$31,$CK$32,$CK$33,$CK$34,$CK$35) = 0, "", SUM($CK$19,$CK$23,$CK$27,$CK$28,$CK$29,$CK$30,$CK$31,$CK$32,$CK$33,$CK$34,$CK$35))), "", (IF(SUM($CK$19,$CK$23,$CK$27,$CK$28,$CK$29,$CK$30,$CK$31,$CK$32,$CK$33,$CK$34,$CK$35) = 0, "", SUM($CK$19,$CK$23,$CK$27,$CK$28,$CK$29,$CK$30,$CK$31,$CK$32,$CK$33,$CK$34,$CK$35))))</f>
        <v>3534514.5</v>
      </c>
      <c r="CL18">
        <f>3395648.1</f>
        <v>3395648.1</v>
      </c>
      <c r="CM18">
        <f>3899702.45</f>
        <v>3899702.45</v>
      </c>
      <c r="CN18">
        <f>3695401.25</f>
        <v>3695401.25</v>
      </c>
      <c r="CO18">
        <f>3783510.2</f>
        <v>3783510.2</v>
      </c>
      <c r="CP18">
        <f>3932423.75</f>
        <v>3932423.75</v>
      </c>
      <c r="CQ18">
        <f>3701940.5</f>
        <v>3701940.5</v>
      </c>
      <c r="CR18">
        <f>3443046.75</f>
        <v>3443046.75</v>
      </c>
      <c r="CS18">
        <f>3246269.65</f>
        <v>3246269.65</v>
      </c>
      <c r="CT18">
        <f>3697718.2</f>
        <v>3697718.2</v>
      </c>
      <c r="CU18">
        <f>3686560.5</f>
        <v>3686560.5</v>
      </c>
      <c r="CV18">
        <f>3780337</f>
        <v>3780337</v>
      </c>
      <c r="CW18">
        <f>4200854.7</f>
        <v>4200854.7</v>
      </c>
      <c r="CX18">
        <f>4191747</f>
        <v>4191747</v>
      </c>
      <c r="CY18">
        <f>4610199.7</f>
        <v>4610199.7</v>
      </c>
      <c r="CZ18">
        <f>4405019.3</f>
        <v>4405019.3</v>
      </c>
      <c r="DA18">
        <f>4522571.8</f>
        <v>4522571.8</v>
      </c>
      <c r="DB18">
        <f>4816115.65</f>
        <v>4816115.6500000004</v>
      </c>
      <c r="DC18">
        <f>4542067.35</f>
        <v>4542067.3499999996</v>
      </c>
      <c r="DD18">
        <f>4687585.55</f>
        <v>4687585.55</v>
      </c>
      <c r="DE18">
        <f>4223221.4</f>
        <v>4223221.4000000004</v>
      </c>
      <c r="DF18">
        <f>4251604.85</f>
        <v>4251604.8499999996</v>
      </c>
      <c r="DG18">
        <f>4168059.75</f>
        <v>4168059.75</v>
      </c>
      <c r="DH18">
        <f>4225487</f>
        <v>4225487</v>
      </c>
      <c r="DI18">
        <f>4522769.25</f>
        <v>4522769.25</v>
      </c>
      <c r="DJ18">
        <f>4313633.1</f>
        <v>4313633.0999999996</v>
      </c>
      <c r="DK18">
        <f>4571948.9</f>
        <v>4571948.9000000004</v>
      </c>
      <c r="DL18">
        <f>4360891.4</f>
        <v>4360891.4000000004</v>
      </c>
      <c r="DM18">
        <f>4279195.25</f>
        <v>4279195.25</v>
      </c>
      <c r="DN18">
        <f>4801242.25</f>
        <v>4801242.25</v>
      </c>
      <c r="DO18">
        <f>4349971.1</f>
        <v>4349971.0999999996</v>
      </c>
      <c r="DP18">
        <f>4655106.4</f>
        <v>4655106.4000000004</v>
      </c>
      <c r="DQ18">
        <f>3831778.4</f>
        <v>3831778.4</v>
      </c>
      <c r="DR18">
        <f>4188856.65</f>
        <v>4188856.65</v>
      </c>
      <c r="DS18">
        <f>4280972.3</f>
        <v>4280972.3</v>
      </c>
      <c r="DT18">
        <f>4300730.1</f>
        <v>4300730.0999999996</v>
      </c>
      <c r="DU18">
        <f>4553359.55</f>
        <v>4553359.55</v>
      </c>
      <c r="DV18">
        <f>4233934.8</f>
        <v>4233934.8</v>
      </c>
      <c r="DW18">
        <f>4224982.4</f>
        <v>4224982.4000000004</v>
      </c>
      <c r="DX18">
        <f>3929856.45</f>
        <v>3929856.45</v>
      </c>
      <c r="DY18">
        <f>3414994.1</f>
        <v>3414994.1</v>
      </c>
      <c r="DZ18">
        <f>3273455.7</f>
        <v>3273455.7</v>
      </c>
      <c r="EA18">
        <f>3352805.65</f>
        <v>3352805.65</v>
      </c>
      <c r="EB18">
        <f>3113277.25</f>
        <v>3113277.25</v>
      </c>
      <c r="EC18">
        <f>3295326.95</f>
        <v>3295326.95</v>
      </c>
      <c r="ED18">
        <f>3780931.2</f>
        <v>3780931.2</v>
      </c>
      <c r="EE18">
        <f>3693677.8</f>
        <v>3693677.8</v>
      </c>
      <c r="EF18">
        <f>3602084.75</f>
        <v>3602084.75</v>
      </c>
      <c r="EG18">
        <f>3986119.3</f>
        <v>3986119.3</v>
      </c>
      <c r="EH18">
        <f>3948298.45</f>
        <v>3948298.45</v>
      </c>
      <c r="EI18">
        <f>4146621.05</f>
        <v>4146621.05</v>
      </c>
      <c r="EJ18">
        <f>4067233.85</f>
        <v>4067233.85</v>
      </c>
      <c r="EK18">
        <f>3847666.4</f>
        <v>3847666.4</v>
      </c>
      <c r="EL18">
        <f>3900445.8</f>
        <v>3900445.8</v>
      </c>
      <c r="EM18">
        <f>3789837</f>
        <v>3789837</v>
      </c>
      <c r="EN18">
        <f>3668896.85</f>
        <v>3668896.85</v>
      </c>
      <c r="EO18">
        <f>3403351.55</f>
        <v>3403351.55</v>
      </c>
      <c r="EP18">
        <f>3992860.3</f>
        <v>3992860.3</v>
      </c>
      <c r="EQ18">
        <f>4024231.95</f>
        <v>4024231.95</v>
      </c>
      <c r="ER18">
        <f>3796085.5</f>
        <v>3796085.5</v>
      </c>
      <c r="ES18">
        <f>4222300.15</f>
        <v>4222300.1500000004</v>
      </c>
      <c r="ET18">
        <f>3922321.85</f>
        <v>3922321.85</v>
      </c>
      <c r="EU18">
        <f>3938682.2</f>
        <v>3938682.2</v>
      </c>
      <c r="EV18">
        <f>3960084.2</f>
        <v>3960084.2</v>
      </c>
      <c r="EW18">
        <f>3878718.65</f>
        <v>3878718.65</v>
      </c>
      <c r="EX18">
        <f>3826238.45</f>
        <v>3826238.45</v>
      </c>
      <c r="EY18">
        <f>3547039</f>
        <v>3547039</v>
      </c>
      <c r="EZ18">
        <f>3471319.05</f>
        <v>3471319.05</v>
      </c>
      <c r="FA18">
        <f>3499360.65</f>
        <v>3499360.65</v>
      </c>
      <c r="FB18">
        <f>3616776.5</f>
        <v>3616776.5</v>
      </c>
      <c r="FC18">
        <f>3691122.2</f>
        <v>3691122.2</v>
      </c>
      <c r="FD18">
        <f>3719812.6</f>
        <v>3719812.6</v>
      </c>
      <c r="FE18">
        <f>3809121</f>
        <v>3809121</v>
      </c>
      <c r="FF18">
        <f>3731875.4</f>
        <v>3731875.4</v>
      </c>
      <c r="FG18">
        <f>3835807.65</f>
        <v>3835807.65</v>
      </c>
      <c r="FH18">
        <f>3761829.25</f>
        <v>3761829.25</v>
      </c>
      <c r="FI18">
        <f>3659150.45</f>
        <v>3659150.45</v>
      </c>
      <c r="FJ18">
        <f>3739241.4</f>
        <v>3739241.4</v>
      </c>
      <c r="FK18">
        <f>3428068.8</f>
        <v>3428068.8</v>
      </c>
      <c r="FL18">
        <f>3464736.5</f>
        <v>3464736.5</v>
      </c>
      <c r="FM18">
        <f>3153583.35</f>
        <v>3153583.35</v>
      </c>
      <c r="FN18">
        <f>3577207.15</f>
        <v>3577207.15</v>
      </c>
      <c r="FO18">
        <f>3394612.85</f>
        <v>3394612.85</v>
      </c>
      <c r="FP18">
        <f>3518010.45</f>
        <v>3518010.45</v>
      </c>
      <c r="FQ18">
        <f>3534514.5</f>
        <v>3534514.5</v>
      </c>
    </row>
    <row r="19" spans="1:173" x14ac:dyDescent="0.25">
      <c r="A19" t="str">
        <f>"    Port of Los Angeles (TEU)"</f>
        <v xml:space="preserve">    Port of Los Angeles (TEU)</v>
      </c>
      <c r="B19" t="str">
        <f>""</f>
        <v/>
      </c>
      <c r="E19" t="str">
        <f>"Sum"</f>
        <v>Sum</v>
      </c>
      <c r="F19">
        <f ca="1">IF(ISERROR(IF(SUM($F$20:$F$22) = 0, "", SUM($F$20:$F$22))), "", (IF(SUM($F$20:$F$22) = 0, "", SUM($F$20:$F$22))))</f>
        <v>748440.1</v>
      </c>
      <c r="G19">
        <f ca="1">IF(ISERROR(IF(SUM($G$20:$G$22) = 0, "", SUM($G$20:$G$22))), "", (IF(SUM($G$20:$G$22) = 0, "", SUM($G$20:$G$22))))</f>
        <v>828015.7</v>
      </c>
      <c r="H19">
        <f ca="1">IF(ISERROR(IF(SUM($H$20:$H$22) = 0, "", SUM($H$20:$H$22))), "", (IF(SUM($H$20:$H$22) = 0, "", SUM($H$20:$H$22))))</f>
        <v>684290.75</v>
      </c>
      <c r="I19">
        <f ca="1">IF(ISERROR(IF(SUM($I$20:$I$22) = 0, "", SUM($I$20:$I$22))), "", (IF(SUM($I$20:$I$22) = 0, "", SUM($I$20:$I$22))))</f>
        <v>833035.45</v>
      </c>
      <c r="J19">
        <f ca="1">IF(ISERROR(IF(SUM($J$20:$J$22) = 0, "", SUM($J$20:$J$22))), "", (IF(SUM($J$20:$J$22) = 0, "", SUM($J$20:$J$22))))</f>
        <v>779140</v>
      </c>
      <c r="K19">
        <f ca="1">IF(ISERROR(IF(SUM($K$20:$K$22) = 0, "", SUM($K$20:$K$22))), "", (IF(SUM($K$20:$K$22) = 0, "", SUM($K$20:$K$22))))</f>
        <v>688109.75</v>
      </c>
      <c r="L19">
        <f ca="1">IF(ISERROR(IF(SUM($L$20:$L$22) = 0, "", SUM($L$20:$L$22))), "", (IF(SUM($L$20:$L$22) = 0, "", SUM($L$20:$L$22))))</f>
        <v>623233.75</v>
      </c>
      <c r="M19">
        <f ca="1">IF(ISERROR(IF(SUM($M$20:$M$22) = 0, "", SUM($M$20:$M$22))), "", (IF(SUM($M$20:$M$22) = 0, "", SUM($M$20:$M$22))))</f>
        <v>487846.15</v>
      </c>
      <c r="N19">
        <f ca="1">IF(ISERROR(IF(SUM($N$20:$N$22) = 0, "", SUM($N$20:$N$22))), "", (IF(SUM($N$20:$N$22) = 0, "", SUM($N$20:$N$22))))</f>
        <v>726013.95</v>
      </c>
      <c r="O19">
        <f ca="1">IF(ISERROR(IF(SUM($O$20:$O$22) = 0, "", SUM($O$20:$O$22))), "", (IF(SUM($O$20:$O$22) = 0, "", SUM($O$20:$O$22))))</f>
        <v>728871.5</v>
      </c>
      <c r="P19">
        <f ca="1">IF(ISERROR(IF(SUM($P$20:$P$22) = 0, "", SUM($P$20:$P$22))), "", (IF(SUM($P$20:$P$22) = 0, "", SUM($P$20:$P$22))))</f>
        <v>639343.5</v>
      </c>
      <c r="Q19">
        <f ca="1">IF(ISERROR(IF(SUM($Q$20:$Q$22) = 0, "", SUM($Q$20:$Q$22))), "", (IF(SUM($Q$20:$Q$22) = 0, "", SUM($Q$20:$Q$22))))</f>
        <v>678429.45</v>
      </c>
      <c r="R19">
        <f ca="1">IF(ISERROR(IF(SUM($R$20:$R$22) = 0, "", SUM($R$20:$R$22))), "", (IF(SUM($R$20:$R$22) = 0, "", SUM($R$20:$R$22))))</f>
        <v>709873.3</v>
      </c>
      <c r="S19">
        <f ca="1">IF(ISERROR(IF(SUM($S$20:$S$22) = 0, "", SUM($S$20:$S$22))), "", (IF(SUM($S$20:$S$22) = 0, "", SUM($S$20:$S$22))))</f>
        <v>805314.7</v>
      </c>
      <c r="T19">
        <f ca="1">IF(ISERROR(IF(SUM($T$20:$T$22) = 0, "", SUM($T$20:$T$22))), "", (IF(SUM($T$20:$T$22) = 0, "", SUM($T$20:$T$22))))</f>
        <v>935423.8</v>
      </c>
      <c r="U19">
        <f ca="1">IF(ISERROR(IF(SUM($U$20:$U$22) = 0, "", SUM($U$20:$U$22))), "", (IF(SUM($U$20:$U$22) = 0, "", SUM($U$20:$U$22))))</f>
        <v>876611.3</v>
      </c>
      <c r="V19">
        <f ca="1">IF(ISERROR(IF(SUM($V$20:$V$22) = 0, "", SUM($V$20:$V$22))), "", (IF(SUM($V$20:$V$22) = 0, "", SUM($V$20:$V$22))))</f>
        <v>967900.15</v>
      </c>
      <c r="W19">
        <f ca="1">IF(ISERROR(IF(SUM($W$20:$W$22) = 0, "", SUM($W$20:$W$22))), "", (IF(SUM($W$20:$W$22) = 0, "", SUM($W$20:$W$22))))</f>
        <v>887357.35000000009</v>
      </c>
      <c r="X19">
        <f ca="1">IF(ISERROR(IF(SUM($X$20:$X$22) = 0, "", SUM($X$20:$X$22))), "", (IF(SUM($X$20:$X$22) = 0, "", SUM($X$20:$X$22))))</f>
        <v>958674.05</v>
      </c>
      <c r="Y19">
        <f ca="1">IF(ISERROR(IF(SUM($Y$20:$Y$22) = 0, "", SUM($Y$20:$Y$22))), "", (IF(SUM($Y$20:$Y$22) = 0, "", SUM($Y$20:$Y$22))))</f>
        <v>857764.39999999991</v>
      </c>
      <c r="Z19">
        <f ca="1">IF(ISERROR(IF(SUM($Z$20:$Z$22) = 0, "", SUM($Z$20:$Z$22))), "", (IF(SUM($Z$20:$Z$22) = 0, "", SUM($Z$20:$Z$22))))</f>
        <v>865595.35</v>
      </c>
      <c r="AA19">
        <f ca="1">IF(ISERROR(IF(SUM($AA$20:$AA$22) = 0, "", SUM($AA$20:$AA$22))), "", (IF(SUM($AA$20:$AA$22) = 0, "", SUM($AA$20:$AA$22))))</f>
        <v>786588.75</v>
      </c>
      <c r="AB19">
        <f ca="1">IF(ISERROR(IF(SUM($AB$20:$AB$22) = 0, "", SUM($AB$20:$AB$22))), "", (IF(SUM($AB$20:$AB$22) = 0, "", SUM($AB$20:$AB$22))))</f>
        <v>811459.9</v>
      </c>
      <c r="AC19">
        <f ca="1">IF(ISERROR(IF(SUM($AC$20:$AC$22) = 0, "", SUM($AC$20:$AC$22))), "", (IF(SUM($AC$20:$AC$22) = 0, "", SUM($AC$20:$AC$22))))</f>
        <v>902643.9</v>
      </c>
      <c r="AD19">
        <f ca="1">IF(ISERROR(IF(SUM($AD$20:$AD$22) = 0, "", SUM($AD$20:$AD$22))), "", (IF(SUM($AD$20:$AD$22) = 0, "", SUM($AD$20:$AD$22))))</f>
        <v>903864.60000000009</v>
      </c>
      <c r="AE19">
        <f ca="1">IF(ISERROR(IF(SUM($AE$20:$AE$22) = 0, "", SUM($AE$20:$AE$22))), "", (IF(SUM($AE$20:$AE$22) = 0, "", SUM($AE$20:$AE$22))))</f>
        <v>954377.35000000009</v>
      </c>
      <c r="AF19">
        <f ca="1">IF(ISERROR(IF(SUM($AF$20:$AF$22) = 0, "", SUM($AF$20:$AF$22))), "", (IF(SUM($AF$20:$AF$22) = 0, "", SUM($AF$20:$AF$22))))</f>
        <v>890799.8</v>
      </c>
      <c r="AG19">
        <f ca="1">IF(ISERROR(IF(SUM($AG$20:$AG$22) = 0, "", SUM($AG$20:$AG$22))), "", (IF(SUM($AG$20:$AG$22) = 0, "", SUM($AG$20:$AG$22))))</f>
        <v>876430.35</v>
      </c>
      <c r="AH19">
        <f ca="1">IF(ISERROR(IF(SUM($AH$20:$AH$22) = 0, "", SUM($AH$20:$AH$22))), "", (IF(SUM($AH$20:$AH$22) = 0, "", SUM($AH$20:$AH$22))))</f>
        <v>1012047.85</v>
      </c>
      <c r="AI19">
        <f ca="1">IF(ISERROR(IF(SUM($AI$20:$AI$22) = 0, "", SUM($AI$20:$AI$22))), "", (IF(SUM($AI$20:$AI$22) = 0, "", SUM($AI$20:$AI$22))))</f>
        <v>946966.35</v>
      </c>
      <c r="AJ19">
        <f ca="1">IF(ISERROR(IF(SUM($AJ$20:$AJ$22) = 0, "", SUM($AJ$20:$AJ$22))), "", (IF(SUM($AJ$20:$AJ$22) = 0, "", SUM($AJ$20:$AJ$22))))</f>
        <v>957599.25</v>
      </c>
      <c r="AK19">
        <f ca="1">IF(ISERROR(IF(SUM($AK$20:$AK$22) = 0, "", SUM($AK$20:$AK$22))), "", (IF(SUM($AK$20:$AK$22) = 0, "", SUM($AK$20:$AK$22))))</f>
        <v>799315.4</v>
      </c>
      <c r="AL19">
        <f ca="1">IF(ISERROR(IF(SUM($AL$20:$AL$22) = 0, "", SUM($AL$20:$AL$22))), "", (IF(SUM($AL$20:$AL$22) = 0, "", SUM($AL$20:$AL$22))))</f>
        <v>835516.2</v>
      </c>
      <c r="AM19">
        <f ca="1">IF(ISERROR(IF(SUM($AM$20:$AM$22) = 0, "", SUM($AM$20:$AM$22))), "", (IF(SUM($AM$20:$AM$22) = 0, "", SUM($AM$20:$AM$22))))</f>
        <v>879186.05</v>
      </c>
      <c r="AN19">
        <f ca="1">IF(ISERROR(IF(SUM($AN$20:$AN$22) = 0, "", SUM($AN$20:$AN$22))), "", (IF(SUM($AN$20:$AN$22) = 0, "", SUM($AN$20:$AN$22))))</f>
        <v>889746.14999999991</v>
      </c>
      <c r="AO19">
        <f ca="1">IF(ISERROR(IF(SUM($AO$20:$AO$22) = 0, "", SUM($AO$20:$AO$22))), "", (IF(SUM($AO$20:$AO$22) = 0, "", SUM($AO$20:$AO$22))))</f>
        <v>980728.54999999993</v>
      </c>
      <c r="AP19">
        <f ca="1">IF(ISERROR(IF(SUM($AP$20:$AP$22) = 0, "", SUM($AP$20:$AP$22))), "", (IF(SUM($AP$20:$AP$22) = 0, "", SUM($AP$20:$AP$22))))</f>
        <v>883624.8</v>
      </c>
      <c r="AQ19">
        <f ca="1">IF(ISERROR(IF(SUM($AQ$20:$AQ$22) = 0, "", SUM($AQ$20:$AQ$22))), "", (IF(SUM($AQ$20:$AQ$22) = 0, "", SUM($AQ$20:$AQ$22))))</f>
        <v>961832.75</v>
      </c>
      <c r="AR19">
        <f ca="1">IF(ISERROR(IF(SUM($AR$20:$AR$22) = 0, "", SUM($AR$20:$AR$22))), "", (IF(SUM($AR$20:$AR$22) = 0, "", SUM($AR$20:$AR$22))))</f>
        <v>856389.15</v>
      </c>
      <c r="AS19">
        <f ca="1">IF(ISERROR(IF(SUM($AS$20:$AS$22) = 0, "", SUM($AS$20:$AS$22))), "", (IF(SUM($AS$20:$AS$22) = 0, "", SUM($AS$20:$AS$22))))</f>
        <v>691475.4</v>
      </c>
      <c r="AT19">
        <f ca="1">IF(ISERROR(IF(SUM($AT$20:$AT$22) = 0, "", SUM($AT$20:$AT$22))), "", (IF(SUM($AT$20:$AT$22) = 0, "", SUM($AT$20:$AT$22))))</f>
        <v>581664.75</v>
      </c>
      <c r="AU19">
        <f ca="1">IF(ISERROR(IF(SUM($AU$20:$AU$22) = 0, "", SUM($AU$20:$AU$22))), "", (IF(SUM($AU$20:$AU$22) = 0, "", SUM($AU$20:$AU$22))))</f>
        <v>688999</v>
      </c>
      <c r="AV19">
        <f ca="1">IF(ISERROR(IF(SUM($AV$20:$AV$22) = 0, "", SUM($AV$20:$AV$22))), "", (IF(SUM($AV$20:$AV$22) = 0, "", SUM($AV$20:$AV$22))))</f>
        <v>449568.3</v>
      </c>
      <c r="AW19">
        <f ca="1">IF(ISERROR(IF(SUM($AW$20:$AW$22) = 0, "", SUM($AW$20:$AW$22))), "", (IF(SUM($AW$20:$AW$22) = 0, "", SUM($AW$20:$AW$22))))</f>
        <v>544037.30000000005</v>
      </c>
      <c r="AX19">
        <f ca="1">IF(ISERROR(IF(SUM($AX$20:$AX$22) = 0, "", SUM($AX$20:$AX$22))), "", (IF(SUM($AX$20:$AX$22) = 0, "", SUM($AX$20:$AX$22))))</f>
        <v>806143.75</v>
      </c>
      <c r="AY19">
        <f ca="1">IF(ISERROR(IF(SUM($AY$20:$AY$22) = 0, "", SUM($AY$20:$AY$22))), "", (IF(SUM($AY$20:$AY$22) = 0, "", SUM($AY$20:$AY$22))))</f>
        <v>746749.75</v>
      </c>
      <c r="AZ19">
        <f ca="1">IF(ISERROR(IF(SUM($AZ$20:$AZ$22) = 0, "", SUM($AZ$20:$AZ$22))), "", (IF(SUM($AZ$20:$AZ$22) = 0, "", SUM($AZ$20:$AZ$22))))</f>
        <v>728917.9</v>
      </c>
      <c r="BA19">
        <f ca="1">IF(ISERROR(IF(SUM($BA$20:$BA$22) = 0, "", SUM($BA$20:$BA$22))), "", (IF(SUM($BA$20:$BA$22) = 0, "", SUM($BA$20:$BA$22))))</f>
        <v>770188.5</v>
      </c>
      <c r="BB19">
        <f ca="1">IF(ISERROR(IF(SUM($BB$20:$BB$22) = 0, "", SUM($BB$20:$BB$22))), "", (IF(SUM($BB$20:$BB$22) = 0, "", SUM($BB$20:$BB$22))))</f>
        <v>779902.75</v>
      </c>
      <c r="BC19">
        <f ca="1">IF(ISERROR(IF(SUM($BC$20:$BC$22) = 0, "", SUM($BC$20:$BC$22))), "", (IF(SUM($BC$20:$BC$22) = 0, "", SUM($BC$20:$BC$22))))</f>
        <v>861080.8</v>
      </c>
      <c r="BD19">
        <f ca="1">IF(ISERROR(IF(SUM($BD$20:$BD$22) = 0, "", SUM($BD$20:$BD$22))), "", (IF(SUM($BD$20:$BD$22) = 0, "", SUM($BD$20:$BD$22))))</f>
        <v>912154.14999999991</v>
      </c>
      <c r="BE19">
        <f ca="1">IF(ISERROR(IF(SUM($BE$20:$BE$22) = 0, "", SUM($BE$20:$BE$22))), "", (IF(SUM($BE$20:$BE$22) = 0, "", SUM($BE$20:$BE$22))))</f>
        <v>764777.25</v>
      </c>
      <c r="BF19">
        <f ca="1">IF(ISERROR(IF(SUM($BF$20:$BF$22) = 0, "", SUM($BF$20:$BF$22))), "", (IF(SUM($BF$20:$BF$22) = 0, "", SUM($BF$20:$BF$22))))</f>
        <v>828662.15</v>
      </c>
      <c r="BG19">
        <f ca="1">IF(ISERROR(IF(SUM($BG$20:$BG$22) = 0, "", SUM($BG$20:$BG$22))), "", (IF(SUM($BG$20:$BG$22) = 0, "", SUM($BG$20:$BG$22))))</f>
        <v>736465.95</v>
      </c>
      <c r="BH19">
        <f ca="1">IF(ISERROR(IF(SUM($BH$20:$BH$22) = 0, "", SUM($BH$20:$BH$22))), "", (IF(SUM($BH$20:$BH$22) = 0, "", SUM($BH$20:$BH$22))))</f>
        <v>650977.15</v>
      </c>
      <c r="BI19">
        <f ca="1">IF(ISERROR(IF(SUM($BI$20:$BI$22) = 0, "", SUM($BI$20:$BI$22))), "", (IF(SUM($BI$20:$BI$22) = 0, "", SUM($BI$20:$BI$22))))</f>
        <v>705306.55</v>
      </c>
      <c r="BJ19">
        <f ca="1">IF(ISERROR(IF(SUM($BJ$20:$BJ$22) = 0, "", SUM($BJ$20:$BJ$22))), "", (IF(SUM($BJ$20:$BJ$22) = 0, "", SUM($BJ$20:$BJ$22))))</f>
        <v>852449.5</v>
      </c>
      <c r="BK19">
        <f ca="1">IF(ISERROR(IF(SUM($BK$20:$BK$22) = 0, "", SUM($BK$20:$BK$22))), "", (IF(SUM($BK$20:$BK$22) = 0, "", SUM($BK$20:$BK$22))))</f>
        <v>903258.15</v>
      </c>
      <c r="BL19">
        <f ca="1">IF(ISERROR(IF(SUM($BL$20:$BL$22) = 0, "", SUM($BL$20:$BL$22))), "", (IF(SUM($BL$20:$BL$22) = 0, "", SUM($BL$20:$BL$22))))</f>
        <v>832330.9</v>
      </c>
      <c r="BM19">
        <f ca="1">IF(ISERROR(IF(SUM($BM$20:$BM$22) = 0, "", SUM($BM$20:$BM$22))), "", (IF(SUM($BM$20:$BM$22) = 0, "", SUM($BM$20:$BM$22))))</f>
        <v>952553.75</v>
      </c>
      <c r="BN19">
        <f ca="1">IF(ISERROR(IF(SUM($BN$20:$BN$22) = 0, "", SUM($BN$20:$BN$22))), "", (IF(SUM($BN$20:$BN$22) = 0, "", SUM($BN$20:$BN$22))))</f>
        <v>801264.15</v>
      </c>
      <c r="BO19">
        <f ca="1">IF(ISERROR(IF(SUM($BO$20:$BO$22) = 0, "", SUM($BO$20:$BO$22))), "", (IF(SUM($BO$20:$BO$22) = 0, "", SUM($BO$20:$BO$22))))</f>
        <v>826638.4</v>
      </c>
      <c r="BP19">
        <f ca="1">IF(ISERROR(IF(SUM($BP$20:$BP$22) = 0, "", SUM($BP$20:$BP$22))), "", (IF(SUM($BP$20:$BP$22) = 0, "", SUM($BP$20:$BP$22))))</f>
        <v>833567.85000000009</v>
      </c>
      <c r="BQ19">
        <f ca="1">IF(ISERROR(IF(SUM($BQ$20:$BQ$22) = 0, "", SUM($BQ$20:$BQ$22))), "", (IF(SUM($BQ$20:$BQ$22) = 0, "", SUM($BQ$20:$BQ$22))))</f>
        <v>723141.15</v>
      </c>
      <c r="BR19">
        <f ca="1">IF(ISERROR(IF(SUM($BR$20:$BR$22) = 0, "", SUM($BR$20:$BR$22))), "", (IF(SUM($BR$20:$BR$22) = 0, "", SUM($BR$20:$BR$22))))</f>
        <v>768804.35000000009</v>
      </c>
      <c r="BS19">
        <f ca="1">IF(ISERROR(IF(SUM($BS$20:$BS$22) = 0, "", SUM($BS$20:$BS$22))), "", (IF(SUM($BS$20:$BS$22) = 0, "", SUM($BS$20:$BS$22))))</f>
        <v>705535.95</v>
      </c>
      <c r="BT19">
        <f ca="1">IF(ISERROR(IF(SUM($BT$20:$BT$22) = 0, "", SUM($BT$20:$BT$22))), "", (IF(SUM($BT$20:$BT$22) = 0, "", SUM($BT$20:$BT$22))))</f>
        <v>577865.89999999991</v>
      </c>
      <c r="BU19">
        <f ca="1">IF(ISERROR(IF(SUM($BU$20:$BU$22) = 0, "", SUM($BU$20:$BU$22))), "", (IF(SUM($BU$20:$BU$22) = 0, "", SUM($BU$20:$BU$22))))</f>
        <v>725059.45000000007</v>
      </c>
      <c r="BV19">
        <f ca="1">IF(ISERROR(IF(SUM($BV$20:$BV$22) = 0, "", SUM($BV$20:$BV$22))), "", (IF(SUM($BV$20:$BV$22) = 0, "", SUM($BV$20:$BV$22))))</f>
        <v>808728.5</v>
      </c>
      <c r="BW19">
        <f ca="1">IF(ISERROR(IF(SUM($BW$20:$BW$22) = 0, "", SUM($BW$20:$BW$22))), "", (IF(SUM($BW$20:$BW$22) = 0, "", SUM($BW$20:$BW$22))))</f>
        <v>779210.95000000007</v>
      </c>
      <c r="BX19">
        <f ca="1">IF(ISERROR(IF(SUM($BX$20:$BX$22) = 0, "", SUM($BX$20:$BX$22))), "", (IF(SUM($BX$20:$BX$22) = 0, "", SUM($BX$20:$BX$22))))</f>
        <v>924225.75</v>
      </c>
      <c r="BY19">
        <f ca="1">IF(ISERROR(IF(SUM($BY$20:$BY$22) = 0, "", SUM($BY$20:$BY$22))), "", (IF(SUM($BY$20:$BY$22) = 0, "", SUM($BY$20:$BY$22))))</f>
        <v>748762.2</v>
      </c>
      <c r="BZ19">
        <f ca="1">IF(ISERROR(IF(SUM($BZ$20:$BZ$22) = 0, "", SUM($BZ$20:$BZ$22))), "", (IF(SUM($BZ$20:$BZ$22) = 0, "", SUM($BZ$20:$BZ$22))))</f>
        <v>763784.5</v>
      </c>
      <c r="CA19">
        <f ca="1">IF(ISERROR(IF(SUM($CA$20:$CA$22) = 0, "", SUM($CA$20:$CA$22))), "", (IF(SUM($CA$20:$CA$22) = 0, "", SUM($CA$20:$CA$22))))</f>
        <v>847857.05</v>
      </c>
      <c r="CB19">
        <f ca="1">IF(ISERROR(IF(SUM($CB$20:$CB$22) = 0, "", SUM($CB$20:$CB$22))), "", (IF(SUM($CB$20:$CB$22) = 0, "", SUM($CB$20:$CB$22))))</f>
        <v>796804</v>
      </c>
      <c r="CC19">
        <f ca="1">IF(ISERROR(IF(SUM($CC$20:$CC$22) = 0, "", SUM($CC$20:$CC$22))), "", (IF(SUM($CC$20:$CC$22) = 0, "", SUM($CC$20:$CC$22))))</f>
        <v>731032.35</v>
      </c>
      <c r="CD19">
        <f ca="1">IF(ISERROR(IF(SUM($CD$20:$CD$22) = 0, "", SUM($CD$20:$CD$22))), "", (IF(SUM($CD$20:$CD$22) = 0, "", SUM($CD$20:$CD$22))))</f>
        <v>796216.70000000007</v>
      </c>
      <c r="CE19">
        <f ca="1">IF(ISERROR(IF(SUM($CE$20:$CE$22) = 0, "", SUM($CE$20:$CE$22))), "", (IF(SUM($CE$20:$CE$22) = 0, "", SUM($CE$20:$CE$22))))</f>
        <v>714755.05</v>
      </c>
      <c r="CF19">
        <f ca="1">IF(ISERROR(IF(SUM($CF$20:$CF$22) = 0, "", SUM($CF$20:$CF$22))), "", (IF(SUM($CF$20:$CF$22) = 0, "", SUM($CF$20:$CF$22))))</f>
        <v>788523.7</v>
      </c>
      <c r="CG19">
        <f ca="1">IF(ISERROR(IF(SUM($CG$20:$CG$22) = 0, "", SUM($CG$20:$CG$22))), "", (IF(SUM($CG$20:$CG$22) = 0, "", SUM($CG$20:$CG$22))))</f>
        <v>625381.14999999991</v>
      </c>
      <c r="CH19">
        <f ca="1">IF(ISERROR(IF(SUM($CH$20:$CH$22) = 0, "", SUM($CH$20:$CH$22))), "", (IF(SUM($CH$20:$CH$22) = 0, "", SUM($CH$20:$CH$22))))</f>
        <v>826639.54999999993</v>
      </c>
      <c r="CI19">
        <f ca="1">IF(ISERROR(IF(SUM($CI$20:$CI$22) = 0, "", SUM($CI$20:$CI$22))), "", (IF(SUM($CI$20:$CI$22) = 0, "", SUM($CI$20:$CI$22))))</f>
        <v>796536.6</v>
      </c>
      <c r="CJ19">
        <f ca="1">IF(ISERROR(IF(SUM($CJ$20:$CJ$22) = 0, "", SUM($CJ$20:$CJ$22))), "", (IF(SUM($CJ$20:$CJ$22) = 0, "", SUM($CJ$20:$CJ$22))))</f>
        <v>877564.2</v>
      </c>
      <c r="CK19">
        <f ca="1">IF(ISERROR(IF(SUM($CK$20:$CK$22) = 0, "", SUM($CK$20:$CK$22))), "", (IF(SUM($CK$20:$CK$22) = 0, "", SUM($CK$20:$CK$22))))</f>
        <v>814574.5</v>
      </c>
      <c r="CL19">
        <f>748440.1</f>
        <v>748440.1</v>
      </c>
      <c r="CM19">
        <f>828015.7</f>
        <v>828015.7</v>
      </c>
      <c r="CN19">
        <f>684290.75</f>
        <v>684290.75</v>
      </c>
      <c r="CO19">
        <f>833035.45</f>
        <v>833035.45</v>
      </c>
      <c r="CP19">
        <f>779140</f>
        <v>779140</v>
      </c>
      <c r="CQ19">
        <f>688109.75</f>
        <v>688109.75</v>
      </c>
      <c r="CR19">
        <f>623233.75</f>
        <v>623233.75</v>
      </c>
      <c r="CS19">
        <f>487846.15</f>
        <v>487846.15</v>
      </c>
      <c r="CT19">
        <f>726013.95</f>
        <v>726013.95</v>
      </c>
      <c r="CU19">
        <f>728871.5</f>
        <v>728871.5</v>
      </c>
      <c r="CV19">
        <f>639343.5</f>
        <v>639343.5</v>
      </c>
      <c r="CW19">
        <f>678429.45</f>
        <v>678429.45</v>
      </c>
      <c r="CX19">
        <f>709873.3</f>
        <v>709873.3</v>
      </c>
      <c r="CY19">
        <f>805314.7</f>
        <v>805314.7</v>
      </c>
      <c r="CZ19">
        <f>935423.8</f>
        <v>935423.8</v>
      </c>
      <c r="DA19">
        <f>876611.3</f>
        <v>876611.3</v>
      </c>
      <c r="DB19">
        <f>967900.15</f>
        <v>967900.15</v>
      </c>
      <c r="DC19">
        <f>887357.35</f>
        <v>887357.35</v>
      </c>
      <c r="DD19">
        <f>958674.05</f>
        <v>958674.05</v>
      </c>
      <c r="DE19">
        <f>857764.4</f>
        <v>857764.4</v>
      </c>
      <c r="DF19">
        <f>865595.35</f>
        <v>865595.35</v>
      </c>
      <c r="DG19">
        <f>786588.75</f>
        <v>786588.75</v>
      </c>
      <c r="DH19">
        <f>811459.9</f>
        <v>811459.9</v>
      </c>
      <c r="DI19">
        <f>902643.9</f>
        <v>902643.9</v>
      </c>
      <c r="DJ19">
        <f>903864.6</f>
        <v>903864.6</v>
      </c>
      <c r="DK19">
        <f>954377.35</f>
        <v>954377.35</v>
      </c>
      <c r="DL19">
        <f>890799.8</f>
        <v>890799.8</v>
      </c>
      <c r="DM19">
        <f>876430.35</f>
        <v>876430.35</v>
      </c>
      <c r="DN19">
        <f>1012047.85</f>
        <v>1012047.85</v>
      </c>
      <c r="DO19">
        <f>946966.35</f>
        <v>946966.35</v>
      </c>
      <c r="DP19">
        <f>957599.25</f>
        <v>957599.25</v>
      </c>
      <c r="DQ19">
        <f>799315.4</f>
        <v>799315.4</v>
      </c>
      <c r="DR19">
        <f>835516.2</f>
        <v>835516.2</v>
      </c>
      <c r="DS19">
        <f>879186.05</f>
        <v>879186.05</v>
      </c>
      <c r="DT19">
        <f>889746.15</f>
        <v>889746.15</v>
      </c>
      <c r="DU19">
        <f>980728.55</f>
        <v>980728.55</v>
      </c>
      <c r="DV19">
        <f>883624.8</f>
        <v>883624.8</v>
      </c>
      <c r="DW19">
        <f>961832.75</f>
        <v>961832.75</v>
      </c>
      <c r="DX19">
        <f>856389.15</f>
        <v>856389.15</v>
      </c>
      <c r="DY19">
        <f>691475.4</f>
        <v>691475.4</v>
      </c>
      <c r="DZ19">
        <f>581664.75</f>
        <v>581664.75</v>
      </c>
      <c r="EA19">
        <f>688999</f>
        <v>688999</v>
      </c>
      <c r="EB19">
        <f>449568.3</f>
        <v>449568.3</v>
      </c>
      <c r="EC19">
        <f>544037.3</f>
        <v>544037.30000000005</v>
      </c>
      <c r="ED19">
        <f>806143.75</f>
        <v>806143.75</v>
      </c>
      <c r="EE19">
        <f>746749.75</f>
        <v>746749.75</v>
      </c>
      <c r="EF19">
        <f>728917.9</f>
        <v>728917.9</v>
      </c>
      <c r="EG19">
        <f>770188.5</f>
        <v>770188.5</v>
      </c>
      <c r="EH19">
        <f>779902.75</f>
        <v>779902.75</v>
      </c>
      <c r="EI19">
        <f>861080.8</f>
        <v>861080.8</v>
      </c>
      <c r="EJ19">
        <f>912154.15</f>
        <v>912154.15</v>
      </c>
      <c r="EK19">
        <f>764777.25</f>
        <v>764777.25</v>
      </c>
      <c r="EL19">
        <f>828662.15</f>
        <v>828662.15</v>
      </c>
      <c r="EM19">
        <f>736465.95</f>
        <v>736465.95</v>
      </c>
      <c r="EN19">
        <f>650977.15</f>
        <v>650977.15</v>
      </c>
      <c r="EO19">
        <f>705306.55</f>
        <v>705306.55</v>
      </c>
      <c r="EP19">
        <f>852449.5</f>
        <v>852449.5</v>
      </c>
      <c r="EQ19">
        <f>903258.15</f>
        <v>903258.15</v>
      </c>
      <c r="ER19">
        <f>832330.9</f>
        <v>832330.9</v>
      </c>
      <c r="ES19">
        <f>952553.75</f>
        <v>952553.75</v>
      </c>
      <c r="ET19">
        <f>801264.15</f>
        <v>801264.15</v>
      </c>
      <c r="EU19">
        <f>826638.4</f>
        <v>826638.4</v>
      </c>
      <c r="EV19">
        <f>833567.85</f>
        <v>833567.85</v>
      </c>
      <c r="EW19">
        <f>723141.15</f>
        <v>723141.15</v>
      </c>
      <c r="EX19">
        <f>768804.35</f>
        <v>768804.35</v>
      </c>
      <c r="EY19">
        <f>705535.95</f>
        <v>705535.95</v>
      </c>
      <c r="EZ19">
        <f>577865.9</f>
        <v>577865.9</v>
      </c>
      <c r="FA19">
        <f>725059.45</f>
        <v>725059.45</v>
      </c>
      <c r="FB19">
        <f>808728.5</f>
        <v>808728.5</v>
      </c>
      <c r="FC19">
        <f>779210.95</f>
        <v>779210.95</v>
      </c>
      <c r="FD19">
        <f>924225.75</f>
        <v>924225.75</v>
      </c>
      <c r="FE19">
        <f>748762.2</f>
        <v>748762.2</v>
      </c>
      <c r="FF19">
        <f>763784.5</f>
        <v>763784.5</v>
      </c>
      <c r="FG19">
        <f>847857.05</f>
        <v>847857.05</v>
      </c>
      <c r="FH19">
        <f>796804</f>
        <v>796804</v>
      </c>
      <c r="FI19">
        <f>731032.35</f>
        <v>731032.35</v>
      </c>
      <c r="FJ19">
        <f>796216.7</f>
        <v>796216.7</v>
      </c>
      <c r="FK19">
        <f>714755.05</f>
        <v>714755.05</v>
      </c>
      <c r="FL19">
        <f>788523.7</f>
        <v>788523.7</v>
      </c>
      <c r="FM19">
        <f>625381.15</f>
        <v>625381.15</v>
      </c>
      <c r="FN19">
        <f>826639.55</f>
        <v>826639.55</v>
      </c>
      <c r="FO19">
        <f>796536.6</f>
        <v>796536.6</v>
      </c>
      <c r="FP19">
        <f>877564.2</f>
        <v>877564.2</v>
      </c>
      <c r="FQ19">
        <f>814574.5</f>
        <v>814574.5</v>
      </c>
    </row>
    <row r="20" spans="1:173" x14ac:dyDescent="0.25">
      <c r="A20" t="str">
        <f>"        Loaded Container Imports (TEU)"</f>
        <v xml:space="preserve">        Loaded Container Imports (TEU)</v>
      </c>
      <c r="B20" t="str">
        <f>"LALBLAIM Index"</f>
        <v>LALBLAIM Index</v>
      </c>
      <c r="C20" t="str">
        <f>"PX385"</f>
        <v>PX385</v>
      </c>
      <c r="D20" t="str">
        <f>"INTERVAL_SUM"</f>
        <v>INTERVAL_SUM</v>
      </c>
      <c r="E20" t="str">
        <f>"Dynamic"</f>
        <v>Dynamic</v>
      </c>
      <c r="F20">
        <f ca="1">IF(AND(ISNUMBER($F$62),$B$51=1),$F$62,HLOOKUP(INDIRECT(ADDRESS(2,COLUMN())),OFFSET($CL$2,0,0,ROW()-1,84),ROW()-1,FALSE))</f>
        <v>392608.35</v>
      </c>
      <c r="G20">
        <f ca="1">IF(AND(ISNUMBER($G$62),$B$51=1),$G$62,HLOOKUP(INDIRECT(ADDRESS(2,COLUMN())),OFFSET($CL$2,0,0,ROW()-1,84),ROW()-1,FALSE))</f>
        <v>433224.25</v>
      </c>
      <c r="H20">
        <f ca="1">IF(AND(ISNUMBER($H$62),$B$51=1),$H$62,HLOOKUP(INDIRECT(ADDRESS(2,COLUMN())),OFFSET($CL$2,0,0,ROW()-1,84),ROW()-1,FALSE))</f>
        <v>364208.3</v>
      </c>
      <c r="I20">
        <f ca="1">IF(AND(ISNUMBER($I$62),$B$51=1),$I$62,HLOOKUP(INDIRECT(ADDRESS(2,COLUMN())),OFFSET($CL$2,0,0,ROW()-1,84),ROW()-1,FALSE))</f>
        <v>435306.65</v>
      </c>
      <c r="J20">
        <f ca="1">IF(AND(ISNUMBER($J$62),$B$51=1),$J$62,HLOOKUP(INDIRECT(ADDRESS(2,COLUMN())),OFFSET($CL$2,0,0,ROW()-1,84),ROW()-1,FALSE))</f>
        <v>409150</v>
      </c>
      <c r="K20">
        <f ca="1">IF(AND(ISNUMBER($K$62),$B$51=1),$K$62,HLOOKUP(INDIRECT(ADDRESS(2,COLUMN())),OFFSET($CL$2,0,0,ROW()-1,84),ROW()-1,FALSE))</f>
        <v>343688.5</v>
      </c>
      <c r="L20">
        <f ca="1">IF(AND(ISNUMBER($L$62),$B$51=1),$L$62,HLOOKUP(INDIRECT(ADDRESS(2,COLUMN())),OFFSET($CL$2,0,0,ROW()-1,84),ROW()-1,FALSE))</f>
        <v>319961.95</v>
      </c>
      <c r="M20">
        <f ca="1">IF(AND(ISNUMBER($M$62),$B$51=1),$M$62,HLOOKUP(INDIRECT(ADDRESS(2,COLUMN())),OFFSET($CL$2,0,0,ROW()-1,84),ROW()-1,FALSE))</f>
        <v>249407.45</v>
      </c>
      <c r="N20">
        <f ca="1">IF(AND(ISNUMBER($N$62),$B$51=1),$N$62,HLOOKUP(INDIRECT(ADDRESS(2,COLUMN())),OFFSET($CL$2,0,0,ROW()-1,84),ROW()-1,FALSE))</f>
        <v>372040</v>
      </c>
      <c r="O20">
        <f ca="1">IF(AND(ISNUMBER($O$62),$B$51=1),$O$62,HLOOKUP(INDIRECT(ADDRESS(2,COLUMN())),OFFSET($CL$2,0,0,ROW()-1,84),ROW()-1,FALSE))</f>
        <v>352046.35</v>
      </c>
      <c r="P20">
        <f ca="1">IF(AND(ISNUMBER($P$62),$B$51=1),$P$62,HLOOKUP(INDIRECT(ADDRESS(2,COLUMN())),OFFSET($CL$2,0,0,ROW()-1,84),ROW()-1,FALSE))</f>
        <v>307079.8</v>
      </c>
      <c r="Q20">
        <f ca="1">IF(AND(ISNUMBER($Q$62),$B$51=1),$Q$62,HLOOKUP(INDIRECT(ADDRESS(2,COLUMN())),OFFSET($CL$2,0,0,ROW()-1,84),ROW()-1,FALSE))</f>
        <v>336306.9</v>
      </c>
      <c r="R20">
        <f ca="1">IF(AND(ISNUMBER($R$62),$B$51=1),$R$62,HLOOKUP(INDIRECT(ADDRESS(2,COLUMN())),OFFSET($CL$2,0,0,ROW()-1,84),ROW()-1,FALSE))</f>
        <v>343461.65</v>
      </c>
      <c r="S20">
        <f ca="1">IF(AND(ISNUMBER($S$62),$B$51=1),$S$62,HLOOKUP(INDIRECT(ADDRESS(2,COLUMN())),OFFSET($CL$2,0,0,ROW()-1,84),ROW()-1,FALSE))</f>
        <v>403601.95</v>
      </c>
      <c r="T20">
        <f ca="1">IF(AND(ISNUMBER($T$62),$B$51=1),$T$62,HLOOKUP(INDIRECT(ADDRESS(2,COLUMN())),OFFSET($CL$2,0,0,ROW()-1,84),ROW()-1,FALSE))</f>
        <v>485452.25</v>
      </c>
      <c r="U20">
        <f ca="1">IF(AND(ISNUMBER($U$62),$B$51=1),$U$62,HLOOKUP(INDIRECT(ADDRESS(2,COLUMN())),OFFSET($CL$2,0,0,ROW()-1,84),ROW()-1,FALSE))</f>
        <v>444680.4</v>
      </c>
      <c r="V20">
        <f ca="1">IF(AND(ISNUMBER($V$62),$B$51=1),$V$62,HLOOKUP(INDIRECT(ADDRESS(2,COLUMN())),OFFSET($CL$2,0,0,ROW()-1,84),ROW()-1,FALSE))</f>
        <v>499960.15</v>
      </c>
      <c r="W20">
        <f ca="1">IF(AND(ISNUMBER($W$62),$B$51=1),$W$62,HLOOKUP(INDIRECT(ADDRESS(2,COLUMN())),OFFSET($CL$2,0,0,ROW()-1,84),ROW()-1,FALSE))</f>
        <v>456669.55</v>
      </c>
      <c r="X20">
        <f ca="1">IF(AND(ISNUMBER($X$62),$B$51=1),$X$62,HLOOKUP(INDIRECT(ADDRESS(2,COLUMN())),OFFSET($CL$2,0,0,ROW()-1,84),ROW()-1,FALSE))</f>
        <v>495195.8</v>
      </c>
      <c r="Y20">
        <f ca="1">IF(AND(ISNUMBER($Y$62),$B$51=1),$Y$62,HLOOKUP(INDIRECT(ADDRESS(2,COLUMN())),OFFSET($CL$2,0,0,ROW()-1,84),ROW()-1,FALSE))</f>
        <v>424072.85</v>
      </c>
      <c r="Z20">
        <f ca="1">IF(AND(ISNUMBER($Z$62),$B$51=1),$Z$62,HLOOKUP(INDIRECT(ADDRESS(2,COLUMN())),OFFSET($CL$2,0,0,ROW()-1,84),ROW()-1,FALSE))</f>
        <v>427207.7</v>
      </c>
      <c r="AA20">
        <f ca="1">IF(AND(ISNUMBER($AA$62),$B$51=1),$AA$62,HLOOKUP(INDIRECT(ADDRESS(2,COLUMN())),OFFSET($CL$2,0,0,ROW()-1,84),ROW()-1,FALSE))</f>
        <v>385250.7</v>
      </c>
      <c r="AB20">
        <f ca="1">IF(AND(ISNUMBER($AB$62),$B$51=1),$AB$62,HLOOKUP(INDIRECT(ADDRESS(2,COLUMN())),OFFSET($CL$2,0,0,ROW()-1,84),ROW()-1,FALSE))</f>
        <v>403443.9</v>
      </c>
      <c r="AC20">
        <f ca="1">IF(AND(ISNUMBER($AC$62),$B$51=1),$AC$62,HLOOKUP(INDIRECT(ADDRESS(2,COLUMN())),OFFSET($CL$2,0,0,ROW()-1,84),ROW()-1,FALSE))</f>
        <v>467286.65</v>
      </c>
      <c r="AD20">
        <f ca="1">IF(AND(ISNUMBER($AD$62),$B$51=1),$AD$62,HLOOKUP(INDIRECT(ADDRESS(2,COLUMN())),OFFSET($CL$2,0,0,ROW()-1,84),ROW()-1,FALSE))</f>
        <v>468059.15</v>
      </c>
      <c r="AE20">
        <f ca="1">IF(AND(ISNUMBER($AE$62),$B$51=1),$AE$62,HLOOKUP(INDIRECT(ADDRESS(2,COLUMN())),OFFSET($CL$2,0,0,ROW()-1,84),ROW()-1,FALSE))</f>
        <v>485672.15</v>
      </c>
      <c r="AF20">
        <f ca="1">IF(AND(ISNUMBER($AF$62),$B$51=1),$AF$62,HLOOKUP(INDIRECT(ADDRESS(2,COLUMN())),OFFSET($CL$2,0,0,ROW()-1,84),ROW()-1,FALSE))</f>
        <v>469360.85</v>
      </c>
      <c r="AG20">
        <f ca="1">IF(AND(ISNUMBER($AG$62),$B$51=1),$AG$62,HLOOKUP(INDIRECT(ADDRESS(2,COLUMN())),OFFSET($CL$2,0,0,ROW()-1,84),ROW()-1,FALSE))</f>
        <v>467763.25</v>
      </c>
      <c r="AH20">
        <f ca="1">IF(AND(ISNUMBER($AH$62),$B$51=1),$AH$62,HLOOKUP(INDIRECT(ADDRESS(2,COLUMN())),OFFSET($CL$2,0,0,ROW()-1,84),ROW()-1,FALSE))</f>
        <v>535714.19999999995</v>
      </c>
      <c r="AI20">
        <f ca="1">IF(AND(ISNUMBER($AI$62),$B$51=1),$AI$62,HLOOKUP(INDIRECT(ADDRESS(2,COLUMN())),OFFSET($CL$2,0,0,ROW()-1,84),ROW()-1,FALSE))</f>
        <v>490126.85</v>
      </c>
      <c r="AJ20">
        <f ca="1">IF(AND(ISNUMBER($AJ$62),$B$51=1),$AJ$62,HLOOKUP(INDIRECT(ADDRESS(2,COLUMN())),OFFSET($CL$2,0,0,ROW()-1,84),ROW()-1,FALSE))</f>
        <v>490115</v>
      </c>
      <c r="AK20">
        <f ca="1">IF(AND(ISNUMBER($AK$62),$B$51=1),$AK$62,HLOOKUP(INDIRECT(ADDRESS(2,COLUMN())),OFFSET($CL$2,0,0,ROW()-1,84),ROW()-1,FALSE))</f>
        <v>412884.25</v>
      </c>
      <c r="AL20">
        <f ca="1">IF(AND(ISNUMBER($AL$62),$B$51=1),$AL$62,HLOOKUP(INDIRECT(ADDRESS(2,COLUMN())),OFFSET($CL$2,0,0,ROW()-1,84),ROW()-1,FALSE))</f>
        <v>437609.2</v>
      </c>
      <c r="AM20">
        <f ca="1">IF(AND(ISNUMBER($AM$62),$B$51=1),$AM$62,HLOOKUP(INDIRECT(ADDRESS(2,COLUMN())),OFFSET($CL$2,0,0,ROW()-1,84),ROW()-1,FALSE))</f>
        <v>460865</v>
      </c>
      <c r="AN20">
        <f ca="1">IF(AND(ISNUMBER($AN$62),$B$51=1),$AN$62,HLOOKUP(INDIRECT(ADDRESS(2,COLUMN())),OFFSET($CL$2,0,0,ROW()-1,84),ROW()-1,FALSE))</f>
        <v>464819.7</v>
      </c>
      <c r="AO20">
        <f ca="1">IF(AND(ISNUMBER($AO$62),$B$51=1),$AO$62,HLOOKUP(INDIRECT(ADDRESS(2,COLUMN())),OFFSET($CL$2,0,0,ROW()-1,84),ROW()-1,FALSE))</f>
        <v>506613.2</v>
      </c>
      <c r="AP20">
        <f ca="1">IF(AND(ISNUMBER($AP$62),$B$51=1),$AP$62,HLOOKUP(INDIRECT(ADDRESS(2,COLUMN())),OFFSET($CL$2,0,0,ROW()-1,84),ROW()-1,FALSE))</f>
        <v>471794.5</v>
      </c>
      <c r="AQ20">
        <f ca="1">IF(AND(ISNUMBER($AQ$62),$B$51=1),$AQ$62,HLOOKUP(INDIRECT(ADDRESS(2,COLUMN())),OFFSET($CL$2,0,0,ROW()-1,84),ROW()-1,FALSE))</f>
        <v>516285.95</v>
      </c>
      <c r="AR20">
        <f ca="1">IF(AND(ISNUMBER($AR$62),$B$51=1),$AR$62,HLOOKUP(INDIRECT(ADDRESS(2,COLUMN())),OFFSET($CL$2,0,0,ROW()-1,84),ROW()-1,FALSE))</f>
        <v>456028.7</v>
      </c>
      <c r="AS20">
        <f ca="1">IF(AND(ISNUMBER($AS$62),$B$51=1),$AS$62,HLOOKUP(INDIRECT(ADDRESS(2,COLUMN())),OFFSET($CL$2,0,0,ROW()-1,84),ROW()-1,FALSE))</f>
        <v>369188.9</v>
      </c>
      <c r="AT20">
        <f ca="1">IF(AND(ISNUMBER($AT$62),$B$51=1),$AT$62,HLOOKUP(INDIRECT(ADDRESS(2,COLUMN())),OFFSET($CL$2,0,0,ROW()-1,84),ROW()-1,FALSE))</f>
        <v>306323</v>
      </c>
      <c r="AU20">
        <f ca="1">IF(AND(ISNUMBER($AU$62),$B$51=1),$AU$62,HLOOKUP(INDIRECT(ADDRESS(2,COLUMN())),OFFSET($CL$2,0,0,ROW()-1,84),ROW()-1,FALSE))</f>
        <v>370111</v>
      </c>
      <c r="AV20">
        <f ca="1">IF(AND(ISNUMBER($AV$62),$B$51=1),$AV$62,HLOOKUP(INDIRECT(ADDRESS(2,COLUMN())),OFFSET($CL$2,0,0,ROW()-1,84),ROW()-1,FALSE))</f>
        <v>220254.55</v>
      </c>
      <c r="AW20">
        <f ca="1">IF(AND(ISNUMBER($AW$62),$B$51=1),$AW$62,HLOOKUP(INDIRECT(ADDRESS(2,COLUMN())),OFFSET($CL$2,0,0,ROW()-1,84),ROW()-1,FALSE))</f>
        <v>270025.05</v>
      </c>
      <c r="AX20">
        <f ca="1">IF(AND(ISNUMBER($AX$62),$B$51=1),$AX$62,HLOOKUP(INDIRECT(ADDRESS(2,COLUMN())),OFFSET($CL$2,0,0,ROW()-1,84),ROW()-1,FALSE))</f>
        <v>414730.85</v>
      </c>
      <c r="AY20">
        <f ca="1">IF(AND(ISNUMBER($AY$62),$B$51=1),$AY$62,HLOOKUP(INDIRECT(ADDRESS(2,COLUMN())),OFFSET($CL$2,0,0,ROW()-1,84),ROW()-1,FALSE))</f>
        <v>373511</v>
      </c>
      <c r="AZ20">
        <f ca="1">IF(AND(ISNUMBER($AZ$62),$B$51=1),$AZ$62,HLOOKUP(INDIRECT(ADDRESS(2,COLUMN())),OFFSET($CL$2,0,0,ROW()-1,84),ROW()-1,FALSE))</f>
        <v>371349.7</v>
      </c>
      <c r="BA20">
        <f ca="1">IF(AND(ISNUMBER($BA$62),$B$51=1),$BA$62,HLOOKUP(INDIRECT(ADDRESS(2,COLUMN())),OFFSET($CL$2,0,0,ROW()-1,84),ROW()-1,FALSE))</f>
        <v>392768.6</v>
      </c>
      <c r="BB20">
        <f ca="1">IF(AND(ISNUMBER($BB$62),$B$51=1),$BB$62,HLOOKUP(INDIRECT(ADDRESS(2,COLUMN())),OFFSET($CL$2,0,0,ROW()-1,84),ROW()-1,FALSE))</f>
        <v>402319.85</v>
      </c>
      <c r="BC20">
        <f ca="1">IF(AND(ISNUMBER($BC$62),$B$51=1),$BC$62,HLOOKUP(INDIRECT(ADDRESS(2,COLUMN())),OFFSET($CL$2,0,0,ROW()-1,84),ROW()-1,FALSE))</f>
        <v>437613.25</v>
      </c>
      <c r="BD20">
        <f ca="1">IF(AND(ISNUMBER($BD$62),$B$51=1),$BD$62,HLOOKUP(INDIRECT(ADDRESS(2,COLUMN())),OFFSET($CL$2,0,0,ROW()-1,84),ROW()-1,FALSE))</f>
        <v>476438.2</v>
      </c>
      <c r="BE20">
        <f ca="1">IF(AND(ISNUMBER($BE$62),$B$51=1),$BE$62,HLOOKUP(INDIRECT(ADDRESS(2,COLUMN())),OFFSET($CL$2,0,0,ROW()-1,84),ROW()-1,FALSE))</f>
        <v>396306.5</v>
      </c>
      <c r="BF20">
        <f ca="1">IF(AND(ISNUMBER($BF$62),$B$51=1),$BF$62,HLOOKUP(INDIRECT(ADDRESS(2,COLUMN())),OFFSET($CL$2,0,0,ROW()-1,84),ROW()-1,FALSE))</f>
        <v>427789</v>
      </c>
      <c r="BG20">
        <f ca="1">IF(AND(ISNUMBER($BG$62),$B$51=1),$BG$62,HLOOKUP(INDIRECT(ADDRESS(2,COLUMN())),OFFSET($CL$2,0,0,ROW()-1,84),ROW()-1,FALSE))</f>
        <v>360744.65</v>
      </c>
      <c r="BH20">
        <f ca="1">IF(AND(ISNUMBER($BH$62),$B$51=1),$BH$62,HLOOKUP(INDIRECT(ADDRESS(2,COLUMN())),OFFSET($CL$2,0,0,ROW()-1,84),ROW()-1,FALSE))</f>
        <v>297186.95</v>
      </c>
      <c r="BI20">
        <f ca="1">IF(AND(ISNUMBER($BI$62),$B$51=1),$BI$62,HLOOKUP(INDIRECT(ADDRESS(2,COLUMN())),OFFSET($CL$2,0,0,ROW()-1,84),ROW()-1,FALSE))</f>
        <v>348315.75</v>
      </c>
      <c r="BJ20">
        <f ca="1">IF(AND(ISNUMBER($BJ$62),$B$51=1),$BJ$62,HLOOKUP(INDIRECT(ADDRESS(2,COLUMN())),OFFSET($CL$2,0,0,ROW()-1,84),ROW()-1,FALSE))</f>
        <v>429922.75</v>
      </c>
      <c r="BK20">
        <f ca="1">IF(AND(ISNUMBER($BK$62),$B$51=1),$BK$62,HLOOKUP(INDIRECT(ADDRESS(2,COLUMN())),OFFSET($CL$2,0,0,ROW()-1,84),ROW()-1,FALSE))</f>
        <v>468905.85</v>
      </c>
      <c r="BL20">
        <f ca="1">IF(AND(ISNUMBER($BL$62),$B$51=1),$BL$62,HLOOKUP(INDIRECT(ADDRESS(2,COLUMN())),OFFSET($CL$2,0,0,ROW()-1,84),ROW()-1,FALSE))</f>
        <v>422792.65</v>
      </c>
      <c r="BM20">
        <f ca="1">IF(AND(ISNUMBER($BM$62),$B$51=1),$BM$62,HLOOKUP(INDIRECT(ADDRESS(2,COLUMN())),OFFSET($CL$2,0,0,ROW()-1,84),ROW()-1,FALSE))</f>
        <v>485823.55</v>
      </c>
      <c r="BN20">
        <f ca="1">IF(AND(ISNUMBER($BN$62),$B$51=1),$BN$62,HLOOKUP(INDIRECT(ADDRESS(2,COLUMN())),OFFSET($CL$2,0,0,ROW()-1,84),ROW()-1,FALSE))</f>
        <v>414281.5</v>
      </c>
      <c r="BO20">
        <f ca="1">IF(AND(ISNUMBER($BO$62),$B$51=1),$BO$62,HLOOKUP(INDIRECT(ADDRESS(2,COLUMN())),OFFSET($CL$2,0,0,ROW()-1,84),ROW()-1,FALSE))</f>
        <v>420573.25</v>
      </c>
      <c r="BP20">
        <f ca="1">IF(AND(ISNUMBER($BP$62),$B$51=1),$BP$62,HLOOKUP(INDIRECT(ADDRESS(2,COLUMN())),OFFSET($CL$2,0,0,ROW()-1,84),ROW()-1,FALSE))</f>
        <v>438164.55</v>
      </c>
      <c r="BQ20">
        <f ca="1">IF(AND(ISNUMBER($BQ$62),$B$51=1),$BQ$62,HLOOKUP(INDIRECT(ADDRESS(2,COLUMN())),OFFSET($CL$2,0,0,ROW()-1,84),ROW()-1,FALSE))</f>
        <v>382964</v>
      </c>
      <c r="BR20">
        <f ca="1">IF(AND(ISNUMBER($BR$62),$B$51=1),$BR$62,HLOOKUP(INDIRECT(ADDRESS(2,COLUMN())),OFFSET($CL$2,0,0,ROW()-1,84),ROW()-1,FALSE))</f>
        <v>405586.8</v>
      </c>
      <c r="BS20">
        <f ca="1">IF(AND(ISNUMBER($BS$62),$B$51=1),$BS$62,HLOOKUP(INDIRECT(ADDRESS(2,COLUMN())),OFFSET($CL$2,0,0,ROW()-1,84),ROW()-1,FALSE))</f>
        <v>361108.3</v>
      </c>
      <c r="BT20">
        <f ca="1">IF(AND(ISNUMBER($BT$62),$B$51=1),$BT$62,HLOOKUP(INDIRECT(ADDRESS(2,COLUMN())),OFFSET($CL$2,0,0,ROW()-1,84),ROW()-1,FALSE))</f>
        <v>264460.05</v>
      </c>
      <c r="BU20">
        <f ca="1">IF(AND(ISNUMBER($BU$62),$B$51=1),$BU$62,HLOOKUP(INDIRECT(ADDRESS(2,COLUMN())),OFFSET($CL$2,0,0,ROW()-1,84),ROW()-1,FALSE))</f>
        <v>383089.55</v>
      </c>
      <c r="BV20">
        <f ca="1">IF(AND(ISNUMBER($BV$62),$B$51=1),$BV$62,HLOOKUP(INDIRECT(ADDRESS(2,COLUMN())),OFFSET($CL$2,0,0,ROW()-1,84),ROW()-1,FALSE))</f>
        <v>422831.95</v>
      </c>
      <c r="BW20">
        <f ca="1">IF(AND(ISNUMBER($BW$62),$B$51=1),$BW$62,HLOOKUP(INDIRECT(ADDRESS(2,COLUMN())),OFFSET($CL$2,0,0,ROW()-1,84),ROW()-1,FALSE))</f>
        <v>385492.05</v>
      </c>
      <c r="BX20">
        <f ca="1">IF(AND(ISNUMBER($BX$62),$B$51=1),$BX$62,HLOOKUP(INDIRECT(ADDRESS(2,COLUMN())),OFFSET($CL$2,0,0,ROW()-1,84),ROW()-1,FALSE))</f>
        <v>463690.9</v>
      </c>
      <c r="BY20">
        <f ca="1">IF(AND(ISNUMBER($BY$62),$B$51=1),$BY$62,HLOOKUP(INDIRECT(ADDRESS(2,COLUMN())),OFFSET($CL$2,0,0,ROW()-1,84),ROW()-1,FALSE))</f>
        <v>383385</v>
      </c>
      <c r="BZ20">
        <f ca="1">IF(AND(ISNUMBER($BZ$62),$B$51=1),$BZ$62,HLOOKUP(INDIRECT(ADDRESS(2,COLUMN())),OFFSET($CL$2,0,0,ROW()-1,84),ROW()-1,FALSE))</f>
        <v>388670.05</v>
      </c>
      <c r="CA20">
        <f ca="1">IF(AND(ISNUMBER($CA$62),$B$51=1),$CA$62,HLOOKUP(INDIRECT(ADDRESS(2,COLUMN())),OFFSET($CL$2,0,0,ROW()-1,84),ROW()-1,FALSE))</f>
        <v>432479.15</v>
      </c>
      <c r="CB20">
        <f ca="1">IF(AND(ISNUMBER($CB$62),$B$51=1),$CB$62,HLOOKUP(INDIRECT(ADDRESS(2,COLUMN())),OFFSET($CL$2,0,0,ROW()-1,84),ROW()-1,FALSE))</f>
        <v>417090.75</v>
      </c>
      <c r="CC20">
        <f ca="1">IF(AND(ISNUMBER($CC$62),$B$51=1),$CC$62,HLOOKUP(INDIRECT(ADDRESS(2,COLUMN())),OFFSET($CL$2,0,0,ROW()-1,84),ROW()-1,FALSE))</f>
        <v>372272.1</v>
      </c>
      <c r="CD20">
        <f ca="1">IF(AND(ISNUMBER($CD$62),$B$51=1),$CD$62,HLOOKUP(INDIRECT(ADDRESS(2,COLUMN())),OFFSET($CL$2,0,0,ROW()-1,84),ROW()-1,FALSE))</f>
        <v>413021.3</v>
      </c>
      <c r="CE20">
        <f ca="1">IF(AND(ISNUMBER($CE$62),$B$51=1),$CE$62,HLOOKUP(INDIRECT(ADDRESS(2,COLUMN())),OFFSET($CL$2,0,0,ROW()-1,84),ROW()-1,FALSE))</f>
        <v>372040.9</v>
      </c>
      <c r="CF20">
        <f ca="1">IF(AND(ISNUMBER($CF$62),$B$51=1),$CF$62,HLOOKUP(INDIRECT(ADDRESS(2,COLUMN())),OFFSET($CL$2,0,0,ROW()-1,84),ROW()-1,FALSE))</f>
        <v>373548.95</v>
      </c>
      <c r="CG20">
        <f ca="1">IF(AND(ISNUMBER($CG$62),$B$51=1),$CG$62,HLOOKUP(INDIRECT(ADDRESS(2,COLUMN())),OFFSET($CL$2,0,0,ROW()-1,84),ROW()-1,FALSE))</f>
        <v>298974.95</v>
      </c>
      <c r="CH20">
        <f ca="1">IF(AND(ISNUMBER($CH$62),$B$51=1),$CH$62,HLOOKUP(INDIRECT(ADDRESS(2,COLUMN())),OFFSET($CL$2,0,0,ROW()-1,84),ROW()-1,FALSE))</f>
        <v>415422.7</v>
      </c>
      <c r="CI20">
        <f ca="1">IF(AND(ISNUMBER($CI$62),$B$51=1),$CI$62,HLOOKUP(INDIRECT(ADDRESS(2,COLUMN())),OFFSET($CL$2,0,0,ROW()-1,84),ROW()-1,FALSE))</f>
        <v>394217.5</v>
      </c>
      <c r="CJ20">
        <f ca="1">IF(AND(ISNUMBER($CJ$62),$B$51=1),$CJ$62,HLOOKUP(INDIRECT(ADDRESS(2,COLUMN())),OFFSET($CL$2,0,0,ROW()-1,84),ROW()-1,FALSE))</f>
        <v>437050.2</v>
      </c>
      <c r="CK20">
        <f ca="1">IF(AND(ISNUMBER($CK$62),$B$51=1),$CK$62,HLOOKUP(INDIRECT(ADDRESS(2,COLUMN())),OFFSET($CL$2,0,0,ROW()-1,84),ROW()-1,FALSE))</f>
        <v>417311.05</v>
      </c>
      <c r="CL20">
        <f>392608.35</f>
        <v>392608.35</v>
      </c>
      <c r="CM20">
        <f>433224.25</f>
        <v>433224.25</v>
      </c>
      <c r="CN20">
        <f>364208.3</f>
        <v>364208.3</v>
      </c>
      <c r="CO20">
        <f>435306.65</f>
        <v>435306.65</v>
      </c>
      <c r="CP20">
        <f>409150</f>
        <v>409150</v>
      </c>
      <c r="CQ20">
        <f>343688.5</f>
        <v>343688.5</v>
      </c>
      <c r="CR20">
        <f>319961.95</f>
        <v>319961.95</v>
      </c>
      <c r="CS20">
        <f>249407.45</f>
        <v>249407.45</v>
      </c>
      <c r="CT20">
        <f>372040</f>
        <v>372040</v>
      </c>
      <c r="CU20">
        <f>352046.35</f>
        <v>352046.35</v>
      </c>
      <c r="CV20">
        <f>307079.8</f>
        <v>307079.8</v>
      </c>
      <c r="CW20">
        <f>336306.9</f>
        <v>336306.9</v>
      </c>
      <c r="CX20">
        <f>343461.65</f>
        <v>343461.65</v>
      </c>
      <c r="CY20">
        <f>403601.95</f>
        <v>403601.95</v>
      </c>
      <c r="CZ20">
        <f>485452.25</f>
        <v>485452.25</v>
      </c>
      <c r="DA20">
        <f>444680.4</f>
        <v>444680.4</v>
      </c>
      <c r="DB20">
        <f>499960.15</f>
        <v>499960.15</v>
      </c>
      <c r="DC20">
        <f>456669.55</f>
        <v>456669.55</v>
      </c>
      <c r="DD20">
        <f>495195.8</f>
        <v>495195.8</v>
      </c>
      <c r="DE20">
        <f>424072.85</f>
        <v>424072.85</v>
      </c>
      <c r="DF20">
        <f>427207.7</f>
        <v>427207.7</v>
      </c>
      <c r="DG20">
        <f>385250.7</f>
        <v>385250.7</v>
      </c>
      <c r="DH20">
        <f>403443.9</f>
        <v>403443.9</v>
      </c>
      <c r="DI20">
        <f>467286.65</f>
        <v>467286.65</v>
      </c>
      <c r="DJ20">
        <f>468059.15</f>
        <v>468059.15</v>
      </c>
      <c r="DK20">
        <f>485672.15</f>
        <v>485672.15</v>
      </c>
      <c r="DL20">
        <f>469360.85</f>
        <v>469360.85</v>
      </c>
      <c r="DM20">
        <f>467763.25</f>
        <v>467763.25</v>
      </c>
      <c r="DN20">
        <f>535714.2</f>
        <v>535714.19999999995</v>
      </c>
      <c r="DO20">
        <f>490126.85</f>
        <v>490126.85</v>
      </c>
      <c r="DP20">
        <f>490115</f>
        <v>490115</v>
      </c>
      <c r="DQ20">
        <f>412884.25</f>
        <v>412884.25</v>
      </c>
      <c r="DR20">
        <f>437609.2</f>
        <v>437609.2</v>
      </c>
      <c r="DS20">
        <f>460865</f>
        <v>460865</v>
      </c>
      <c r="DT20">
        <f>464819.7</f>
        <v>464819.7</v>
      </c>
      <c r="DU20">
        <f>506613.2</f>
        <v>506613.2</v>
      </c>
      <c r="DV20">
        <f>471794.5</f>
        <v>471794.5</v>
      </c>
      <c r="DW20">
        <f>516285.95</f>
        <v>516285.95</v>
      </c>
      <c r="DX20">
        <f>456028.7</f>
        <v>456028.7</v>
      </c>
      <c r="DY20">
        <f>369188.9</f>
        <v>369188.9</v>
      </c>
      <c r="DZ20">
        <f>306323</f>
        <v>306323</v>
      </c>
      <c r="EA20">
        <f>370111</f>
        <v>370111</v>
      </c>
      <c r="EB20">
        <f>220254.55</f>
        <v>220254.55</v>
      </c>
      <c r="EC20">
        <f>270025.05</f>
        <v>270025.05</v>
      </c>
      <c r="ED20">
        <f>414730.85</f>
        <v>414730.85</v>
      </c>
      <c r="EE20">
        <f>373511</f>
        <v>373511</v>
      </c>
      <c r="EF20">
        <f>371349.7</f>
        <v>371349.7</v>
      </c>
      <c r="EG20">
        <f>392768.6</f>
        <v>392768.6</v>
      </c>
      <c r="EH20">
        <f>402319.85</f>
        <v>402319.85</v>
      </c>
      <c r="EI20">
        <f>437613.25</f>
        <v>437613.25</v>
      </c>
      <c r="EJ20">
        <f>476438.2</f>
        <v>476438.2</v>
      </c>
      <c r="EK20">
        <f>396306.5</f>
        <v>396306.5</v>
      </c>
      <c r="EL20">
        <f>427789</f>
        <v>427789</v>
      </c>
      <c r="EM20">
        <f>360744.65</f>
        <v>360744.65</v>
      </c>
      <c r="EN20">
        <f>297186.95</f>
        <v>297186.95</v>
      </c>
      <c r="EO20">
        <f>348315.75</f>
        <v>348315.75</v>
      </c>
      <c r="EP20">
        <f>429922.75</f>
        <v>429922.75</v>
      </c>
      <c r="EQ20">
        <f>468905.85</f>
        <v>468905.85</v>
      </c>
      <c r="ER20">
        <f>422792.65</f>
        <v>422792.65</v>
      </c>
      <c r="ES20">
        <f>485823.55</f>
        <v>485823.55</v>
      </c>
      <c r="ET20">
        <f>414281.5</f>
        <v>414281.5</v>
      </c>
      <c r="EU20">
        <f>420573.25</f>
        <v>420573.25</v>
      </c>
      <c r="EV20">
        <f>438164.55</f>
        <v>438164.55</v>
      </c>
      <c r="EW20">
        <f>382964</f>
        <v>382964</v>
      </c>
      <c r="EX20">
        <f>405586.8</f>
        <v>405586.8</v>
      </c>
      <c r="EY20">
        <f>361108.3</f>
        <v>361108.3</v>
      </c>
      <c r="EZ20">
        <f>264460.05</f>
        <v>264460.05</v>
      </c>
      <c r="FA20">
        <f>383089.55</f>
        <v>383089.55</v>
      </c>
      <c r="FB20">
        <f>422831.95</f>
        <v>422831.95</v>
      </c>
      <c r="FC20">
        <f>385492.05</f>
        <v>385492.05</v>
      </c>
      <c r="FD20">
        <f>463690.9</f>
        <v>463690.9</v>
      </c>
      <c r="FE20">
        <f>383385</f>
        <v>383385</v>
      </c>
      <c r="FF20">
        <f>388670.05</f>
        <v>388670.05</v>
      </c>
      <c r="FG20">
        <f>432479.15</f>
        <v>432479.15</v>
      </c>
      <c r="FH20">
        <f>417090.75</f>
        <v>417090.75</v>
      </c>
      <c r="FI20">
        <f>372272.1</f>
        <v>372272.1</v>
      </c>
      <c r="FJ20">
        <f>413021.3</f>
        <v>413021.3</v>
      </c>
      <c r="FK20">
        <f>372040.9</f>
        <v>372040.9</v>
      </c>
      <c r="FL20">
        <f>373548.95</f>
        <v>373548.95</v>
      </c>
      <c r="FM20">
        <f>298974.95</f>
        <v>298974.95</v>
      </c>
      <c r="FN20">
        <f>415422.7</f>
        <v>415422.7</v>
      </c>
      <c r="FO20">
        <f>394217.5</f>
        <v>394217.5</v>
      </c>
      <c r="FP20">
        <f>437050.2</f>
        <v>437050.2</v>
      </c>
      <c r="FQ20">
        <f>417311.05</f>
        <v>417311.05</v>
      </c>
    </row>
    <row r="21" spans="1:173" x14ac:dyDescent="0.25">
      <c r="A21" t="str">
        <f>"        Loaded Container Exports (TEU)"</f>
        <v xml:space="preserve">        Loaded Container Exports (TEU)</v>
      </c>
      <c r="B21" t="str">
        <f>"LALBLAEX Index"</f>
        <v>LALBLAEX Index</v>
      </c>
      <c r="C21" t="str">
        <f>"PX385"</f>
        <v>PX385</v>
      </c>
      <c r="D21" t="str">
        <f>"INTERVAL_SUM"</f>
        <v>INTERVAL_SUM</v>
      </c>
      <c r="E21" t="str">
        <f>"Dynamic"</f>
        <v>Dynamic</v>
      </c>
      <c r="F21">
        <f ca="1">IF(AND(ISNUMBER($F$63),$B$51=1),$F$63,HLOOKUP(INDIRECT(ADDRESS(2,COLUMN())),OFFSET($CL$2,0,0,ROW()-1,84),ROW()-1,FALSE))</f>
        <v>120635.25</v>
      </c>
      <c r="G21">
        <f ca="1">IF(AND(ISNUMBER($G$63),$B$51=1),$G$63,HLOOKUP(INDIRECT(ADDRESS(2,COLUMN())),OFFSET($CL$2,0,0,ROW()-1,84),ROW()-1,FALSE))</f>
        <v>124987.5</v>
      </c>
      <c r="H21">
        <f ca="1">IF(AND(ISNUMBER($H$63),$B$51=1),$H$63,HLOOKUP(INDIRECT(ADDRESS(2,COLUMN())),OFFSET($CL$2,0,0,ROW()-1,84),ROW()-1,FALSE))</f>
        <v>110372.25</v>
      </c>
      <c r="I21">
        <f ca="1">IF(AND(ISNUMBER($I$63),$B$51=1),$I$63,HLOOKUP(INDIRECT(ADDRESS(2,COLUMN())),OFFSET($CL$2,0,0,ROW()-1,84),ROW()-1,FALSE))</f>
        <v>108049.5</v>
      </c>
      <c r="J21">
        <f ca="1">IF(AND(ISNUMBER($J$63),$B$51=1),$J$63,HLOOKUP(INDIRECT(ADDRESS(2,COLUMN())),OFFSET($CL$2,0,0,ROW()-1,84),ROW()-1,FALSE))</f>
        <v>101741</v>
      </c>
      <c r="K21">
        <f ca="1">IF(AND(ISNUMBER($K$63),$B$51=1),$K$63,HLOOKUP(INDIRECT(ADDRESS(2,COLUMN())),OFFSET($CL$2,0,0,ROW()-1,84),ROW()-1,FALSE))</f>
        <v>88201.75</v>
      </c>
      <c r="L21">
        <f ca="1">IF(AND(ISNUMBER($L$63),$B$51=1),$L$63,HLOOKUP(INDIRECT(ADDRESS(2,COLUMN())),OFFSET($CL$2,0,0,ROW()-1,84),ROW()-1,FALSE))</f>
        <v>98276.25</v>
      </c>
      <c r="M21">
        <f ca="1">IF(AND(ISNUMBER($M$63),$B$51=1),$M$63,HLOOKUP(INDIRECT(ADDRESS(2,COLUMN())),OFFSET($CL$2,0,0,ROW()-1,84),ROW()-1,FALSE))</f>
        <v>82404</v>
      </c>
      <c r="N21">
        <f ca="1">IF(AND(ISNUMBER($N$63),$B$51=1),$N$63,HLOOKUP(INDIRECT(ADDRESS(2,COLUMN())),OFFSET($CL$2,0,0,ROW()-1,84),ROW()-1,FALSE))</f>
        <v>102723.25</v>
      </c>
      <c r="O21">
        <f ca="1">IF(AND(ISNUMBER($O$63),$B$51=1),$O$63,HLOOKUP(INDIRECT(ADDRESS(2,COLUMN())),OFFSET($CL$2,0,0,ROW()-1,84),ROW()-1,FALSE))</f>
        <v>96518</v>
      </c>
      <c r="P21">
        <f ca="1">IF(AND(ISNUMBER($P$63),$B$51=1),$P$63,HLOOKUP(INDIRECT(ADDRESS(2,COLUMN())),OFFSET($CL$2,0,0,ROW()-1,84),ROW()-1,FALSE))</f>
        <v>90115.75</v>
      </c>
      <c r="Q21">
        <f ca="1">IF(AND(ISNUMBER($Q$63),$B$51=1),$Q$63,HLOOKUP(INDIRECT(ADDRESS(2,COLUMN())),OFFSET($CL$2,0,0,ROW()-1,84),ROW()-1,FALSE))</f>
        <v>89721.75</v>
      </c>
      <c r="R21">
        <f ca="1">IF(AND(ISNUMBER($R$63),$B$51=1),$R$63,HLOOKUP(INDIRECT(ADDRESS(2,COLUMN())),OFFSET($CL$2,0,0,ROW()-1,84),ROW()-1,FALSE))</f>
        <v>77680.25</v>
      </c>
      <c r="S21">
        <f ca="1">IF(AND(ISNUMBER($S$63),$B$51=1),$S$63,HLOOKUP(INDIRECT(ADDRESS(2,COLUMN())),OFFSET($CL$2,0,0,ROW()-1,84),ROW()-1,FALSE))</f>
        <v>102319.25</v>
      </c>
      <c r="T21">
        <f ca="1">IF(AND(ISNUMBER($T$63),$B$51=1),$T$63,HLOOKUP(INDIRECT(ADDRESS(2,COLUMN())),OFFSET($CL$2,0,0,ROW()-1,84),ROW()-1,FALSE))</f>
        <v>103899</v>
      </c>
      <c r="U21">
        <f ca="1">IF(AND(ISNUMBER($U$63),$B$51=1),$U$63,HLOOKUP(INDIRECT(ADDRESS(2,COLUMN())),OFFSET($CL$2,0,0,ROW()-1,84),ROW()-1,FALSE))</f>
        <v>93889.5</v>
      </c>
      <c r="V21">
        <f ca="1">IF(AND(ISNUMBER($V$63),$B$51=1),$V$63,HLOOKUP(INDIRECT(ADDRESS(2,COLUMN())),OFFSET($CL$2,0,0,ROW()-1,84),ROW()-1,FALSE))</f>
        <v>125655.5</v>
      </c>
      <c r="W21">
        <f ca="1">IF(AND(ISNUMBER($W$63),$B$51=1),$W$63,HLOOKUP(INDIRECT(ADDRESS(2,COLUMN())),OFFSET($CL$2,0,0,ROW()-1,84),ROW()-1,FALSE))</f>
        <v>99878</v>
      </c>
      <c r="X21">
        <f ca="1">IF(AND(ISNUMBER($X$63),$B$51=1),$X$63,HLOOKUP(INDIRECT(ADDRESS(2,COLUMN())),OFFSET($CL$2,0,0,ROW()-1,84),ROW()-1,FALSE))</f>
        <v>111781.25</v>
      </c>
      <c r="Y21">
        <f ca="1">IF(AND(ISNUMBER($Y$63),$B$51=1),$Y$63,HLOOKUP(INDIRECT(ADDRESS(2,COLUMN())),OFFSET($CL$2,0,0,ROW()-1,84),ROW()-1,FALSE))</f>
        <v>95441</v>
      </c>
      <c r="Z21">
        <f ca="1">IF(AND(ISNUMBER($Z$63),$B$51=1),$Z$63,HLOOKUP(INDIRECT(ADDRESS(2,COLUMN())),OFFSET($CL$2,0,0,ROW()-1,84),ROW()-1,FALSE))</f>
        <v>100185.25</v>
      </c>
      <c r="AA21">
        <f ca="1">IF(AND(ISNUMBER($AA$63),$B$51=1),$AA$63,HLOOKUP(INDIRECT(ADDRESS(2,COLUMN())),OFFSET($CL$2,0,0,ROW()-1,84),ROW()-1,FALSE))</f>
        <v>70871.75</v>
      </c>
      <c r="AB21">
        <f ca="1">IF(AND(ISNUMBER($AB$63),$B$51=1),$AB$63,HLOOKUP(INDIRECT(ADDRESS(2,COLUMN())),OFFSET($CL$2,0,0,ROW()-1,84),ROW()-1,FALSE))</f>
        <v>82741.350000000006</v>
      </c>
      <c r="AC21">
        <f ca="1">IF(AND(ISNUMBER($AC$63),$B$51=1),$AC$63,HLOOKUP(INDIRECT(ADDRESS(2,COLUMN())),OFFSET($CL$2,0,0,ROW()-1,84),ROW()-1,FALSE))</f>
        <v>98251.25</v>
      </c>
      <c r="AD21">
        <f ca="1">IF(AND(ISNUMBER($AD$63),$B$51=1),$AD$63,HLOOKUP(INDIRECT(ADDRESS(2,COLUMN())),OFFSET($CL$2,0,0,ROW()-1,84),ROW()-1,FALSE))</f>
        <v>75713.5</v>
      </c>
      <c r="AE21">
        <f ca="1">IF(AND(ISNUMBER($AE$63),$B$51=1),$AE$63,HLOOKUP(INDIRECT(ADDRESS(2,COLUMN())),OFFSET($CL$2,0,0,ROW()-1,84),ROW()-1,FALSE))</f>
        <v>101292</v>
      </c>
      <c r="AF21">
        <f ca="1">IF(AND(ISNUMBER($AF$63),$B$51=1),$AF$63,HLOOKUP(INDIRECT(ADDRESS(2,COLUMN())),OFFSET($CL$2,0,0,ROW()-1,84),ROW()-1,FALSE))</f>
        <v>91439.5</v>
      </c>
      <c r="AG21">
        <f ca="1">IF(AND(ISNUMBER($AG$63),$B$51=1),$AG$63,HLOOKUP(INDIRECT(ADDRESS(2,COLUMN())),OFFSET($CL$2,0,0,ROW()-1,84),ROW()-1,FALSE))</f>
        <v>96066.75</v>
      </c>
      <c r="AH21">
        <f ca="1">IF(AND(ISNUMBER($AH$63),$B$51=1),$AH$63,HLOOKUP(INDIRECT(ADDRESS(2,COLUMN())),OFFSET($CL$2,0,0,ROW()-1,84),ROW()-1,FALSE))</f>
        <v>109886</v>
      </c>
      <c r="AI21">
        <f ca="1">IF(AND(ISNUMBER($AI$63),$B$51=1),$AI$63,HLOOKUP(INDIRECT(ADDRESS(2,COLUMN())),OFFSET($CL$2,0,0,ROW()-1,84),ROW()-1,FALSE))</f>
        <v>114448.5</v>
      </c>
      <c r="AJ21">
        <f ca="1">IF(AND(ISNUMBER($AJ$63),$B$51=1),$AJ$63,HLOOKUP(INDIRECT(ADDRESS(2,COLUMN())),OFFSET($CL$2,0,0,ROW()-1,84),ROW()-1,FALSE))</f>
        <v>122899</v>
      </c>
      <c r="AK21">
        <f ca="1">IF(AND(ISNUMBER($AK$63),$B$51=1),$AK$63,HLOOKUP(INDIRECT(ADDRESS(2,COLUMN())),OFFSET($CL$2,0,0,ROW()-1,84),ROW()-1,FALSE))</f>
        <v>101208.15</v>
      </c>
      <c r="AL21">
        <f ca="1">IF(AND(ISNUMBER($AL$63),$B$51=1),$AL$63,HLOOKUP(INDIRECT(ADDRESS(2,COLUMN())),OFFSET($CL$2,0,0,ROW()-1,84),ROW()-1,FALSE))</f>
        <v>119326.75</v>
      </c>
      <c r="AM21">
        <f ca="1">IF(AND(ISNUMBER($AM$63),$B$51=1),$AM$63,HLOOKUP(INDIRECT(ADDRESS(2,COLUMN())),OFFSET($CL$2,0,0,ROW()-1,84),ROW()-1,FALSE))</f>
        <v>120265</v>
      </c>
      <c r="AN21">
        <f ca="1">IF(AND(ISNUMBER($AN$63),$B$51=1),$AN$63,HLOOKUP(INDIRECT(ADDRESS(2,COLUMN())),OFFSET($CL$2,0,0,ROW()-1,84),ROW()-1,FALSE))</f>
        <v>130916.5</v>
      </c>
      <c r="AO21">
        <f ca="1">IF(AND(ISNUMBER($AO$63),$B$51=1),$AO$63,HLOOKUP(INDIRECT(ADDRESS(2,COLUMN())),OFFSET($CL$2,0,0,ROW()-1,84),ROW()-1,FALSE))</f>
        <v>143935.75</v>
      </c>
      <c r="AP21">
        <f ca="1">IF(AND(ISNUMBER($AP$63),$B$51=1),$AP$63,HLOOKUP(INDIRECT(ADDRESS(2,COLUMN())),OFFSET($CL$2,0,0,ROW()-1,84),ROW()-1,FALSE))</f>
        <v>130396.75</v>
      </c>
      <c r="AQ21">
        <f ca="1">IF(AND(ISNUMBER($AQ$63),$B$51=1),$AQ$63,HLOOKUP(INDIRECT(ADDRESS(2,COLUMN())),OFFSET($CL$2,0,0,ROW()-1,84),ROW()-1,FALSE))</f>
        <v>131428.75</v>
      </c>
      <c r="AR21">
        <f ca="1">IF(AND(ISNUMBER($AR$63),$B$51=1),$AR$63,HLOOKUP(INDIRECT(ADDRESS(2,COLUMN())),OFFSET($CL$2,0,0,ROW()-1,84),ROW()-1,FALSE))</f>
        <v>126353.7</v>
      </c>
      <c r="AS21">
        <f ca="1">IF(AND(ISNUMBER($AS$63),$B$51=1),$AS$63,HLOOKUP(INDIRECT(ADDRESS(2,COLUMN())),OFFSET($CL$2,0,0,ROW()-1,84),ROW()-1,FALSE))</f>
        <v>109585.75</v>
      </c>
      <c r="AT21">
        <f ca="1">IF(AND(ISNUMBER($AT$63),$B$51=1),$AT$63,HLOOKUP(INDIRECT(ADDRESS(2,COLUMN())),OFFSET($CL$2,0,0,ROW()-1,84),ROW()-1,FALSE))</f>
        <v>104382</v>
      </c>
      <c r="AU21">
        <f ca="1">IF(AND(ISNUMBER($AU$63),$B$51=1),$AU$63,HLOOKUP(INDIRECT(ADDRESS(2,COLUMN())),OFFSET($CL$2,0,0,ROW()-1,84),ROW()-1,FALSE))</f>
        <v>130321.25</v>
      </c>
      <c r="AV21">
        <f ca="1">IF(AND(ISNUMBER($AV$63),$B$51=1),$AV$63,HLOOKUP(INDIRECT(ADDRESS(2,COLUMN())),OFFSET($CL$2,0,0,ROW()-1,84),ROW()-1,FALSE))</f>
        <v>121146</v>
      </c>
      <c r="AW21">
        <f ca="1">IF(AND(ISNUMBER($AW$63),$B$51=1),$AW$63,HLOOKUP(INDIRECT(ADDRESS(2,COLUMN())),OFFSET($CL$2,0,0,ROW()-1,84),ROW()-1,FALSE))</f>
        <v>134468.5</v>
      </c>
      <c r="AX21">
        <f ca="1">IF(AND(ISNUMBER($AX$63),$B$51=1),$AX$63,HLOOKUP(INDIRECT(ADDRESS(2,COLUMN())),OFFSET($CL$2,0,0,ROW()-1,84),ROW()-1,FALSE))</f>
        <v>148206</v>
      </c>
      <c r="AY21">
        <f ca="1">IF(AND(ISNUMBER($AY$63),$B$51=1),$AY$63,HLOOKUP(INDIRECT(ADDRESS(2,COLUMN())),OFFSET($CL$2,0,0,ROW()-1,84),ROW()-1,FALSE))</f>
        <v>130228.5</v>
      </c>
      <c r="AZ21">
        <f ca="1">IF(AND(ISNUMBER($AZ$63),$B$51=1),$AZ$63,HLOOKUP(INDIRECT(ADDRESS(2,COLUMN())),OFFSET($CL$2,0,0,ROW()-1,84),ROW()-1,FALSE))</f>
        <v>138544.5</v>
      </c>
      <c r="BA21">
        <f ca="1">IF(AND(ISNUMBER($BA$63),$B$51=1),$BA$63,HLOOKUP(INDIRECT(ADDRESS(2,COLUMN())),OFFSET($CL$2,0,0,ROW()-1,84),ROW()-1,FALSE))</f>
        <v>140331.5</v>
      </c>
      <c r="BB21">
        <f ca="1">IF(AND(ISNUMBER($BB$63),$B$51=1),$BB$63,HLOOKUP(INDIRECT(ADDRESS(2,COLUMN())),OFFSET($CL$2,0,0,ROW()-1,84),ROW()-1,FALSE))</f>
        <v>130768.5</v>
      </c>
      <c r="BC21">
        <f ca="1">IF(AND(ISNUMBER($BC$63),$B$51=1),$BC$63,HLOOKUP(INDIRECT(ADDRESS(2,COLUMN())),OFFSET($CL$2,0,0,ROW()-1,84),ROW()-1,FALSE))</f>
        <v>146284</v>
      </c>
      <c r="BD21">
        <f ca="1">IF(AND(ISNUMBER($BD$63),$B$51=1),$BD$63,HLOOKUP(INDIRECT(ADDRESS(2,COLUMN())),OFFSET($CL$2,0,0,ROW()-1,84),ROW()-1,FALSE))</f>
        <v>161340.25</v>
      </c>
      <c r="BE21">
        <f ca="1">IF(AND(ISNUMBER($BE$63),$B$51=1),$BE$63,HLOOKUP(INDIRECT(ADDRESS(2,COLUMN())),OFFSET($CL$2,0,0,ROW()-1,84),ROW()-1,FALSE))</f>
        <v>139318</v>
      </c>
      <c r="BF21">
        <f ca="1">IF(AND(ISNUMBER($BF$63),$B$51=1),$BF$63,HLOOKUP(INDIRECT(ADDRESS(2,COLUMN())),OFFSET($CL$2,0,0,ROW()-1,84),ROW()-1,FALSE))</f>
        <v>167357.25</v>
      </c>
      <c r="BG21">
        <f ca="1">IF(AND(ISNUMBER($BG$63),$B$51=1),$BG$63,HLOOKUP(INDIRECT(ADDRESS(2,COLUMN())),OFFSET($CL$2,0,0,ROW()-1,84),ROW()-1,FALSE))</f>
        <v>155532.75</v>
      </c>
      <c r="BH21">
        <f ca="1">IF(AND(ISNUMBER($BH$63),$B$51=1),$BH$63,HLOOKUP(INDIRECT(ADDRESS(2,COLUMN())),OFFSET($CL$2,0,0,ROW()-1,84),ROW()-1,FALSE))</f>
        <v>158923.75</v>
      </c>
      <c r="BI21">
        <f ca="1">IF(AND(ISNUMBER($BI$63),$B$51=1),$BI$63,HLOOKUP(INDIRECT(ADDRESS(2,COLUMN())),OFFSET($CL$2,0,0,ROW()-1,84),ROW()-1,FALSE))</f>
        <v>142554.5</v>
      </c>
      <c r="BJ21">
        <f ca="1">IF(AND(ISNUMBER($BJ$63),$B$51=1),$BJ$63,HLOOKUP(INDIRECT(ADDRESS(2,COLUMN())),OFFSET($CL$2,0,0,ROW()-1,84),ROW()-1,FALSE))</f>
        <v>144993</v>
      </c>
      <c r="BK21">
        <f ca="1">IF(AND(ISNUMBER($BK$63),$B$51=1),$BK$63,HLOOKUP(INDIRECT(ADDRESS(2,COLUMN())),OFFSET($CL$2,0,0,ROW()-1,84),ROW()-1,FALSE))</f>
        <v>147965.4</v>
      </c>
      <c r="BL21">
        <f ca="1">IF(AND(ISNUMBER($BL$63),$B$51=1),$BL$63,HLOOKUP(INDIRECT(ADDRESS(2,COLUMN())),OFFSET($CL$2,0,0,ROW()-1,84),ROW()-1,FALSE))</f>
        <v>152527</v>
      </c>
      <c r="BM21">
        <f ca="1">IF(AND(ISNUMBER($BM$63),$B$51=1),$BM$63,HLOOKUP(INDIRECT(ADDRESS(2,COLUMN())),OFFSET($CL$2,0,0,ROW()-1,84),ROW()-1,FALSE))</f>
        <v>173823.9</v>
      </c>
      <c r="BN21">
        <f ca="1">IF(AND(ISNUMBER($BN$63),$B$51=1),$BN$63,HLOOKUP(INDIRECT(ADDRESS(2,COLUMN())),OFFSET($CL$2,0,0,ROW()-1,84),ROW()-1,FALSE))</f>
        <v>146999.5</v>
      </c>
      <c r="BO21">
        <f ca="1">IF(AND(ISNUMBER($BO$63),$B$51=1),$BO$63,HLOOKUP(INDIRECT(ADDRESS(2,COLUMN())),OFFSET($CL$2,0,0,ROW()-1,84),ROW()-1,FALSE))</f>
        <v>162465.5</v>
      </c>
      <c r="BP21">
        <f ca="1">IF(AND(ISNUMBER($BP$63),$B$51=1),$BP$63,HLOOKUP(INDIRECT(ADDRESS(2,COLUMN())),OFFSET($CL$2,0,0,ROW()-1,84),ROW()-1,FALSE))</f>
        <v>167991.75</v>
      </c>
      <c r="BQ21">
        <f ca="1">IF(AND(ISNUMBER($BQ$63),$B$51=1),$BQ$63,HLOOKUP(INDIRECT(ADDRESS(2,COLUMN())),OFFSET($CL$2,0,0,ROW()-1,84),ROW()-1,FALSE))</f>
        <v>147563.25</v>
      </c>
      <c r="BR21">
        <f ca="1">IF(AND(ISNUMBER($BR$63),$B$51=1),$BR$63,HLOOKUP(INDIRECT(ADDRESS(2,COLUMN())),OFFSET($CL$2,0,0,ROW()-1,84),ROW()-1,FALSE))</f>
        <v>168680.75</v>
      </c>
      <c r="BS21">
        <f ca="1">IF(AND(ISNUMBER($BS$63),$B$51=1),$BS$63,HLOOKUP(INDIRECT(ADDRESS(2,COLUMN())),OFFSET($CL$2,0,0,ROW()-1,84),ROW()-1,FALSE))</f>
        <v>164703.65</v>
      </c>
      <c r="BT21">
        <f ca="1">IF(AND(ISNUMBER($BT$63),$B$51=1),$BT$63,HLOOKUP(INDIRECT(ADDRESS(2,COLUMN())),OFFSET($CL$2,0,0,ROW()-1,84),ROW()-1,FALSE))</f>
        <v>163706.65</v>
      </c>
      <c r="BU21">
        <f ca="1">IF(AND(ISNUMBER($BU$63),$B$51=1),$BU$63,HLOOKUP(INDIRECT(ADDRESS(2,COLUMN())),OFFSET($CL$2,0,0,ROW()-1,84),ROW()-1,FALSE))</f>
        <v>157591.25</v>
      </c>
      <c r="BV21">
        <f ca="1">IF(AND(ISNUMBER($BV$63),$B$51=1),$BV$63,HLOOKUP(INDIRECT(ADDRESS(2,COLUMN())),OFFSET($CL$2,0,0,ROW()-1,84),ROW()-1,FALSE))</f>
        <v>150035.25</v>
      </c>
      <c r="BW21">
        <f ca="1">IF(AND(ISNUMBER($BW$63),$B$51=1),$BW$63,HLOOKUP(INDIRECT(ADDRESS(2,COLUMN())),OFFSET($CL$2,0,0,ROW()-1,84),ROW()-1,FALSE))</f>
        <v>152865.5</v>
      </c>
      <c r="BX21">
        <f ca="1">IF(AND(ISNUMBER($BX$63),$B$51=1),$BX$63,HLOOKUP(INDIRECT(ADDRESS(2,COLUMN())),OFFSET($CL$2,0,0,ROW()-1,84),ROW()-1,FALSE))</f>
        <v>177913</v>
      </c>
      <c r="BY21">
        <f ca="1">IF(AND(ISNUMBER($BY$63),$B$51=1),$BY$63,HLOOKUP(INDIRECT(ADDRESS(2,COLUMN())),OFFSET($CL$2,0,0,ROW()-1,84),ROW()-1,FALSE))</f>
        <v>144209.75</v>
      </c>
      <c r="BZ21">
        <f ca="1">IF(AND(ISNUMBER($BZ$63),$B$51=1),$BZ$63,HLOOKUP(INDIRECT(ADDRESS(2,COLUMN())),OFFSET($CL$2,0,0,ROW()-1,84),ROW()-1,FALSE))</f>
        <v>128445.5</v>
      </c>
      <c r="CA21">
        <f ca="1">IF(AND(ISNUMBER($CA$63),$B$51=1),$CA$63,HLOOKUP(INDIRECT(ADDRESS(2,COLUMN())),OFFSET($CL$2,0,0,ROW()-1,84),ROW()-1,FALSE))</f>
        <v>159197</v>
      </c>
      <c r="CB21">
        <f ca="1">IF(AND(ISNUMBER($CB$63),$B$51=1),$CB$63,HLOOKUP(INDIRECT(ADDRESS(2,COLUMN())),OFFSET($CL$2,0,0,ROW()-1,84),ROW()-1,FALSE))</f>
        <v>154925.75</v>
      </c>
      <c r="CC21">
        <f ca="1">IF(AND(ISNUMBER($CC$63),$B$51=1),$CC$63,HLOOKUP(INDIRECT(ADDRESS(2,COLUMN())),OFFSET($CL$2,0,0,ROW()-1,84),ROW()-1,FALSE))</f>
        <v>145527.5</v>
      </c>
      <c r="CD21">
        <f ca="1">IF(AND(ISNUMBER($CD$63),$B$51=1),$CD$63,HLOOKUP(INDIRECT(ADDRESS(2,COLUMN())),OFFSET($CL$2,0,0,ROW()-1,84),ROW()-1,FALSE))</f>
        <v>169639</v>
      </c>
      <c r="CE21">
        <f ca="1">IF(AND(ISNUMBER($CE$63),$B$51=1),$CE$63,HLOOKUP(INDIRECT(ADDRESS(2,COLUMN())),OFFSET($CL$2,0,0,ROW()-1,84),ROW()-1,FALSE))</f>
        <v>157661.5</v>
      </c>
      <c r="CF21">
        <f ca="1">IF(AND(ISNUMBER($CF$63),$B$51=1),$CF$63,HLOOKUP(INDIRECT(ADDRESS(2,COLUMN())),OFFSET($CL$2,0,0,ROW()-1,84),ROW()-1,FALSE))</f>
        <v>191771.75</v>
      </c>
      <c r="CG21">
        <f ca="1">IF(AND(ISNUMBER($CG$63),$B$51=1),$CG$63,HLOOKUP(INDIRECT(ADDRESS(2,COLUMN())),OFFSET($CL$2,0,0,ROW()-1,84),ROW()-1,FALSE))</f>
        <v>155357.65</v>
      </c>
      <c r="CH21">
        <f ca="1">IF(AND(ISNUMBER($CH$63),$B$51=1),$CH$63,HLOOKUP(INDIRECT(ADDRESS(2,COLUMN())),OFFSET($CL$2,0,0,ROW()-1,84),ROW()-1,FALSE))</f>
        <v>162420</v>
      </c>
      <c r="CI21">
        <f ca="1">IF(AND(ISNUMBER($CI$63),$B$51=1),$CI$63,HLOOKUP(INDIRECT(ADDRESS(2,COLUMN())),OFFSET($CL$2,0,0,ROW()-1,84),ROW()-1,FALSE))</f>
        <v>164900.5</v>
      </c>
      <c r="CJ21">
        <f ca="1">IF(AND(ISNUMBER($CJ$63),$B$51=1),$CJ$63,HLOOKUP(INDIRECT(ADDRESS(2,COLUMN())),OFFSET($CL$2,0,0,ROW()-1,84),ROW()-1,FALSE))</f>
        <v>177359.75</v>
      </c>
      <c r="CK21">
        <f ca="1">IF(AND(ISNUMBER($CK$63),$B$51=1),$CK$63,HLOOKUP(INDIRECT(ADDRESS(2,COLUMN())),OFFSET($CL$2,0,0,ROW()-1,84),ROW()-1,FALSE))</f>
        <v>166406.25</v>
      </c>
      <c r="CL21">
        <f>120635.25</f>
        <v>120635.25</v>
      </c>
      <c r="CM21">
        <f>124987.5</f>
        <v>124987.5</v>
      </c>
      <c r="CN21">
        <f>110372.25</f>
        <v>110372.25</v>
      </c>
      <c r="CO21">
        <f>108049.5</f>
        <v>108049.5</v>
      </c>
      <c r="CP21">
        <f>101741</f>
        <v>101741</v>
      </c>
      <c r="CQ21">
        <f>88201.75</f>
        <v>88201.75</v>
      </c>
      <c r="CR21">
        <f>98276.25</f>
        <v>98276.25</v>
      </c>
      <c r="CS21">
        <f>82404</f>
        <v>82404</v>
      </c>
      <c r="CT21">
        <f>102723.25</f>
        <v>102723.25</v>
      </c>
      <c r="CU21">
        <f>96518</f>
        <v>96518</v>
      </c>
      <c r="CV21">
        <f>90115.75</f>
        <v>90115.75</v>
      </c>
      <c r="CW21">
        <f>89721.75</f>
        <v>89721.75</v>
      </c>
      <c r="CX21">
        <f>77680.25</f>
        <v>77680.25</v>
      </c>
      <c r="CY21">
        <f>102319.25</f>
        <v>102319.25</v>
      </c>
      <c r="CZ21">
        <f>103899</f>
        <v>103899</v>
      </c>
      <c r="DA21">
        <f>93889.5</f>
        <v>93889.5</v>
      </c>
      <c r="DB21">
        <f>125655.5</f>
        <v>125655.5</v>
      </c>
      <c r="DC21">
        <f>99878</f>
        <v>99878</v>
      </c>
      <c r="DD21">
        <f>111781.25</f>
        <v>111781.25</v>
      </c>
      <c r="DE21">
        <f>95441</f>
        <v>95441</v>
      </c>
      <c r="DF21">
        <f>100185.25</f>
        <v>100185.25</v>
      </c>
      <c r="DG21">
        <f>70871.75</f>
        <v>70871.75</v>
      </c>
      <c r="DH21">
        <f>82741.35</f>
        <v>82741.350000000006</v>
      </c>
      <c r="DI21">
        <f>98251.25</f>
        <v>98251.25</v>
      </c>
      <c r="DJ21">
        <f>75713.5</f>
        <v>75713.5</v>
      </c>
      <c r="DK21">
        <f>101292</f>
        <v>101292</v>
      </c>
      <c r="DL21">
        <f>91439.5</f>
        <v>91439.5</v>
      </c>
      <c r="DM21">
        <f>96066.75</f>
        <v>96066.75</v>
      </c>
      <c r="DN21">
        <f>109886</f>
        <v>109886</v>
      </c>
      <c r="DO21">
        <f>114448.5</f>
        <v>114448.5</v>
      </c>
      <c r="DP21">
        <f>122899</f>
        <v>122899</v>
      </c>
      <c r="DQ21">
        <f>101208.15</f>
        <v>101208.15</v>
      </c>
      <c r="DR21">
        <f>119326.75</f>
        <v>119326.75</v>
      </c>
      <c r="DS21">
        <f>120265</f>
        <v>120265</v>
      </c>
      <c r="DT21">
        <f>130916.5</f>
        <v>130916.5</v>
      </c>
      <c r="DU21">
        <f>143935.75</f>
        <v>143935.75</v>
      </c>
      <c r="DV21">
        <f>130396.75</f>
        <v>130396.75</v>
      </c>
      <c r="DW21">
        <f>131428.75</f>
        <v>131428.75</v>
      </c>
      <c r="DX21">
        <f>126353.7</f>
        <v>126353.7</v>
      </c>
      <c r="DY21">
        <f>109585.75</f>
        <v>109585.75</v>
      </c>
      <c r="DZ21">
        <f>104382</f>
        <v>104382</v>
      </c>
      <c r="EA21">
        <f>130321.25</f>
        <v>130321.25</v>
      </c>
      <c r="EB21">
        <f>121146</f>
        <v>121146</v>
      </c>
      <c r="EC21">
        <f>134468.5</f>
        <v>134468.5</v>
      </c>
      <c r="ED21">
        <f>148206</f>
        <v>148206</v>
      </c>
      <c r="EE21">
        <f>130228.5</f>
        <v>130228.5</v>
      </c>
      <c r="EF21">
        <f>138544.5</f>
        <v>138544.5</v>
      </c>
      <c r="EG21">
        <f>140331.5</f>
        <v>140331.5</v>
      </c>
      <c r="EH21">
        <f>130768.5</f>
        <v>130768.5</v>
      </c>
      <c r="EI21">
        <f>146284</f>
        <v>146284</v>
      </c>
      <c r="EJ21">
        <f>161340.25</f>
        <v>161340.25</v>
      </c>
      <c r="EK21">
        <f>139318</f>
        <v>139318</v>
      </c>
      <c r="EL21">
        <f>167357.25</f>
        <v>167357.25</v>
      </c>
      <c r="EM21">
        <f>155532.75</f>
        <v>155532.75</v>
      </c>
      <c r="EN21">
        <f>158923.75</f>
        <v>158923.75</v>
      </c>
      <c r="EO21">
        <f>142554.5</f>
        <v>142554.5</v>
      </c>
      <c r="EP21">
        <f>144993</f>
        <v>144993</v>
      </c>
      <c r="EQ21">
        <f>147965.4</f>
        <v>147965.4</v>
      </c>
      <c r="ER21">
        <f>152527</f>
        <v>152527</v>
      </c>
      <c r="ES21">
        <f>173823.9</f>
        <v>173823.9</v>
      </c>
      <c r="ET21">
        <f>146999.5</f>
        <v>146999.5</v>
      </c>
      <c r="EU21">
        <f>162465.5</f>
        <v>162465.5</v>
      </c>
      <c r="EV21">
        <f>167991.75</f>
        <v>167991.75</v>
      </c>
      <c r="EW21">
        <f>147563.25</f>
        <v>147563.25</v>
      </c>
      <c r="EX21">
        <f>168680.75</f>
        <v>168680.75</v>
      </c>
      <c r="EY21">
        <f>164703.65</f>
        <v>164703.65</v>
      </c>
      <c r="EZ21">
        <f>163706.65</f>
        <v>163706.65</v>
      </c>
      <c r="FA21">
        <f>157591.25</f>
        <v>157591.25</v>
      </c>
      <c r="FB21">
        <f>150035.25</f>
        <v>150035.25</v>
      </c>
      <c r="FC21">
        <f>152865.5</f>
        <v>152865.5</v>
      </c>
      <c r="FD21">
        <f>177913</f>
        <v>177913</v>
      </c>
      <c r="FE21">
        <f>144209.75</f>
        <v>144209.75</v>
      </c>
      <c r="FF21">
        <f>128445.5</f>
        <v>128445.5</v>
      </c>
      <c r="FG21">
        <f>159197</f>
        <v>159197</v>
      </c>
      <c r="FH21">
        <f>154925.75</f>
        <v>154925.75</v>
      </c>
      <c r="FI21">
        <f>145527.5</f>
        <v>145527.5</v>
      </c>
      <c r="FJ21">
        <f>169639</f>
        <v>169639</v>
      </c>
      <c r="FK21">
        <f>157661.5</f>
        <v>157661.5</v>
      </c>
      <c r="FL21">
        <f>191771.75</f>
        <v>191771.75</v>
      </c>
      <c r="FM21">
        <f>155357.65</f>
        <v>155357.65</v>
      </c>
      <c r="FN21">
        <f>162420</f>
        <v>162420</v>
      </c>
      <c r="FO21">
        <f>164900.5</f>
        <v>164900.5</v>
      </c>
      <c r="FP21">
        <f>177359.75</f>
        <v>177359.75</v>
      </c>
      <c r="FQ21">
        <f>166406.25</f>
        <v>166406.25</v>
      </c>
    </row>
    <row r="22" spans="1:173" x14ac:dyDescent="0.25">
      <c r="A22" t="str">
        <f>"        Empty Containers (TEU)"</f>
        <v xml:space="preserve">        Empty Containers (TEU)</v>
      </c>
      <c r="B22" t="str">
        <f>"LALBLAEM Index"</f>
        <v>LALBLAEM Index</v>
      </c>
      <c r="C22" t="str">
        <f>"PX385"</f>
        <v>PX385</v>
      </c>
      <c r="D22" t="str">
        <f>"INTERVAL_SUM"</f>
        <v>INTERVAL_SUM</v>
      </c>
      <c r="E22" t="str">
        <f>"Dynamic"</f>
        <v>Dynamic</v>
      </c>
      <c r="F22">
        <f ca="1">IF(AND(ISNUMBER($F$64),$B$51=1),$F$64,HLOOKUP(INDIRECT(ADDRESS(2,COLUMN())),OFFSET($CL$2,0,0,ROW()-1,84),ROW()-1,FALSE))</f>
        <v>235196.5</v>
      </c>
      <c r="G22">
        <f ca="1">IF(AND(ISNUMBER($G$64),$B$51=1),$G$64,HLOOKUP(INDIRECT(ADDRESS(2,COLUMN())),OFFSET($CL$2,0,0,ROW()-1,84),ROW()-1,FALSE))</f>
        <v>269803.95</v>
      </c>
      <c r="H22">
        <f ca="1">IF(AND(ISNUMBER($H$64),$B$51=1),$H$64,HLOOKUP(INDIRECT(ADDRESS(2,COLUMN())),OFFSET($CL$2,0,0,ROW()-1,84),ROW()-1,FALSE))</f>
        <v>209710.2</v>
      </c>
      <c r="I22">
        <f ca="1">IF(AND(ISNUMBER($I$64),$B$51=1),$I$64,HLOOKUP(INDIRECT(ADDRESS(2,COLUMN())),OFFSET($CL$2,0,0,ROW()-1,84),ROW()-1,FALSE))</f>
        <v>289679.3</v>
      </c>
      <c r="J22">
        <f ca="1">IF(AND(ISNUMBER($J$64),$B$51=1),$J$64,HLOOKUP(INDIRECT(ADDRESS(2,COLUMN())),OFFSET($CL$2,0,0,ROW()-1,84),ROW()-1,FALSE))</f>
        <v>268249</v>
      </c>
      <c r="K22">
        <f ca="1">IF(AND(ISNUMBER($K$64),$B$51=1),$K$64,HLOOKUP(INDIRECT(ADDRESS(2,COLUMN())),OFFSET($CL$2,0,0,ROW()-1,84),ROW()-1,FALSE))</f>
        <v>256219.5</v>
      </c>
      <c r="L22">
        <f ca="1">IF(AND(ISNUMBER($L$64),$B$51=1),$L$64,HLOOKUP(INDIRECT(ADDRESS(2,COLUMN())),OFFSET($CL$2,0,0,ROW()-1,84),ROW()-1,FALSE))</f>
        <v>204995.55</v>
      </c>
      <c r="M22">
        <f ca="1">IF(AND(ISNUMBER($M$64),$B$51=1),$M$64,HLOOKUP(INDIRECT(ADDRESS(2,COLUMN())),OFFSET($CL$2,0,0,ROW()-1,84),ROW()-1,FALSE))</f>
        <v>156034.70000000001</v>
      </c>
      <c r="N22">
        <f ca="1">IF(AND(ISNUMBER($N$64),$B$51=1),$N$64,HLOOKUP(INDIRECT(ADDRESS(2,COLUMN())),OFFSET($CL$2,0,0,ROW()-1,84),ROW()-1,FALSE))</f>
        <v>251250.7</v>
      </c>
      <c r="O22">
        <f ca="1">IF(AND(ISNUMBER($O$64),$B$51=1),$O$64,HLOOKUP(INDIRECT(ADDRESS(2,COLUMN())),OFFSET($CL$2,0,0,ROW()-1,84),ROW()-1,FALSE))</f>
        <v>280307.15000000002</v>
      </c>
      <c r="P22">
        <f ca="1">IF(AND(ISNUMBER($P$64),$B$51=1),$P$64,HLOOKUP(INDIRECT(ADDRESS(2,COLUMN())),OFFSET($CL$2,0,0,ROW()-1,84),ROW()-1,FALSE))</f>
        <v>242147.95</v>
      </c>
      <c r="Q22">
        <f ca="1">IF(AND(ISNUMBER($Q$64),$B$51=1),$Q$64,HLOOKUP(INDIRECT(ADDRESS(2,COLUMN())),OFFSET($CL$2,0,0,ROW()-1,84),ROW()-1,FALSE))</f>
        <v>252400.8</v>
      </c>
      <c r="R22">
        <f ca="1">IF(AND(ISNUMBER($R$64),$B$51=1),$R$64,HLOOKUP(INDIRECT(ADDRESS(2,COLUMN())),OFFSET($CL$2,0,0,ROW()-1,84),ROW()-1,FALSE))</f>
        <v>288731.40000000002</v>
      </c>
      <c r="S22">
        <f ca="1">IF(AND(ISNUMBER($S$64),$B$51=1),$S$64,HLOOKUP(INDIRECT(ADDRESS(2,COLUMN())),OFFSET($CL$2,0,0,ROW()-1,84),ROW()-1,FALSE))</f>
        <v>299393.5</v>
      </c>
      <c r="T22">
        <f ca="1">IF(AND(ISNUMBER($T$64),$B$51=1),$T$64,HLOOKUP(INDIRECT(ADDRESS(2,COLUMN())),OFFSET($CL$2,0,0,ROW()-1,84),ROW()-1,FALSE))</f>
        <v>346072.55</v>
      </c>
      <c r="U22">
        <f ca="1">IF(AND(ISNUMBER($U$64),$B$51=1),$U$64,HLOOKUP(INDIRECT(ADDRESS(2,COLUMN())),OFFSET($CL$2,0,0,ROW()-1,84),ROW()-1,FALSE))</f>
        <v>338041.4</v>
      </c>
      <c r="V22">
        <f ca="1">IF(AND(ISNUMBER($V$64),$B$51=1),$V$64,HLOOKUP(INDIRECT(ADDRESS(2,COLUMN())),OFFSET($CL$2,0,0,ROW()-1,84),ROW()-1,FALSE))</f>
        <v>342284.5</v>
      </c>
      <c r="W22">
        <f ca="1">IF(AND(ISNUMBER($W$64),$B$51=1),$W$64,HLOOKUP(INDIRECT(ADDRESS(2,COLUMN())),OFFSET($CL$2,0,0,ROW()-1,84),ROW()-1,FALSE))</f>
        <v>330809.8</v>
      </c>
      <c r="X22">
        <f ca="1">IF(AND(ISNUMBER($X$64),$B$51=1),$X$64,HLOOKUP(INDIRECT(ADDRESS(2,COLUMN())),OFFSET($CL$2,0,0,ROW()-1,84),ROW()-1,FALSE))</f>
        <v>351697</v>
      </c>
      <c r="Y22">
        <f ca="1">IF(AND(ISNUMBER($Y$64),$B$51=1),$Y$64,HLOOKUP(INDIRECT(ADDRESS(2,COLUMN())),OFFSET($CL$2,0,0,ROW()-1,84),ROW()-1,FALSE))</f>
        <v>338250.55</v>
      </c>
      <c r="Z22">
        <f ca="1">IF(AND(ISNUMBER($Z$64),$B$51=1),$Z$64,HLOOKUP(INDIRECT(ADDRESS(2,COLUMN())),OFFSET($CL$2,0,0,ROW()-1,84),ROW()-1,FALSE))</f>
        <v>338202.4</v>
      </c>
      <c r="AA22">
        <f ca="1">IF(AND(ISNUMBER($AA$64),$B$51=1),$AA$64,HLOOKUP(INDIRECT(ADDRESS(2,COLUMN())),OFFSET($CL$2,0,0,ROW()-1,84),ROW()-1,FALSE))</f>
        <v>330466.3</v>
      </c>
      <c r="AB22">
        <f ca="1">IF(AND(ISNUMBER($AB$64),$B$51=1),$AB$64,HLOOKUP(INDIRECT(ADDRESS(2,COLUMN())),OFFSET($CL$2,0,0,ROW()-1,84),ROW()-1,FALSE))</f>
        <v>325274.65000000002</v>
      </c>
      <c r="AC22">
        <f ca="1">IF(AND(ISNUMBER($AC$64),$B$51=1),$AC$64,HLOOKUP(INDIRECT(ADDRESS(2,COLUMN())),OFFSET($CL$2,0,0,ROW()-1,84),ROW()-1,FALSE))</f>
        <v>337106</v>
      </c>
      <c r="AD22">
        <f ca="1">IF(AND(ISNUMBER($AD$64),$B$51=1),$AD$64,HLOOKUP(INDIRECT(ADDRESS(2,COLUMN())),OFFSET($CL$2,0,0,ROW()-1,84),ROW()-1,FALSE))</f>
        <v>360091.95</v>
      </c>
      <c r="AE22">
        <f ca="1">IF(AND(ISNUMBER($AE$64),$B$51=1),$AE$64,HLOOKUP(INDIRECT(ADDRESS(2,COLUMN())),OFFSET($CL$2,0,0,ROW()-1,84),ROW()-1,FALSE))</f>
        <v>367413.2</v>
      </c>
      <c r="AF22">
        <f ca="1">IF(AND(ISNUMBER($AF$64),$B$51=1),$AF$64,HLOOKUP(INDIRECT(ADDRESS(2,COLUMN())),OFFSET($CL$2,0,0,ROW()-1,84),ROW()-1,FALSE))</f>
        <v>329999.45</v>
      </c>
      <c r="AG22">
        <f ca="1">IF(AND(ISNUMBER($AG$64),$B$51=1),$AG$64,HLOOKUP(INDIRECT(ADDRESS(2,COLUMN())),OFFSET($CL$2,0,0,ROW()-1,84),ROW()-1,FALSE))</f>
        <v>312600.34999999998</v>
      </c>
      <c r="AH22">
        <f ca="1">IF(AND(ISNUMBER($AH$64),$B$51=1),$AH$64,HLOOKUP(INDIRECT(ADDRESS(2,COLUMN())),OFFSET($CL$2,0,0,ROW()-1,84),ROW()-1,FALSE))</f>
        <v>366447.65</v>
      </c>
      <c r="AI22">
        <f ca="1">IF(AND(ISNUMBER($AI$64),$B$51=1),$AI$64,HLOOKUP(INDIRECT(ADDRESS(2,COLUMN())),OFFSET($CL$2,0,0,ROW()-1,84),ROW()-1,FALSE))</f>
        <v>342391</v>
      </c>
      <c r="AJ22">
        <f ca="1">IF(AND(ISNUMBER($AJ$64),$B$51=1),$AJ$64,HLOOKUP(INDIRECT(ADDRESS(2,COLUMN())),OFFSET($CL$2,0,0,ROW()-1,84),ROW()-1,FALSE))</f>
        <v>344585.25</v>
      </c>
      <c r="AK22">
        <f ca="1">IF(AND(ISNUMBER($AK$64),$B$51=1),$AK$64,HLOOKUP(INDIRECT(ADDRESS(2,COLUMN())),OFFSET($CL$2,0,0,ROW()-1,84),ROW()-1,FALSE))</f>
        <v>285223</v>
      </c>
      <c r="AL22">
        <f ca="1">IF(AND(ISNUMBER($AL$64),$B$51=1),$AL$64,HLOOKUP(INDIRECT(ADDRESS(2,COLUMN())),OFFSET($CL$2,0,0,ROW()-1,84),ROW()-1,FALSE))</f>
        <v>278580.25</v>
      </c>
      <c r="AM22">
        <f ca="1">IF(AND(ISNUMBER($AM$64),$B$51=1),$AM$64,HLOOKUP(INDIRECT(ADDRESS(2,COLUMN())),OFFSET($CL$2,0,0,ROW()-1,84),ROW()-1,FALSE))</f>
        <v>298056.05</v>
      </c>
      <c r="AN22">
        <f ca="1">IF(AND(ISNUMBER($AN$64),$B$51=1),$AN$64,HLOOKUP(INDIRECT(ADDRESS(2,COLUMN())),OFFSET($CL$2,0,0,ROW()-1,84),ROW()-1,FALSE))</f>
        <v>294009.95</v>
      </c>
      <c r="AO22">
        <f ca="1">IF(AND(ISNUMBER($AO$64),$B$51=1),$AO$64,HLOOKUP(INDIRECT(ADDRESS(2,COLUMN())),OFFSET($CL$2,0,0,ROW()-1,84),ROW()-1,FALSE))</f>
        <v>330179.59999999998</v>
      </c>
      <c r="AP22">
        <f ca="1">IF(AND(ISNUMBER($AP$64),$B$51=1),$AP$64,HLOOKUP(INDIRECT(ADDRESS(2,COLUMN())),OFFSET($CL$2,0,0,ROW()-1,84),ROW()-1,FALSE))</f>
        <v>281433.55</v>
      </c>
      <c r="AQ22">
        <f ca="1">IF(AND(ISNUMBER($AQ$64),$B$51=1),$AQ$64,HLOOKUP(INDIRECT(ADDRESS(2,COLUMN())),OFFSET($CL$2,0,0,ROW()-1,84),ROW()-1,FALSE))</f>
        <v>314118.05</v>
      </c>
      <c r="AR22">
        <f ca="1">IF(AND(ISNUMBER($AR$64),$B$51=1),$AR$64,HLOOKUP(INDIRECT(ADDRESS(2,COLUMN())),OFFSET($CL$2,0,0,ROW()-1,84),ROW()-1,FALSE))</f>
        <v>274006.75</v>
      </c>
      <c r="AS22">
        <f ca="1">IF(AND(ISNUMBER($AS$64),$B$51=1),$AS$64,HLOOKUP(INDIRECT(ADDRESS(2,COLUMN())),OFFSET($CL$2,0,0,ROW()-1,84),ROW()-1,FALSE))</f>
        <v>212700.75</v>
      </c>
      <c r="AT22">
        <f ca="1">IF(AND(ISNUMBER($AT$64),$B$51=1),$AT$64,HLOOKUP(INDIRECT(ADDRESS(2,COLUMN())),OFFSET($CL$2,0,0,ROW()-1,84),ROW()-1,FALSE))</f>
        <v>170959.75</v>
      </c>
      <c r="AU22">
        <f ca="1">IF(AND(ISNUMBER($AU$64),$B$51=1),$AU$64,HLOOKUP(INDIRECT(ADDRESS(2,COLUMN())),OFFSET($CL$2,0,0,ROW()-1,84),ROW()-1,FALSE))</f>
        <v>188566.75</v>
      </c>
      <c r="AV22">
        <f ca="1">IF(AND(ISNUMBER($AV$64),$B$51=1),$AV$64,HLOOKUP(INDIRECT(ADDRESS(2,COLUMN())),OFFSET($CL$2,0,0,ROW()-1,84),ROW()-1,FALSE))</f>
        <v>108167.75</v>
      </c>
      <c r="AW22">
        <f ca="1">IF(AND(ISNUMBER($AW$64),$B$51=1),$AW$64,HLOOKUP(INDIRECT(ADDRESS(2,COLUMN())),OFFSET($CL$2,0,0,ROW()-1,84),ROW()-1,FALSE))</f>
        <v>139543.75</v>
      </c>
      <c r="AX22">
        <f ca="1">IF(AND(ISNUMBER($AX$64),$B$51=1),$AX$64,HLOOKUP(INDIRECT(ADDRESS(2,COLUMN())),OFFSET($CL$2,0,0,ROW()-1,84),ROW()-1,FALSE))</f>
        <v>243206.9</v>
      </c>
      <c r="AY22">
        <f ca="1">IF(AND(ISNUMBER($AY$64),$B$51=1),$AY$64,HLOOKUP(INDIRECT(ADDRESS(2,COLUMN())),OFFSET($CL$2,0,0,ROW()-1,84),ROW()-1,FALSE))</f>
        <v>243010.25</v>
      </c>
      <c r="AZ22">
        <f ca="1">IF(AND(ISNUMBER($AZ$64),$B$51=1),$AZ$64,HLOOKUP(INDIRECT(ADDRESS(2,COLUMN())),OFFSET($CL$2,0,0,ROW()-1,84),ROW()-1,FALSE))</f>
        <v>219023.7</v>
      </c>
      <c r="BA22">
        <f ca="1">IF(AND(ISNUMBER($BA$64),$B$51=1),$BA$64,HLOOKUP(INDIRECT(ADDRESS(2,COLUMN())),OFFSET($CL$2,0,0,ROW()-1,84),ROW()-1,FALSE))</f>
        <v>237088.4</v>
      </c>
      <c r="BB22">
        <f ca="1">IF(AND(ISNUMBER($BB$64),$B$51=1),$BB$64,HLOOKUP(INDIRECT(ADDRESS(2,COLUMN())),OFFSET($CL$2,0,0,ROW()-1,84),ROW()-1,FALSE))</f>
        <v>246814.4</v>
      </c>
      <c r="BC22">
        <f ca="1">IF(AND(ISNUMBER($BC$64),$B$51=1),$BC$64,HLOOKUP(INDIRECT(ADDRESS(2,COLUMN())),OFFSET($CL$2,0,0,ROW()-1,84),ROW()-1,FALSE))</f>
        <v>277183.55</v>
      </c>
      <c r="BD22">
        <f ca="1">IF(AND(ISNUMBER($BD$64),$B$51=1),$BD$64,HLOOKUP(INDIRECT(ADDRESS(2,COLUMN())),OFFSET($CL$2,0,0,ROW()-1,84),ROW()-1,FALSE))</f>
        <v>274375.7</v>
      </c>
      <c r="BE22">
        <f ca="1">IF(AND(ISNUMBER($BE$64),$B$51=1),$BE$64,HLOOKUP(INDIRECT(ADDRESS(2,COLUMN())),OFFSET($CL$2,0,0,ROW()-1,84),ROW()-1,FALSE))</f>
        <v>229152.75</v>
      </c>
      <c r="BF22">
        <f ca="1">IF(AND(ISNUMBER($BF$64),$B$51=1),$BF$64,HLOOKUP(INDIRECT(ADDRESS(2,COLUMN())),OFFSET($CL$2,0,0,ROW()-1,84),ROW()-1,FALSE))</f>
        <v>233515.9</v>
      </c>
      <c r="BG22">
        <f ca="1">IF(AND(ISNUMBER($BG$64),$B$51=1),$BG$64,HLOOKUP(INDIRECT(ADDRESS(2,COLUMN())),OFFSET($CL$2,0,0,ROW()-1,84),ROW()-1,FALSE))</f>
        <v>220188.55</v>
      </c>
      <c r="BH22">
        <f ca="1">IF(AND(ISNUMBER($BH$64),$B$51=1),$BH$64,HLOOKUP(INDIRECT(ADDRESS(2,COLUMN())),OFFSET($CL$2,0,0,ROW()-1,84),ROW()-1,FALSE))</f>
        <v>194866.45</v>
      </c>
      <c r="BI22">
        <f ca="1">IF(AND(ISNUMBER($BI$64),$B$51=1),$BI$64,HLOOKUP(INDIRECT(ADDRESS(2,COLUMN())),OFFSET($CL$2,0,0,ROW()-1,84),ROW()-1,FALSE))</f>
        <v>214436.3</v>
      </c>
      <c r="BJ22">
        <f ca="1">IF(AND(ISNUMBER($BJ$64),$B$51=1),$BJ$64,HLOOKUP(INDIRECT(ADDRESS(2,COLUMN())),OFFSET($CL$2,0,0,ROW()-1,84),ROW()-1,FALSE))</f>
        <v>277533.75</v>
      </c>
      <c r="BK22">
        <f ca="1">IF(AND(ISNUMBER($BK$64),$B$51=1),$BK$64,HLOOKUP(INDIRECT(ADDRESS(2,COLUMN())),OFFSET($CL$2,0,0,ROW()-1,84),ROW()-1,FALSE))</f>
        <v>286386.90000000002</v>
      </c>
      <c r="BL22">
        <f ca="1">IF(AND(ISNUMBER($BL$64),$B$51=1),$BL$64,HLOOKUP(INDIRECT(ADDRESS(2,COLUMN())),OFFSET($CL$2,0,0,ROW()-1,84),ROW()-1,FALSE))</f>
        <v>257011.25</v>
      </c>
      <c r="BM22">
        <f ca="1">IF(AND(ISNUMBER($BM$64),$B$51=1),$BM$64,HLOOKUP(INDIRECT(ADDRESS(2,COLUMN())),OFFSET($CL$2,0,0,ROW()-1,84),ROW()-1,FALSE))</f>
        <v>292906.3</v>
      </c>
      <c r="BN22">
        <f ca="1">IF(AND(ISNUMBER($BN$64),$B$51=1),$BN$64,HLOOKUP(INDIRECT(ADDRESS(2,COLUMN())),OFFSET($CL$2,0,0,ROW()-1,84),ROW()-1,FALSE))</f>
        <v>239983.15</v>
      </c>
      <c r="BO22">
        <f ca="1">IF(AND(ISNUMBER($BO$64),$B$51=1),$BO$64,HLOOKUP(INDIRECT(ADDRESS(2,COLUMN())),OFFSET($CL$2,0,0,ROW()-1,84),ROW()-1,FALSE))</f>
        <v>243599.65</v>
      </c>
      <c r="BP22">
        <f ca="1">IF(AND(ISNUMBER($BP$64),$B$51=1),$BP$64,HLOOKUP(INDIRECT(ADDRESS(2,COLUMN())),OFFSET($CL$2,0,0,ROW()-1,84),ROW()-1,FALSE))</f>
        <v>227411.55</v>
      </c>
      <c r="BQ22">
        <f ca="1">IF(AND(ISNUMBER($BQ$64),$B$51=1),$BQ$64,HLOOKUP(INDIRECT(ADDRESS(2,COLUMN())),OFFSET($CL$2,0,0,ROW()-1,84),ROW()-1,FALSE))</f>
        <v>192613.9</v>
      </c>
      <c r="BR22">
        <f ca="1">IF(AND(ISNUMBER($BR$64),$B$51=1),$BR$64,HLOOKUP(INDIRECT(ADDRESS(2,COLUMN())),OFFSET($CL$2,0,0,ROW()-1,84),ROW()-1,FALSE))</f>
        <v>194536.8</v>
      </c>
      <c r="BS22">
        <f ca="1">IF(AND(ISNUMBER($BS$64),$B$51=1),$BS$64,HLOOKUP(INDIRECT(ADDRESS(2,COLUMN())),OFFSET($CL$2,0,0,ROW()-1,84),ROW()-1,FALSE))</f>
        <v>179724</v>
      </c>
      <c r="BT22">
        <f ca="1">IF(AND(ISNUMBER($BT$64),$B$51=1),$BT$64,HLOOKUP(INDIRECT(ADDRESS(2,COLUMN())),OFFSET($CL$2,0,0,ROW()-1,84),ROW()-1,FALSE))</f>
        <v>149699.20000000001</v>
      </c>
      <c r="BU22">
        <f ca="1">IF(AND(ISNUMBER($BU$64),$B$51=1),$BU$64,HLOOKUP(INDIRECT(ADDRESS(2,COLUMN())),OFFSET($CL$2,0,0,ROW()-1,84),ROW()-1,FALSE))</f>
        <v>184378.65</v>
      </c>
      <c r="BV22">
        <f ca="1">IF(AND(ISNUMBER($BV$64),$B$51=1),$BV$64,HLOOKUP(INDIRECT(ADDRESS(2,COLUMN())),OFFSET($CL$2,0,0,ROW()-1,84),ROW()-1,FALSE))</f>
        <v>235861.3</v>
      </c>
      <c r="BW22">
        <f ca="1">IF(AND(ISNUMBER($BW$64),$B$51=1),$BW$64,HLOOKUP(INDIRECT(ADDRESS(2,COLUMN())),OFFSET($CL$2,0,0,ROW()-1,84),ROW()-1,FALSE))</f>
        <v>240853.4</v>
      </c>
      <c r="BX22">
        <f ca="1">IF(AND(ISNUMBER($BX$64),$B$51=1),$BX$64,HLOOKUP(INDIRECT(ADDRESS(2,COLUMN())),OFFSET($CL$2,0,0,ROW()-1,84),ROW()-1,FALSE))</f>
        <v>282621.84999999998</v>
      </c>
      <c r="BY22">
        <f ca="1">IF(AND(ISNUMBER($BY$64),$B$51=1),$BY$64,HLOOKUP(INDIRECT(ADDRESS(2,COLUMN())),OFFSET($CL$2,0,0,ROW()-1,84),ROW()-1,FALSE))</f>
        <v>221167.45</v>
      </c>
      <c r="BZ22">
        <f ca="1">IF(AND(ISNUMBER($BZ$64),$B$51=1),$BZ$64,HLOOKUP(INDIRECT(ADDRESS(2,COLUMN())),OFFSET($CL$2,0,0,ROW()-1,84),ROW()-1,FALSE))</f>
        <v>246668.95</v>
      </c>
      <c r="CA22">
        <f ca="1">IF(AND(ISNUMBER($CA$64),$B$51=1),$CA$64,HLOOKUP(INDIRECT(ADDRESS(2,COLUMN())),OFFSET($CL$2,0,0,ROW()-1,84),ROW()-1,FALSE))</f>
        <v>256180.9</v>
      </c>
      <c r="CB22">
        <f ca="1">IF(AND(ISNUMBER($CB$64),$B$51=1),$CB$64,HLOOKUP(INDIRECT(ADDRESS(2,COLUMN())),OFFSET($CL$2,0,0,ROW()-1,84),ROW()-1,FALSE))</f>
        <v>224787.5</v>
      </c>
      <c r="CC22">
        <f ca="1">IF(AND(ISNUMBER($CC$64),$B$51=1),$CC$64,HLOOKUP(INDIRECT(ADDRESS(2,COLUMN())),OFFSET($CL$2,0,0,ROW()-1,84),ROW()-1,FALSE))</f>
        <v>213232.75</v>
      </c>
      <c r="CD22">
        <f ca="1">IF(AND(ISNUMBER($CD$64),$B$51=1),$CD$64,HLOOKUP(INDIRECT(ADDRESS(2,COLUMN())),OFFSET($CL$2,0,0,ROW()-1,84),ROW()-1,FALSE))</f>
        <v>213556.4</v>
      </c>
      <c r="CE22">
        <f ca="1">IF(AND(ISNUMBER($CE$64),$B$51=1),$CE$64,HLOOKUP(INDIRECT(ADDRESS(2,COLUMN())),OFFSET($CL$2,0,0,ROW()-1,84),ROW()-1,FALSE))</f>
        <v>185052.65</v>
      </c>
      <c r="CF22">
        <f ca="1">IF(AND(ISNUMBER($CF$64),$B$51=1),$CF$64,HLOOKUP(INDIRECT(ADDRESS(2,COLUMN())),OFFSET($CL$2,0,0,ROW()-1,84),ROW()-1,FALSE))</f>
        <v>223203</v>
      </c>
      <c r="CG22">
        <f ca="1">IF(AND(ISNUMBER($CG$64),$B$51=1),$CG$64,HLOOKUP(INDIRECT(ADDRESS(2,COLUMN())),OFFSET($CL$2,0,0,ROW()-1,84),ROW()-1,FALSE))</f>
        <v>171048.55</v>
      </c>
      <c r="CH22">
        <f ca="1">IF(AND(ISNUMBER($CH$64),$B$51=1),$CH$64,HLOOKUP(INDIRECT(ADDRESS(2,COLUMN())),OFFSET($CL$2,0,0,ROW()-1,84),ROW()-1,FALSE))</f>
        <v>248796.85</v>
      </c>
      <c r="CI22">
        <f ca="1">IF(AND(ISNUMBER($CI$64),$B$51=1),$CI$64,HLOOKUP(INDIRECT(ADDRESS(2,COLUMN())),OFFSET($CL$2,0,0,ROW()-1,84),ROW()-1,FALSE))</f>
        <v>237418.6</v>
      </c>
      <c r="CJ22">
        <f ca="1">IF(AND(ISNUMBER($CJ$64),$B$51=1),$CJ$64,HLOOKUP(INDIRECT(ADDRESS(2,COLUMN())),OFFSET($CL$2,0,0,ROW()-1,84),ROW()-1,FALSE))</f>
        <v>263154.25</v>
      </c>
      <c r="CK22">
        <f ca="1">IF(AND(ISNUMBER($CK$64),$B$51=1),$CK$64,HLOOKUP(INDIRECT(ADDRESS(2,COLUMN())),OFFSET($CL$2,0,0,ROW()-1,84),ROW()-1,FALSE))</f>
        <v>230857.2</v>
      </c>
      <c r="CL22">
        <f>235196.5</f>
        <v>235196.5</v>
      </c>
      <c r="CM22">
        <f>269803.95</f>
        <v>269803.95</v>
      </c>
      <c r="CN22">
        <f>209710.2</f>
        <v>209710.2</v>
      </c>
      <c r="CO22">
        <f>289679.3</f>
        <v>289679.3</v>
      </c>
      <c r="CP22">
        <f>268249</f>
        <v>268249</v>
      </c>
      <c r="CQ22">
        <f>256219.5</f>
        <v>256219.5</v>
      </c>
      <c r="CR22">
        <f>204995.55</f>
        <v>204995.55</v>
      </c>
      <c r="CS22">
        <f>156034.7</f>
        <v>156034.70000000001</v>
      </c>
      <c r="CT22">
        <f>251250.7</f>
        <v>251250.7</v>
      </c>
      <c r="CU22">
        <f>280307.15</f>
        <v>280307.15000000002</v>
      </c>
      <c r="CV22">
        <f>242147.95</f>
        <v>242147.95</v>
      </c>
      <c r="CW22">
        <f>252400.8</f>
        <v>252400.8</v>
      </c>
      <c r="CX22">
        <f>288731.4</f>
        <v>288731.40000000002</v>
      </c>
      <c r="CY22">
        <f>299393.5</f>
        <v>299393.5</v>
      </c>
      <c r="CZ22">
        <f>346072.55</f>
        <v>346072.55</v>
      </c>
      <c r="DA22">
        <f>338041.4</f>
        <v>338041.4</v>
      </c>
      <c r="DB22">
        <f>342284.5</f>
        <v>342284.5</v>
      </c>
      <c r="DC22">
        <f>330809.8</f>
        <v>330809.8</v>
      </c>
      <c r="DD22">
        <f>351697</f>
        <v>351697</v>
      </c>
      <c r="DE22">
        <f>338250.55</f>
        <v>338250.55</v>
      </c>
      <c r="DF22">
        <f>338202.4</f>
        <v>338202.4</v>
      </c>
      <c r="DG22">
        <f>330466.3</f>
        <v>330466.3</v>
      </c>
      <c r="DH22">
        <f>325274.65</f>
        <v>325274.65000000002</v>
      </c>
      <c r="DI22">
        <f>337106</f>
        <v>337106</v>
      </c>
      <c r="DJ22">
        <f>360091.95</f>
        <v>360091.95</v>
      </c>
      <c r="DK22">
        <f>367413.2</f>
        <v>367413.2</v>
      </c>
      <c r="DL22">
        <f>329999.45</f>
        <v>329999.45</v>
      </c>
      <c r="DM22">
        <f>312600.35</f>
        <v>312600.34999999998</v>
      </c>
      <c r="DN22">
        <f>366447.65</f>
        <v>366447.65</v>
      </c>
      <c r="DO22">
        <f>342391</f>
        <v>342391</v>
      </c>
      <c r="DP22">
        <f>344585.25</f>
        <v>344585.25</v>
      </c>
      <c r="DQ22">
        <f>285223</f>
        <v>285223</v>
      </c>
      <c r="DR22">
        <f>278580.25</f>
        <v>278580.25</v>
      </c>
      <c r="DS22">
        <f>298056.05</f>
        <v>298056.05</v>
      </c>
      <c r="DT22">
        <f>294009.95</f>
        <v>294009.95</v>
      </c>
      <c r="DU22">
        <f>330179.6</f>
        <v>330179.59999999998</v>
      </c>
      <c r="DV22">
        <f>281433.55</f>
        <v>281433.55</v>
      </c>
      <c r="DW22">
        <f>314118.05</f>
        <v>314118.05</v>
      </c>
      <c r="DX22">
        <f>274006.75</f>
        <v>274006.75</v>
      </c>
      <c r="DY22">
        <f>212700.75</f>
        <v>212700.75</v>
      </c>
      <c r="DZ22">
        <f>170959.75</f>
        <v>170959.75</v>
      </c>
      <c r="EA22">
        <f>188566.75</f>
        <v>188566.75</v>
      </c>
      <c r="EB22">
        <f>108167.75</f>
        <v>108167.75</v>
      </c>
      <c r="EC22">
        <f>139543.75</f>
        <v>139543.75</v>
      </c>
      <c r="ED22">
        <f>243206.9</f>
        <v>243206.9</v>
      </c>
      <c r="EE22">
        <f>243010.25</f>
        <v>243010.25</v>
      </c>
      <c r="EF22">
        <f>219023.7</f>
        <v>219023.7</v>
      </c>
      <c r="EG22">
        <f>237088.4</f>
        <v>237088.4</v>
      </c>
      <c r="EH22">
        <f>246814.4</f>
        <v>246814.4</v>
      </c>
      <c r="EI22">
        <f>277183.55</f>
        <v>277183.55</v>
      </c>
      <c r="EJ22">
        <f>274375.7</f>
        <v>274375.7</v>
      </c>
      <c r="EK22">
        <f>229152.75</f>
        <v>229152.75</v>
      </c>
      <c r="EL22">
        <f>233515.9</f>
        <v>233515.9</v>
      </c>
      <c r="EM22">
        <f>220188.55</f>
        <v>220188.55</v>
      </c>
      <c r="EN22">
        <f>194866.45</f>
        <v>194866.45</v>
      </c>
      <c r="EO22">
        <f>214436.3</f>
        <v>214436.3</v>
      </c>
      <c r="EP22">
        <f>277533.75</f>
        <v>277533.75</v>
      </c>
      <c r="EQ22">
        <f>286386.9</f>
        <v>286386.90000000002</v>
      </c>
      <c r="ER22">
        <f>257011.25</f>
        <v>257011.25</v>
      </c>
      <c r="ES22">
        <f>292906.3</f>
        <v>292906.3</v>
      </c>
      <c r="ET22">
        <f>239983.15</f>
        <v>239983.15</v>
      </c>
      <c r="EU22">
        <f>243599.65</f>
        <v>243599.65</v>
      </c>
      <c r="EV22">
        <f>227411.55</f>
        <v>227411.55</v>
      </c>
      <c r="EW22">
        <f>192613.9</f>
        <v>192613.9</v>
      </c>
      <c r="EX22">
        <f>194536.8</f>
        <v>194536.8</v>
      </c>
      <c r="EY22">
        <f>179724</f>
        <v>179724</v>
      </c>
      <c r="EZ22">
        <f>149699.2</f>
        <v>149699.20000000001</v>
      </c>
      <c r="FA22">
        <f>184378.65</f>
        <v>184378.65</v>
      </c>
      <c r="FB22">
        <f>235861.3</f>
        <v>235861.3</v>
      </c>
      <c r="FC22">
        <f>240853.4</f>
        <v>240853.4</v>
      </c>
      <c r="FD22">
        <f>282621.85</f>
        <v>282621.84999999998</v>
      </c>
      <c r="FE22">
        <f>221167.45</f>
        <v>221167.45</v>
      </c>
      <c r="FF22">
        <f>246668.95</f>
        <v>246668.95</v>
      </c>
      <c r="FG22">
        <f>256180.9</f>
        <v>256180.9</v>
      </c>
      <c r="FH22">
        <f>224787.5</f>
        <v>224787.5</v>
      </c>
      <c r="FI22">
        <f>213232.75</f>
        <v>213232.75</v>
      </c>
      <c r="FJ22">
        <f>213556.4</f>
        <v>213556.4</v>
      </c>
      <c r="FK22">
        <f>185052.65</f>
        <v>185052.65</v>
      </c>
      <c r="FL22">
        <f>223203</f>
        <v>223203</v>
      </c>
      <c r="FM22">
        <f>171048.55</f>
        <v>171048.55</v>
      </c>
      <c r="FN22">
        <f>248796.85</f>
        <v>248796.85</v>
      </c>
      <c r="FO22">
        <f>237418.6</f>
        <v>237418.6</v>
      </c>
      <c r="FP22">
        <f>263154.25</f>
        <v>263154.25</v>
      </c>
      <c r="FQ22">
        <f>230857.2</f>
        <v>230857.2</v>
      </c>
    </row>
    <row r="23" spans="1:173" x14ac:dyDescent="0.25">
      <c r="A23" t="str">
        <f>"    Port of Long Beach (TEU)"</f>
        <v xml:space="preserve">    Port of Long Beach (TEU)</v>
      </c>
      <c r="B23" t="str">
        <f>""</f>
        <v/>
      </c>
      <c r="E23" t="str">
        <f>"Sum"</f>
        <v>Sum</v>
      </c>
      <c r="F23">
        <f ca="1">IF(ISERROR(IF(SUM($F$24:$F$26) = 0, "", SUM($F$24:$F$26))), "", (IF(SUM($F$24:$F$26) = 0, "", SUM($F$24:$F$26))))</f>
        <v>829429</v>
      </c>
      <c r="G23">
        <f ca="1">IF(ISERROR(IF(SUM($G$24:$G$26) = 0, "", SUM($G$24:$G$26))), "", (IF(SUM($G$24:$G$26) = 0, "", SUM($G$24:$G$26))))</f>
        <v>682313</v>
      </c>
      <c r="H23">
        <f ca="1">IF(ISERROR(IF(SUM($H$24:$H$26) = 0, "", SUM($H$24:$H$26))), "", (IF(SUM($H$24:$H$26) = 0, "", SUM($H$24:$H$26))))</f>
        <v>578250</v>
      </c>
      <c r="I23">
        <f ca="1">IF(ISERROR(IF(SUM($I$24:$I$26) = 0, "", SUM($I$24:$I$26))), "", (IF(SUM($I$24:$I$26) = 0, "", SUM($I$24:$I$26))))</f>
        <v>597076</v>
      </c>
      <c r="J23">
        <f ca="1">IF(ISERROR(IF(SUM($J$24:$J$26) = 0, "", SUM($J$24:$J$26))), "", (IF(SUM($J$24:$J$26) = 0, "", SUM($J$24:$J$26))))</f>
        <v>758226</v>
      </c>
      <c r="K23">
        <f ca="1">IF(ISERROR(IF(SUM($K$24:$K$26) = 0, "", SUM($K$24:$K$26))), "", (IF(SUM($K$24:$K$26) = 0, "", SUM($K$24:$K$26))))</f>
        <v>656049</v>
      </c>
      <c r="L23">
        <f ca="1">IF(ISERROR(IF(SUM($L$24:$L$26) = 0, "", SUM($L$24:$L$26))), "", (IF(SUM($L$24:$L$26) = 0, "", SUM($L$24:$L$26))))</f>
        <v>603879</v>
      </c>
      <c r="M23">
        <f ca="1">IF(ISERROR(IF(SUM($M$24:$M$26) = 0, "", SUM($M$24:$M$26))), "", (IF(SUM($M$24:$M$26) = 0, "", SUM($M$24:$M$26))))</f>
        <v>543676</v>
      </c>
      <c r="N23">
        <f ca="1">IF(ISERROR(IF(SUM($N$24:$N$26) = 0, "", SUM($N$24:$N$26))), "", (IF(SUM($N$24:$N$26) = 0, "", SUM($N$24:$N$26))))</f>
        <v>573773</v>
      </c>
      <c r="O23">
        <f ca="1">IF(ISERROR(IF(SUM($O$24:$O$26) = 0, "", SUM($O$24:$O$26))), "", (IF(SUM($O$24:$O$26) = 0, "", SUM($O$24:$O$26))))</f>
        <v>544105</v>
      </c>
      <c r="P23">
        <f ca="1">IF(ISERROR(IF(SUM($P$24:$P$26) = 0, "", SUM($P$24:$P$26))), "", (IF(SUM($P$24:$P$26) = 0, "", SUM($P$24:$P$26))))</f>
        <v>588743</v>
      </c>
      <c r="Q23">
        <f ca="1">IF(ISERROR(IF(SUM($Q$24:$Q$26) = 0, "", SUM($Q$24:$Q$26))), "", (IF(SUM($Q$24:$Q$26) = 0, "", SUM($Q$24:$Q$26))))</f>
        <v>658428</v>
      </c>
      <c r="R23">
        <f ca="1">IF(ISERROR(IF(SUM($R$24:$R$26) = 0, "", SUM($R$24:$R$26))), "", (IF(SUM($R$24:$R$26) = 0, "", SUM($R$24:$R$26))))</f>
        <v>741823</v>
      </c>
      <c r="S23">
        <f ca="1">IF(ISERROR(IF(SUM($S$24:$S$26) = 0, "", SUM($S$24:$S$26))), "", (IF(SUM($S$24:$S$26) = 0, "", SUM($S$24:$S$26))))</f>
        <v>806940</v>
      </c>
      <c r="T23">
        <f ca="1">IF(ISERROR(IF(SUM($T$24:$T$26) = 0, "", SUM($T$24:$T$26))), "", (IF(SUM($T$24:$T$26) = 0, "", SUM($T$24:$T$26))))</f>
        <v>785843</v>
      </c>
      <c r="U23">
        <f ca="1">IF(ISERROR(IF(SUM($U$24:$U$26) = 0, "", SUM($U$24:$U$26))), "", (IF(SUM($U$24:$U$26) = 0, "", SUM($U$24:$U$26))))</f>
        <v>835412</v>
      </c>
      <c r="V23">
        <f ca="1">IF(ISERROR(IF(SUM($V$24:$V$26) = 0, "", SUM($V$24:$V$26))), "", (IF(SUM($V$24:$V$26) = 0, "", SUM($V$24:$V$26))))</f>
        <v>890989</v>
      </c>
      <c r="W23">
        <f ca="1">IF(ISERROR(IF(SUM($W$24:$W$26) = 0, "", SUM($W$24:$W$26))), "", (IF(SUM($W$24:$W$26) = 0, "", SUM($W$24:$W$26))))</f>
        <v>820719</v>
      </c>
      <c r="X23">
        <f ca="1">IF(ISERROR(IF(SUM($X$24:$X$26) = 0, "", SUM($X$24:$X$26))), "", (IF(SUM($X$24:$X$26) = 0, "", SUM($X$24:$X$26))))</f>
        <v>863156</v>
      </c>
      <c r="Y23">
        <f ca="1">IF(ISERROR(IF(SUM($Y$24:$Y$26) = 0, "", SUM($Y$24:$Y$26))), "", (IF(SUM($Y$24:$Y$26) = 0, "", SUM($Y$24:$Y$26))))</f>
        <v>796560</v>
      </c>
      <c r="Z23">
        <f ca="1">IF(ISERROR(IF(SUM($Z$24:$Z$26) = 0, "", SUM($Z$24:$Z$26))), "", (IF(SUM($Z$24:$Z$26) = 0, "", SUM($Z$24:$Z$26))))</f>
        <v>800944</v>
      </c>
      <c r="AA23">
        <f ca="1">IF(ISERROR(IF(SUM($AA$24:$AA$26) = 0, "", SUM($AA$24:$AA$26))), "", (IF(SUM($AA$24:$AA$26) = 0, "", SUM($AA$24:$AA$26))))</f>
        <v>754314</v>
      </c>
      <c r="AB23">
        <f ca="1">IF(ISERROR(IF(SUM($AB$24:$AB$26) = 0, "", SUM($AB$24:$AB$26))), "", (IF(SUM($AB$24:$AB$26) = 0, "", SUM($AB$24:$AB$26))))</f>
        <v>745489</v>
      </c>
      <c r="AC23">
        <f ca="1">IF(ISERROR(IF(SUM($AC$24:$AC$26) = 0, "", SUM($AC$24:$AC$26))), "", (IF(SUM($AC$24:$AC$26) = 0, "", SUM($AC$24:$AC$26))))</f>
        <v>789716</v>
      </c>
      <c r="AD23">
        <f ca="1">IF(ISERROR(IF(SUM($AD$24:$AD$26) = 0, "", SUM($AD$24:$AD$26))), "", (IF(SUM($AD$24:$AD$26) = 0, "", SUM($AD$24:$AD$26))))</f>
        <v>748473</v>
      </c>
      <c r="AE23">
        <f ca="1">IF(ISERROR(IF(SUM($AE$24:$AE$26) = 0, "", SUM($AE$24:$AE$26))), "", (IF(SUM($AE$24:$AE$26) = 0, "", SUM($AE$24:$AE$26))))</f>
        <v>807705</v>
      </c>
      <c r="AF23">
        <f ca="1">IF(ISERROR(IF(SUM($AF$24:$AF$26) = 0, "", SUM($AF$24:$AF$26))), "", (IF(SUM($AF$24:$AF$26) = 0, "", SUM($AF$24:$AF$26))))</f>
        <v>784846</v>
      </c>
      <c r="AG23">
        <f ca="1">IF(ISERROR(IF(SUM($AG$24:$AG$26) = 0, "", SUM($AG$24:$AG$26))), "", (IF(SUM($AG$24:$AG$26) = 0, "", SUM($AG$24:$AG$26))))</f>
        <v>724297</v>
      </c>
      <c r="AH23">
        <f ca="1">IF(ISERROR(IF(SUM($AH$24:$AH$26) = 0, "", SUM($AH$24:$AH$26))), "", (IF(SUM($AH$24:$AH$26) = 0, "", SUM($AH$24:$AH$26))))</f>
        <v>907216</v>
      </c>
      <c r="AI23">
        <f ca="1">IF(ISERROR(IF(SUM($AI$24:$AI$26) = 0, "", SUM($AI$24:$AI$26))), "", (IF(SUM($AI$24:$AI$26) = 0, "", SUM($AI$24:$AI$26))))</f>
        <v>746189</v>
      </c>
      <c r="AJ23">
        <f ca="1">IF(ISERROR(IF(SUM($AJ$24:$AJ$26) = 0, "", SUM($AJ$24:$AJ$26))), "", (IF(SUM($AJ$24:$AJ$26) = 0, "", SUM($AJ$24:$AJ$26))))</f>
        <v>840386</v>
      </c>
      <c r="AK23">
        <f ca="1">IF(ISERROR(IF(SUM($AK$24:$AK$26) = 0, "", SUM($AK$24:$AK$26))), "", (IF(SUM($AK$24:$AK$26) = 0, "", SUM($AK$24:$AK$26))))</f>
        <v>771735</v>
      </c>
      <c r="AL23">
        <f ca="1">IF(ISERROR(IF(SUM($AL$24:$AL$26) = 0, "", SUM($AL$24:$AL$26))), "", (IF(SUM($AL$24:$AL$26) = 0, "", SUM($AL$24:$AL$26))))</f>
        <v>764007</v>
      </c>
      <c r="AM23">
        <f ca="1">IF(ISERROR(IF(SUM($AM$24:$AM$26) = 0, "", SUM($AM$24:$AM$26))), "", (IF(SUM($AM$24:$AM$26) = 0, "", SUM($AM$24:$AM$26))))</f>
        <v>815886</v>
      </c>
      <c r="AN23">
        <f ca="1">IF(ISERROR(IF(SUM($AN$24:$AN$26) = 0, "", SUM($AN$24:$AN$26))), "", (IF(SUM($AN$24:$AN$26) = 0, "", SUM($AN$24:$AN$26))))</f>
        <v>783523</v>
      </c>
      <c r="AO23">
        <f ca="1">IF(ISERROR(IF(SUM($AO$24:$AO$26) = 0, "", SUM($AO$24:$AO$26))), "", (IF(SUM($AO$24:$AO$26) = 0, "", SUM($AO$24:$AO$26))))</f>
        <v>806604</v>
      </c>
      <c r="AP23">
        <f ca="1">IF(ISERROR(IF(SUM($AP$24:$AP$26) = 0, "", SUM($AP$24:$AP$26))), "", (IF(SUM($AP$24:$AP$26) = 0, "", SUM($AP$24:$AP$26))))</f>
        <v>795580</v>
      </c>
      <c r="AQ23">
        <f ca="1">IF(ISERROR(IF(SUM($AQ$24:$AQ$26) = 0, "", SUM($AQ$24:$AQ$26))), "", (IF(SUM($AQ$24:$AQ$26) = 0, "", SUM($AQ$24:$AQ$26))))</f>
        <v>725611</v>
      </c>
      <c r="AR23">
        <f ca="1">IF(ISERROR(IF(SUM($AR$24:$AR$26) = 0, "", SUM($AR$24:$AR$26))), "", (IF(SUM($AR$24:$AR$26) = 0, "", SUM($AR$24:$AR$26))))</f>
        <v>753081</v>
      </c>
      <c r="AS23">
        <f ca="1">IF(ISERROR(IF(SUM($AS$24:$AS$26) = 0, "", SUM($AS$24:$AS$26))), "", (IF(SUM($AS$24:$AS$26) = 0, "", SUM($AS$24:$AS$26))))</f>
        <v>602180</v>
      </c>
      <c r="AT23">
        <f ca="1">IF(ISERROR(IF(SUM($AT$24:$AT$26) = 0, "", SUM($AT$24:$AT$26))), "", (IF(SUM($AT$24:$AT$26) = 0, "", SUM($AT$24:$AT$26))))</f>
        <v>628206</v>
      </c>
      <c r="AU23">
        <f ca="1">IF(ISERROR(IF(SUM($AU$24:$AU$26) = 0, "", SUM($AU$24:$AU$26))), "", (IF(SUM($AU$24:$AU$26) = 0, "", SUM($AU$24:$AU$26))))</f>
        <v>519731</v>
      </c>
      <c r="AV23">
        <f ca="1">IF(ISERROR(IF(SUM($AV$24:$AV$26) = 0, "", SUM($AV$24:$AV$26))), "", (IF(SUM($AV$24:$AV$26) = 0, "", SUM($AV$24:$AV$26))))</f>
        <v>517664</v>
      </c>
      <c r="AW23">
        <f ca="1">IF(ISERROR(IF(SUM($AW$24:$AW$26) = 0, "", SUM($AW$24:$AW$26))), "", (IF(SUM($AW$24:$AW$26) = 0, "", SUM($AW$24:$AW$26))))</f>
        <v>538428</v>
      </c>
      <c r="AX23">
        <f ca="1">IF(ISERROR(IF(SUM($AX$24:$AX$26) = 0, "", SUM($AX$24:$AX$26))), "", (IF(SUM($AX$24:$AX$26) = 0, "", SUM($AX$24:$AX$26))))</f>
        <v>626829</v>
      </c>
      <c r="AY23">
        <f ca="1">IF(ISERROR(IF(SUM($AY$24:$AY$26) = 0, "", SUM($AY$24:$AY$26))), "", (IF(SUM($AY$24:$AY$26) = 0, "", SUM($AY$24:$AY$26))))</f>
        <v>665261</v>
      </c>
      <c r="AZ23">
        <f ca="1">IF(ISERROR(IF(SUM($AZ$24:$AZ$26) = 0, "", SUM($AZ$24:$AZ$26))), "", (IF(SUM($AZ$24:$AZ$26) = 0, "", SUM($AZ$24:$AZ$26))))</f>
        <v>599984</v>
      </c>
      <c r="BA23">
        <f ca="1">IF(ISERROR(IF(SUM($BA$24:$BA$26) = 0, "", SUM($BA$24:$BA$26))), "", (IF(SUM($BA$24:$BA$26) = 0, "", SUM($BA$24:$BA$26))))</f>
        <v>688425</v>
      </c>
      <c r="BB23">
        <f ca="1">IF(ISERROR(IF(SUM($BB$24:$BB$26) = 0, "", SUM($BB$24:$BB$26))), "", (IF(SUM($BB$24:$BB$26) = 0, "", SUM($BB$24:$BB$26))))</f>
        <v>706955</v>
      </c>
      <c r="BC23">
        <f ca="1">IF(ISERROR(IF(SUM($BC$24:$BC$26) = 0, "", SUM($BC$24:$BC$26))), "", (IF(SUM($BC$24:$BC$26) = 0, "", SUM($BC$24:$BC$26))))</f>
        <v>663993</v>
      </c>
      <c r="BD23">
        <f ca="1">IF(ISERROR(IF(SUM($BD$24:$BD$26) = 0, "", SUM($BD$24:$BD$26))), "", (IF(SUM($BD$24:$BD$26) = 0, "", SUM($BD$24:$BD$26))))</f>
        <v>621781</v>
      </c>
      <c r="BE23">
        <f ca="1">IF(ISERROR(IF(SUM($BE$24:$BE$26) = 0, "", SUM($BE$24:$BE$26))), "", (IF(SUM($BE$24:$BE$26) = 0, "", SUM($BE$24:$BE$26))))</f>
        <v>677168</v>
      </c>
      <c r="BF23">
        <f ca="1">IF(ISERROR(IF(SUM($BF$24:$BF$26) = 0, "", SUM($BF$24:$BF$26))), "", (IF(SUM($BF$24:$BF$26) = 0, "", SUM($BF$24:$BF$26))))</f>
        <v>573624</v>
      </c>
      <c r="BG23">
        <f ca="1">IF(ISERROR(IF(SUM($BG$24:$BG$26) = 0, "", SUM($BG$24:$BG$26))), "", (IF(SUM($BG$24:$BG$26) = 0, "", SUM($BG$24:$BG$26))))</f>
        <v>628122</v>
      </c>
      <c r="BH23">
        <f ca="1">IF(ISERROR(IF(SUM($BH$24:$BH$26) = 0, "", SUM($BH$24:$BH$26))), "", (IF(SUM($BH$24:$BH$26) = 0, "", SUM($BH$24:$BH$26))))</f>
        <v>552821</v>
      </c>
      <c r="BI23">
        <f ca="1">IF(ISERROR(IF(SUM($BI$24:$BI$26) = 0, "", SUM($BI$24:$BI$26))), "", (IF(SUM($BI$24:$BI$26) = 0, "", SUM($BI$24:$BI$26))))</f>
        <v>596617</v>
      </c>
      <c r="BJ23">
        <f ca="1">IF(ISERROR(IF(SUM($BJ$24:$BJ$26) = 0, "", SUM($BJ$24:$BJ$26))), "", (IF(SUM($BJ$24:$BJ$26) = 0, "", SUM($BJ$24:$BJ$26))))</f>
        <v>657286</v>
      </c>
      <c r="BK23">
        <f ca="1">IF(ISERROR(IF(SUM($BK$24:$BK$26) = 0, "", SUM($BK$24:$BK$26))), "", (IF(SUM($BK$24:$BK$26) = 0, "", SUM($BK$24:$BK$26))))</f>
        <v>741647</v>
      </c>
      <c r="BL23">
        <f ca="1">IF(ISERROR(IF(SUM($BL$24:$BL$26) = 0, "", SUM($BL$24:$BL$26))), "", (IF(SUM($BL$24:$BL$26) = 0, "", SUM($BL$24:$BL$26))))</f>
        <v>621834</v>
      </c>
      <c r="BM23">
        <f ca="1">IF(ISERROR(IF(SUM($BM$24:$BM$26) = 0, "", SUM($BM$24:$BM$26))), "", (IF(SUM($BM$24:$BM$26) = 0, "", SUM($BM$24:$BM$26))))</f>
        <v>705408</v>
      </c>
      <c r="BN23">
        <f ca="1">IF(ISERROR(IF(SUM($BN$24:$BN$26) = 0, "", SUM($BN$24:$BN$26))), "", (IF(SUM($BN$24:$BN$26) = 0, "", SUM($BN$24:$BN$26))))</f>
        <v>701205</v>
      </c>
      <c r="BO23">
        <f ca="1">IF(ISERROR(IF(SUM($BO$24:$BO$26) = 0, "", SUM($BO$24:$BO$26))), "", (IF(SUM($BO$24:$BO$26) = 0, "", SUM($BO$24:$BO$26))))</f>
        <v>679543</v>
      </c>
      <c r="BP23">
        <f ca="1">IF(ISERROR(IF(SUM($BP$24:$BP$26) = 0, "", SUM($BP$24:$BP$26))), "", (IF(SUM($BP$24:$BP$26) = 0, "", SUM($BP$24:$BP$26))))</f>
        <v>688458</v>
      </c>
      <c r="BQ23">
        <f ca="1">IF(ISERROR(IF(SUM($BQ$24:$BQ$26) = 0, "", SUM($BQ$24:$BQ$26))), "", (IF(SUM($BQ$24:$BQ$26) = 0, "", SUM($BQ$24:$BQ$26))))</f>
        <v>752189</v>
      </c>
      <c r="BR23">
        <f ca="1">IF(ISERROR(IF(SUM($BR$24:$BR$26) = 0, "", SUM($BR$24:$BR$26))), "", (IF(SUM($BR$24:$BR$26) = 0, "", SUM($BR$24:$BR$26))))</f>
        <v>687427</v>
      </c>
      <c r="BS23">
        <f ca="1">IF(ISERROR(IF(SUM($BS$24:$BS$26) = 0, "", SUM($BS$24:$BS$26))), "", (IF(SUM($BS$24:$BS$26) = 0, "", SUM($BS$24:$BS$26))))</f>
        <v>618439</v>
      </c>
      <c r="BT23">
        <f ca="1">IF(ISERROR(IF(SUM($BT$24:$BT$26) = 0, "", SUM($BT$24:$BT$26))), "", (IF(SUM($BT$24:$BT$26) = 0, "", SUM($BT$24:$BT$26))))</f>
        <v>575258</v>
      </c>
      <c r="BU23">
        <f ca="1">IF(ISERROR(IF(SUM($BU$24:$BU$26) = 0, "", SUM($BU$24:$BU$26))), "", (IF(SUM($BU$24:$BU$26) = 0, "", SUM($BU$24:$BU$26))))</f>
        <v>661791</v>
      </c>
      <c r="BV23">
        <f ca="1">IF(ISERROR(IF(SUM($BV$24:$BV$26) = 0, "", SUM($BV$24:$BV$26))), "", (IF(SUM($BV$24:$BV$26) = 0, "", SUM($BV$24:$BV$26))))</f>
        <v>657830</v>
      </c>
      <c r="BW23">
        <f ca="1">IF(ISERROR(IF(SUM($BW$24:$BW$26) = 0, "", SUM($BW$24:$BW$26))), "", (IF(SUM($BW$24:$BW$26) = 0, "", SUM($BW$24:$BW$26))))</f>
        <v>696919</v>
      </c>
      <c r="BX23">
        <f ca="1">IF(ISERROR(IF(SUM($BX$24:$BX$26) = 0, "", SUM($BX$24:$BX$26))), "", (IF(SUM($BX$24:$BX$26) = 0, "", SUM($BX$24:$BX$26))))</f>
        <v>612659</v>
      </c>
      <c r="BY23">
        <f ca="1">IF(ISERROR(IF(SUM($BY$24:$BY$26) = 0, "", SUM($BY$24:$BY$26))), "", (IF(SUM($BY$24:$BY$26) = 0, "", SUM($BY$24:$BY$26))))</f>
        <v>669218</v>
      </c>
      <c r="BZ23">
        <f ca="1">IF(ISERROR(IF(SUM($BZ$24:$BZ$26) = 0, "", SUM($BZ$24:$BZ$26))), "", (IF(SUM($BZ$24:$BZ$26) = 0, "", SUM($BZ$24:$BZ$26))))</f>
        <v>701619</v>
      </c>
      <c r="CA23">
        <f ca="1">IF(ISERROR(IF(SUM($CA$24:$CA$26) = 0, "", SUM($CA$24:$CA$26))), "", (IF(SUM($CA$24:$CA$26) = 0, "", SUM($CA$24:$CA$26))))</f>
        <v>692375</v>
      </c>
      <c r="CB23">
        <f ca="1">IF(ISERROR(IF(SUM($CB$24:$CB$26) = 0, "", SUM($CB$24:$CB$26))), "", (IF(SUM($CB$24:$CB$26) = 0, "", SUM($CB$24:$CB$26))))</f>
        <v>720312</v>
      </c>
      <c r="CC23">
        <f ca="1">IF(ISERROR(IF(SUM($CC$24:$CC$26) = 0, "", SUM($CC$24:$CC$26))), "", (IF(SUM($CC$24:$CC$26) = 0, "", SUM($CC$24:$CC$26))))</f>
        <v>658727</v>
      </c>
      <c r="CD23">
        <f ca="1">IF(ISERROR(IF(SUM($CD$24:$CD$26) = 0, "", SUM($CD$24:$CD$26))), "", (IF(SUM($CD$24:$CD$26) = 0, "", SUM($CD$24:$CD$26))))</f>
        <v>648288</v>
      </c>
      <c r="CE23">
        <f ca="1">IF(ISERROR(IF(SUM($CE$24:$CE$26) = 0, "", SUM($CE$24:$CE$26))), "", (IF(SUM($CE$24:$CE$26) = 0, "", SUM($CE$24:$CE$26))))</f>
        <v>558014</v>
      </c>
      <c r="CF23">
        <f ca="1">IF(ISERROR(IF(SUM($CF$24:$CF$26) = 0, "", SUM($CF$24:$CF$26))), "", (IF(SUM($CF$24:$CF$26) = 0, "", SUM($CF$24:$CF$26))))</f>
        <v>505382</v>
      </c>
      <c r="CG23">
        <f ca="1">IF(ISERROR(IF(SUM($CG$24:$CG$26) = 0, "", SUM($CG$24:$CG$26))), "", (IF(SUM($CG$24:$CG$26) = 0, "", SUM($CG$24:$CG$26))))</f>
        <v>498312</v>
      </c>
      <c r="CH23">
        <f ca="1">IF(ISERROR(IF(SUM($CH$24:$CH$26) = 0, "", SUM($CH$24:$CH$26))), "", (IF(SUM($CH$24:$CH$26) = 0, "", SUM($CH$24:$CH$26))))</f>
        <v>582689</v>
      </c>
      <c r="CI23">
        <f ca="1">IF(ISERROR(IF(SUM($CI$24:$CI$26) = 0, "", SUM($CI$24:$CI$26))), "", (IF(SUM($CI$24:$CI$26) = 0, "", SUM($CI$24:$CI$26))))</f>
        <v>548929</v>
      </c>
      <c r="CJ23">
        <f ca="1">IF(ISERROR(IF(SUM($CJ$24:$CJ$26) = 0, "", SUM($CJ$24:$CJ$26))), "", (IF(SUM($CJ$24:$CJ$26) = 0, "", SUM($CJ$24:$CJ$26))))</f>
        <v>534308</v>
      </c>
      <c r="CK23">
        <f ca="1">IF(ISERROR(IF(SUM($CK$24:$CK$26) = 0, "", SUM($CK$24:$CK$26))), "", (IF(SUM($CK$24:$CK$26) = 0, "", SUM($CK$24:$CK$26))))</f>
        <v>581808</v>
      </c>
      <c r="CL23">
        <f>829429</f>
        <v>829429</v>
      </c>
      <c r="CM23">
        <f>682313</f>
        <v>682313</v>
      </c>
      <c r="CN23">
        <f>578250</f>
        <v>578250</v>
      </c>
      <c r="CO23">
        <f>597076</f>
        <v>597076</v>
      </c>
      <c r="CP23">
        <f>758226</f>
        <v>758226</v>
      </c>
      <c r="CQ23">
        <f>656049</f>
        <v>656049</v>
      </c>
      <c r="CR23">
        <f>603879</f>
        <v>603879</v>
      </c>
      <c r="CS23">
        <f>543676</f>
        <v>543676</v>
      </c>
      <c r="CT23">
        <f>573773</f>
        <v>573773</v>
      </c>
      <c r="CU23">
        <f>544105</f>
        <v>544105</v>
      </c>
      <c r="CV23">
        <f>588743</f>
        <v>588743</v>
      </c>
      <c r="CW23">
        <f>658428</f>
        <v>658428</v>
      </c>
      <c r="CX23">
        <f>741823</f>
        <v>741823</v>
      </c>
      <c r="CY23">
        <f>806940</f>
        <v>806940</v>
      </c>
      <c r="CZ23">
        <f>785843</f>
        <v>785843</v>
      </c>
      <c r="DA23">
        <f>835412</f>
        <v>835412</v>
      </c>
      <c r="DB23">
        <f>890989</f>
        <v>890989</v>
      </c>
      <c r="DC23">
        <f>820719</f>
        <v>820719</v>
      </c>
      <c r="DD23">
        <f>863156</f>
        <v>863156</v>
      </c>
      <c r="DE23">
        <f>796560</f>
        <v>796560</v>
      </c>
      <c r="DF23">
        <f>800944</f>
        <v>800944</v>
      </c>
      <c r="DG23">
        <f>754314</f>
        <v>754314</v>
      </c>
      <c r="DH23">
        <f>745489</f>
        <v>745489</v>
      </c>
      <c r="DI23">
        <f>789716</f>
        <v>789716</v>
      </c>
      <c r="DJ23">
        <f>748473</f>
        <v>748473</v>
      </c>
      <c r="DK23">
        <f>807705</f>
        <v>807705</v>
      </c>
      <c r="DL23">
        <f>784846</f>
        <v>784846</v>
      </c>
      <c r="DM23">
        <f>724297</f>
        <v>724297</v>
      </c>
      <c r="DN23">
        <f>907216</f>
        <v>907216</v>
      </c>
      <c r="DO23">
        <f>746189</f>
        <v>746189</v>
      </c>
      <c r="DP23">
        <f>840386</f>
        <v>840386</v>
      </c>
      <c r="DQ23">
        <f>771735</f>
        <v>771735</v>
      </c>
      <c r="DR23">
        <f>764007</f>
        <v>764007</v>
      </c>
      <c r="DS23">
        <f>815886</f>
        <v>815886</v>
      </c>
      <c r="DT23">
        <f>783523</f>
        <v>783523</v>
      </c>
      <c r="DU23">
        <f>806604</f>
        <v>806604</v>
      </c>
      <c r="DV23">
        <f>795580</f>
        <v>795580</v>
      </c>
      <c r="DW23">
        <f>725611</f>
        <v>725611</v>
      </c>
      <c r="DX23">
        <f>753081</f>
        <v>753081</v>
      </c>
      <c r="DY23">
        <f>602180</f>
        <v>602180</v>
      </c>
      <c r="DZ23">
        <f>628206</f>
        <v>628206</v>
      </c>
      <c r="EA23">
        <f>519731</f>
        <v>519731</v>
      </c>
      <c r="EB23">
        <f>517664</f>
        <v>517664</v>
      </c>
      <c r="EC23">
        <f>538428</f>
        <v>538428</v>
      </c>
      <c r="ED23">
        <f>626829</f>
        <v>626829</v>
      </c>
      <c r="EE23">
        <f>665261</f>
        <v>665261</v>
      </c>
      <c r="EF23">
        <f>599984</f>
        <v>599984</v>
      </c>
      <c r="EG23">
        <f>688425</f>
        <v>688425</v>
      </c>
      <c r="EH23">
        <f>706955</f>
        <v>706955</v>
      </c>
      <c r="EI23">
        <f>663993</f>
        <v>663993</v>
      </c>
      <c r="EJ23">
        <f>621781</f>
        <v>621781</v>
      </c>
      <c r="EK23">
        <f>677168</f>
        <v>677168</v>
      </c>
      <c r="EL23">
        <f>573624</f>
        <v>573624</v>
      </c>
      <c r="EM23">
        <f>628122</f>
        <v>628122</v>
      </c>
      <c r="EN23">
        <f>552821</f>
        <v>552821</v>
      </c>
      <c r="EO23">
        <f>596617</f>
        <v>596617</v>
      </c>
      <c r="EP23">
        <f>657286</f>
        <v>657286</v>
      </c>
      <c r="EQ23">
        <f>741647</f>
        <v>741647</v>
      </c>
      <c r="ER23">
        <f>621834</f>
        <v>621834</v>
      </c>
      <c r="ES23">
        <f>705408</f>
        <v>705408</v>
      </c>
      <c r="ET23">
        <f>701205</f>
        <v>701205</v>
      </c>
      <c r="EU23">
        <f>679543</f>
        <v>679543</v>
      </c>
      <c r="EV23">
        <f>688458</f>
        <v>688458</v>
      </c>
      <c r="EW23">
        <f>752189</f>
        <v>752189</v>
      </c>
      <c r="EX23">
        <f>687427</f>
        <v>687427</v>
      </c>
      <c r="EY23">
        <f>618439</f>
        <v>618439</v>
      </c>
      <c r="EZ23">
        <f>575258</f>
        <v>575258</v>
      </c>
      <c r="FA23">
        <f>661791</f>
        <v>661791</v>
      </c>
      <c r="FB23">
        <f>657830</f>
        <v>657830</v>
      </c>
      <c r="FC23">
        <f>696919</f>
        <v>696919</v>
      </c>
      <c r="FD23">
        <f>612659</f>
        <v>612659</v>
      </c>
      <c r="FE23">
        <f>669218</f>
        <v>669218</v>
      </c>
      <c r="FF23">
        <f>701619</f>
        <v>701619</v>
      </c>
      <c r="FG23">
        <f>692375</f>
        <v>692375</v>
      </c>
      <c r="FH23">
        <f>720312</f>
        <v>720312</v>
      </c>
      <c r="FI23">
        <f>658727</f>
        <v>658727</v>
      </c>
      <c r="FJ23">
        <f>648288</f>
        <v>648288</v>
      </c>
      <c r="FK23">
        <f>558014</f>
        <v>558014</v>
      </c>
      <c r="FL23">
        <f>505382</f>
        <v>505382</v>
      </c>
      <c r="FM23">
        <f>498312</f>
        <v>498312</v>
      </c>
      <c r="FN23">
        <f>582689</f>
        <v>582689</v>
      </c>
      <c r="FO23">
        <f>548929</f>
        <v>548929</v>
      </c>
      <c r="FP23">
        <f>534308</f>
        <v>534308</v>
      </c>
      <c r="FQ23">
        <f>581808</f>
        <v>581808</v>
      </c>
    </row>
    <row r="24" spans="1:173" x14ac:dyDescent="0.25">
      <c r="A24" t="str">
        <f>"        Loaded Inbound Containers (TEU)"</f>
        <v xml:space="preserve">        Loaded Inbound Containers (TEU)</v>
      </c>
      <c r="B24" t="str">
        <f>"LALBLBIM Index"</f>
        <v>LALBLBIM Index</v>
      </c>
      <c r="C24" t="str">
        <f t="shared" ref="C24:C35" si="9">"PX385"</f>
        <v>PX385</v>
      </c>
      <c r="D24" t="str">
        <f t="shared" ref="D24:D35" si="10">"INTERVAL_SUM"</f>
        <v>INTERVAL_SUM</v>
      </c>
      <c r="E24" t="str">
        <f t="shared" ref="E24:E35" si="11">"Dynamic"</f>
        <v>Dynamic</v>
      </c>
      <c r="F24">
        <f ca="1">IF(AND(ISNUMBER($F$65),$B$51=1),$F$65,HLOOKUP(INDIRECT(ADDRESS(2,COLUMN())),OFFSET($CL$2,0,0,ROW()-1,84),ROW()-1,FALSE))</f>
        <v>408926</v>
      </c>
      <c r="G24">
        <f ca="1">IF(AND(ISNUMBER($G$65),$B$51=1),$G$65,HLOOKUP(INDIRECT(ADDRESS(2,COLUMN())),OFFSET($CL$2,0,0,ROW()-1,84),ROW()-1,FALSE))</f>
        <v>325436</v>
      </c>
      <c r="H24">
        <f ca="1">IF(AND(ISNUMBER($H$65),$B$51=1),$H$65,HLOOKUP(INDIRECT(ADDRESS(2,COLUMN())),OFFSET($CL$2,0,0,ROW()-1,84),ROW()-1,FALSE))</f>
        <v>271086</v>
      </c>
      <c r="I24">
        <f ca="1">IF(AND(ISNUMBER($I$65),$B$51=1),$I$65,HLOOKUP(INDIRECT(ADDRESS(2,COLUMN())),OFFSET($CL$2,0,0,ROW()-1,84),ROW()-1,FALSE))</f>
        <v>274325</v>
      </c>
      <c r="J24">
        <f ca="1">IF(AND(ISNUMBER($J$65),$B$51=1),$J$65,HLOOKUP(INDIRECT(ADDRESS(2,COLUMN())),OFFSET($CL$2,0,0,ROW()-1,84),ROW()-1,FALSE))</f>
        <v>361661</v>
      </c>
      <c r="K24">
        <f ca="1">IF(AND(ISNUMBER($K$65),$B$51=1),$K$65,HLOOKUP(INDIRECT(ADDRESS(2,COLUMN())),OFFSET($CL$2,0,0,ROW()-1,84),ROW()-1,FALSE))</f>
        <v>313444</v>
      </c>
      <c r="L24">
        <f ca="1">IF(AND(ISNUMBER($L$65),$B$51=1),$L$65,HLOOKUP(INDIRECT(ADDRESS(2,COLUMN())),OFFSET($CL$2,0,0,ROW()-1,84),ROW()-1,FALSE))</f>
        <v>279148</v>
      </c>
      <c r="M24">
        <f ca="1">IF(AND(ISNUMBER($M$65),$B$51=1),$M$65,HLOOKUP(INDIRECT(ADDRESS(2,COLUMN())),OFFSET($CL$2,0,0,ROW()-1,84),ROW()-1,FALSE))</f>
        <v>254970</v>
      </c>
      <c r="N24">
        <f ca="1">IF(AND(ISNUMBER($N$65),$B$51=1),$N$65,HLOOKUP(INDIRECT(ADDRESS(2,COLUMN())),OFFSET($CL$2,0,0,ROW()-1,84),ROW()-1,FALSE))</f>
        <v>263394</v>
      </c>
      <c r="O24">
        <f ca="1">IF(AND(ISNUMBER($O$65),$B$51=1),$O$65,HLOOKUP(INDIRECT(ADDRESS(2,COLUMN())),OFFSET($CL$2,0,0,ROW()-1,84),ROW()-1,FALSE))</f>
        <v>241643</v>
      </c>
      <c r="P24">
        <f ca="1">IF(AND(ISNUMBER($P$65),$B$51=1),$P$65,HLOOKUP(INDIRECT(ADDRESS(2,COLUMN())),OFFSET($CL$2,0,0,ROW()-1,84),ROW()-1,FALSE))</f>
        <v>259442</v>
      </c>
      <c r="Q24">
        <f ca="1">IF(AND(ISNUMBER($Q$65),$B$51=1),$Q$65,HLOOKUP(INDIRECT(ADDRESS(2,COLUMN())),OFFSET($CL$2,0,0,ROW()-1,84),ROW()-1,FALSE))</f>
        <v>293924</v>
      </c>
      <c r="R24">
        <f ca="1">IF(AND(ISNUMBER($R$65),$B$51=1),$R$65,HLOOKUP(INDIRECT(ADDRESS(2,COLUMN())),OFFSET($CL$2,0,0,ROW()-1,84),ROW()-1,FALSE))</f>
        <v>342671</v>
      </c>
      <c r="S24">
        <f ca="1">IF(AND(ISNUMBER($S$65),$B$51=1),$S$65,HLOOKUP(INDIRECT(ADDRESS(2,COLUMN())),OFFSET($CL$2,0,0,ROW()-1,84),ROW()-1,FALSE))</f>
        <v>384530</v>
      </c>
      <c r="T24">
        <f ca="1">IF(AND(ISNUMBER($T$65),$B$51=1),$T$65,HLOOKUP(INDIRECT(ADDRESS(2,COLUMN())),OFFSET($CL$2,0,0,ROW()-1,84),ROW()-1,FALSE))</f>
        <v>376175</v>
      </c>
      <c r="U24">
        <f ca="1">IF(AND(ISNUMBER($U$65),$B$51=1),$U$65,HLOOKUP(INDIRECT(ADDRESS(2,COLUMN())),OFFSET($CL$2,0,0,ROW()-1,84),ROW()-1,FALSE))</f>
        <v>415677</v>
      </c>
      <c r="V24">
        <f ca="1">IF(AND(ISNUMBER($V$65),$B$51=1),$V$65,HLOOKUP(INDIRECT(ADDRESS(2,COLUMN())),OFFSET($CL$2,0,0,ROW()-1,84),ROW()-1,FALSE))</f>
        <v>436977</v>
      </c>
      <c r="W24">
        <f ca="1">IF(AND(ISNUMBER($W$65),$B$51=1),$W$65,HLOOKUP(INDIRECT(ADDRESS(2,COLUMN())),OFFSET($CL$2,0,0,ROW()-1,84),ROW()-1,FALSE))</f>
        <v>400803</v>
      </c>
      <c r="X24">
        <f ca="1">IF(AND(ISNUMBER($X$65),$B$51=1),$X$65,HLOOKUP(INDIRECT(ADDRESS(2,COLUMN())),OFFSET($CL$2,0,0,ROW()-1,84),ROW()-1,FALSE))</f>
        <v>427280</v>
      </c>
      <c r="Y24">
        <f ca="1">IF(AND(ISNUMBER($Y$65),$B$51=1),$Y$65,HLOOKUP(INDIRECT(ADDRESS(2,COLUMN())),OFFSET($CL$2,0,0,ROW()-1,84),ROW()-1,FALSE))</f>
        <v>390335</v>
      </c>
      <c r="Z24">
        <f ca="1">IF(AND(ISNUMBER($Z$65),$B$51=1),$Z$65,HLOOKUP(INDIRECT(ADDRESS(2,COLUMN())),OFFSET($CL$2,0,0,ROW()-1,84),ROW()-1,FALSE))</f>
        <v>389334</v>
      </c>
      <c r="AA24">
        <f ca="1">IF(AND(ISNUMBER($AA$65),$B$51=1),$AA$65,HLOOKUP(INDIRECT(ADDRESS(2,COLUMN())),OFFSET($CL$2,0,0,ROW()-1,84),ROW()-1,FALSE))</f>
        <v>358687</v>
      </c>
      <c r="AB24">
        <f ca="1">IF(AND(ISNUMBER($AB$65),$B$51=1),$AB$65,HLOOKUP(INDIRECT(ADDRESS(2,COLUMN())),OFFSET($CL$2,0,0,ROW()-1,84),ROW()-1,FALSE))</f>
        <v>362394</v>
      </c>
      <c r="AC24">
        <f ca="1">IF(AND(ISNUMBER($AC$65),$B$51=1),$AC$65,HLOOKUP(INDIRECT(ADDRESS(2,COLUMN())),OFFSET($CL$2,0,0,ROW()-1,84),ROW()-1,FALSE))</f>
        <v>385000</v>
      </c>
      <c r="AD24">
        <f ca="1">IF(AND(ISNUMBER($AD$65),$B$51=1),$AD$65,HLOOKUP(INDIRECT(ADDRESS(2,COLUMN())),OFFSET($CL$2,0,0,ROW()-1,84),ROW()-1,FALSE))</f>
        <v>370230</v>
      </c>
      <c r="AE24">
        <f ca="1">IF(AND(ISNUMBER($AE$65),$B$51=1),$AE$65,HLOOKUP(INDIRECT(ADDRESS(2,COLUMN())),OFFSET($CL$2,0,0,ROW()-1,84),ROW()-1,FALSE))</f>
        <v>407426</v>
      </c>
      <c r="AF24">
        <f ca="1">IF(AND(ISNUMBER($AF$65),$B$51=1),$AF$65,HLOOKUP(INDIRECT(ADDRESS(2,COLUMN())),OFFSET($CL$2,0,0,ROW()-1,84),ROW()-1,FALSE))</f>
        <v>382940</v>
      </c>
      <c r="AG24">
        <f ca="1">IF(AND(ISNUMBER($AG$65),$B$51=1),$AG$65,HLOOKUP(INDIRECT(ADDRESS(2,COLUMN())),OFFSET($CL$2,0,0,ROW()-1,84),ROW()-1,FALSE))</f>
        <v>357101</v>
      </c>
      <c r="AH24">
        <f ca="1">IF(AND(ISNUMBER($AH$65),$B$51=1),$AH$65,HLOOKUP(INDIRECT(ADDRESS(2,COLUMN())),OFFSET($CL$2,0,0,ROW()-1,84),ROW()-1,FALSE))</f>
        <v>444736</v>
      </c>
      <c r="AI24">
        <f ca="1">IF(AND(ISNUMBER($AI$65),$B$51=1),$AI$65,HLOOKUP(INDIRECT(ADDRESS(2,COLUMN())),OFFSET($CL$2,0,0,ROW()-1,84),ROW()-1,FALSE))</f>
        <v>367151</v>
      </c>
      <c r="AJ24">
        <f ca="1">IF(AND(ISNUMBER($AJ$65),$B$51=1),$AJ$65,HLOOKUP(INDIRECT(ADDRESS(2,COLUMN())),OFFSET($CL$2,0,0,ROW()-1,84),ROW()-1,FALSE))</f>
        <v>408172</v>
      </c>
      <c r="AK24">
        <f ca="1">IF(AND(ISNUMBER($AK$65),$B$51=1),$AK$65,HLOOKUP(INDIRECT(ADDRESS(2,COLUMN())),OFFSET($CL$2,0,0,ROW()-1,84),ROW()-1,FALSE))</f>
        <v>373756</v>
      </c>
      <c r="AL24">
        <f ca="1">IF(AND(ISNUMBER($AL$65),$B$51=1),$AL$65,HLOOKUP(INDIRECT(ADDRESS(2,COLUMN())),OFFSET($CL$2,0,0,ROW()-1,84),ROW()-1,FALSE))</f>
        <v>364255</v>
      </c>
      <c r="AM24">
        <f ca="1">IF(AND(ISNUMBER($AM$65),$B$51=1),$AM$65,HLOOKUP(INDIRECT(ADDRESS(2,COLUMN())),OFFSET($CL$2,0,0,ROW()-1,84),ROW()-1,FALSE))</f>
        <v>406072</v>
      </c>
      <c r="AN24">
        <f ca="1">IF(AND(ISNUMBER($AN$65),$B$51=1),$AN$65,HLOOKUP(INDIRECT(ADDRESS(2,COLUMN())),OFFSET($CL$2,0,0,ROW()-1,84),ROW()-1,FALSE))</f>
        <v>382677</v>
      </c>
      <c r="AO24">
        <f ca="1">IF(AND(ISNUMBER($AO$65),$B$51=1),$AO$65,HLOOKUP(INDIRECT(ADDRESS(2,COLUMN())),OFFSET($CL$2,0,0,ROW()-1,84),ROW()-1,FALSE))</f>
        <v>402408</v>
      </c>
      <c r="AP24">
        <f ca="1">IF(AND(ISNUMBER($AP$65),$B$51=1),$AP$65,HLOOKUP(INDIRECT(ADDRESS(2,COLUMN())),OFFSET($CL$2,0,0,ROW()-1,84),ROW()-1,FALSE))</f>
        <v>405618</v>
      </c>
      <c r="AQ24">
        <f ca="1">IF(AND(ISNUMBER($AQ$65),$B$51=1),$AQ$65,HLOOKUP(INDIRECT(ADDRESS(2,COLUMN())),OFFSET($CL$2,0,0,ROW()-1,84),ROW()-1,FALSE))</f>
        <v>364792</v>
      </c>
      <c r="AR24">
        <f ca="1">IF(AND(ISNUMBER($AR$65),$B$51=1),$AR$65,HLOOKUP(INDIRECT(ADDRESS(2,COLUMN())),OFFSET($CL$2,0,0,ROW()-1,84),ROW()-1,FALSE))</f>
        <v>376807</v>
      </c>
      <c r="AS24">
        <f ca="1">IF(AND(ISNUMBER($AS$65),$B$51=1),$AS$65,HLOOKUP(INDIRECT(ADDRESS(2,COLUMN())),OFFSET($CL$2,0,0,ROW()-1,84),ROW()-1,FALSE))</f>
        <v>300714</v>
      </c>
      <c r="AT24">
        <f ca="1">IF(AND(ISNUMBER($AT$65),$B$51=1),$AT$65,HLOOKUP(INDIRECT(ADDRESS(2,COLUMN())),OFFSET($CL$2,0,0,ROW()-1,84),ROW()-1,FALSE))</f>
        <v>312590</v>
      </c>
      <c r="AU24">
        <f ca="1">IF(AND(ISNUMBER($AU$65),$B$51=1),$AU$65,HLOOKUP(INDIRECT(ADDRESS(2,COLUMN())),OFFSET($CL$2,0,0,ROW()-1,84),ROW()-1,FALSE))</f>
        <v>253540</v>
      </c>
      <c r="AV24">
        <f ca="1">IF(AND(ISNUMBER($AV$65),$B$51=1),$AV$65,HLOOKUP(INDIRECT(ADDRESS(2,COLUMN())),OFFSET($CL$2,0,0,ROW()-1,84),ROW()-1,FALSE))</f>
        <v>234570</v>
      </c>
      <c r="AW24">
        <f ca="1">IF(AND(ISNUMBER($AW$65),$B$51=1),$AW$65,HLOOKUP(INDIRECT(ADDRESS(2,COLUMN())),OFFSET($CL$2,0,0,ROW()-1,84),ROW()-1,FALSE))</f>
        <v>248592</v>
      </c>
      <c r="AX24">
        <f ca="1">IF(AND(ISNUMBER($AX$65),$B$51=1),$AX$65,HLOOKUP(INDIRECT(ADDRESS(2,COLUMN())),OFFSET($CL$2,0,0,ROW()-1,84),ROW()-1,FALSE))</f>
        <v>309961</v>
      </c>
      <c r="AY24">
        <f ca="1">IF(AND(ISNUMBER($AY$65),$B$51=1),$AY$65,HLOOKUP(INDIRECT(ADDRESS(2,COLUMN())),OFFSET($CL$2,0,0,ROW()-1,84),ROW()-1,FALSE))</f>
        <v>323231</v>
      </c>
      <c r="AZ24">
        <f ca="1">IF(AND(ISNUMBER($AZ$65),$B$51=1),$AZ$65,HLOOKUP(INDIRECT(ADDRESS(2,COLUMN())),OFFSET($CL$2,0,0,ROW()-1,84),ROW()-1,FALSE))</f>
        <v>293287</v>
      </c>
      <c r="BA24">
        <f ca="1">IF(AND(ISNUMBER($BA$65),$B$51=1),$BA$65,HLOOKUP(INDIRECT(ADDRESS(2,COLUMN())),OFFSET($CL$2,0,0,ROW()-1,84),ROW()-1,FALSE))</f>
        <v>337062</v>
      </c>
      <c r="BB24">
        <f ca="1">IF(AND(ISNUMBER($BB$65),$B$51=1),$BB$65,HLOOKUP(INDIRECT(ADDRESS(2,COLUMN())),OFFSET($CL$2,0,0,ROW()-1,84),ROW()-1,FALSE))</f>
        <v>354919</v>
      </c>
      <c r="BC24">
        <f ca="1">IF(AND(ISNUMBER($BC$65),$B$51=1),$BC$65,HLOOKUP(INDIRECT(ADDRESS(2,COLUMN())),OFFSET($CL$2,0,0,ROW()-1,84),ROW()-1,FALSE))</f>
        <v>322780</v>
      </c>
      <c r="BD24">
        <f ca="1">IF(AND(ISNUMBER($BD$65),$B$51=1),$BD$65,HLOOKUP(INDIRECT(ADDRESS(2,COLUMN())),OFFSET($CL$2,0,0,ROW()-1,84),ROW()-1,FALSE))</f>
        <v>313350</v>
      </c>
      <c r="BE24">
        <f ca="1">IF(AND(ISNUMBER($BE$65),$B$51=1),$BE$65,HLOOKUP(INDIRECT(ADDRESS(2,COLUMN())),OFFSET($CL$2,0,0,ROW()-1,84),ROW()-1,FALSE))</f>
        <v>331617</v>
      </c>
      <c r="BF24">
        <f ca="1">IF(AND(ISNUMBER($BF$65),$B$51=1),$BF$65,HLOOKUP(INDIRECT(ADDRESS(2,COLUMN())),OFFSET($CL$2,0,0,ROW()-1,84),ROW()-1,FALSE))</f>
        <v>290568</v>
      </c>
      <c r="BG24">
        <f ca="1">IF(AND(ISNUMBER($BG$65),$B$51=1),$BG$65,HLOOKUP(INDIRECT(ADDRESS(2,COLUMN())),OFFSET($CL$2,0,0,ROW()-1,84),ROW()-1,FALSE))</f>
        <v>317883</v>
      </c>
      <c r="BH24">
        <f ca="1">IF(AND(ISNUMBER($BH$65),$B$51=1),$BH$65,HLOOKUP(INDIRECT(ADDRESS(2,COLUMN())),OFFSET($CL$2,0,0,ROW()-1,84),ROW()-1,FALSE))</f>
        <v>247039</v>
      </c>
      <c r="BI24">
        <f ca="1">IF(AND(ISNUMBER($BI$65),$B$51=1),$BI$65,HLOOKUP(INDIRECT(ADDRESS(2,COLUMN())),OFFSET($CL$2,0,0,ROW()-1,84),ROW()-1,FALSE))</f>
        <v>302865</v>
      </c>
      <c r="BJ24">
        <f ca="1">IF(AND(ISNUMBER($BJ$65),$B$51=1),$BJ$65,HLOOKUP(INDIRECT(ADDRESS(2,COLUMN())),OFFSET($CL$2,0,0,ROW()-1,84),ROW()-1,FALSE))</f>
        <v>323838</v>
      </c>
      <c r="BK24">
        <f ca="1">IF(AND(ISNUMBER($BK$65),$B$51=1),$BK$65,HLOOKUP(INDIRECT(ADDRESS(2,COLUMN())),OFFSET($CL$2,0,0,ROW()-1,84),ROW()-1,FALSE))</f>
        <v>373098</v>
      </c>
      <c r="BL24">
        <f ca="1">IF(AND(ISNUMBER($BL$65),$B$51=1),$BL$65,HLOOKUP(INDIRECT(ADDRESS(2,COLUMN())),OFFSET($CL$2,0,0,ROW()-1,84),ROW()-1,FALSE))</f>
        <v>319877</v>
      </c>
      <c r="BM24">
        <f ca="1">IF(AND(ISNUMBER($BM$65),$B$51=1),$BM$65,HLOOKUP(INDIRECT(ADDRESS(2,COLUMN())),OFFSET($CL$2,0,0,ROW()-1,84),ROW()-1,FALSE))</f>
        <v>364084</v>
      </c>
      <c r="BN24">
        <f ca="1">IF(AND(ISNUMBER($BN$65),$B$51=1),$BN$65,HLOOKUP(INDIRECT(ADDRESS(2,COLUMN())),OFFSET($CL$2,0,0,ROW()-1,84),ROW()-1,FALSE))</f>
        <v>357301</v>
      </c>
      <c r="BO24">
        <f ca="1">IF(AND(ISNUMBER($BO$65),$B$51=1),$BO$65,HLOOKUP(INDIRECT(ADDRESS(2,COLUMN())),OFFSET($CL$2,0,0,ROW()-1,84),ROW()-1,FALSE))</f>
        <v>343029</v>
      </c>
      <c r="BP24">
        <f ca="1">IF(AND(ISNUMBER($BP$65),$B$51=1),$BP$65,HLOOKUP(INDIRECT(ADDRESS(2,COLUMN())),OFFSET($CL$2,0,0,ROW()-1,84),ROW()-1,FALSE))</f>
        <v>347736</v>
      </c>
      <c r="BQ24">
        <f ca="1">IF(AND(ISNUMBER($BQ$65),$B$51=1),$BQ$65,HLOOKUP(INDIRECT(ADDRESS(2,COLUMN())),OFFSET($CL$2,0,0,ROW()-1,84),ROW()-1,FALSE))</f>
        <v>384095</v>
      </c>
      <c r="BR24">
        <f ca="1">IF(AND(ISNUMBER($BR$65),$B$51=1),$BR$65,HLOOKUP(INDIRECT(ADDRESS(2,COLUMN())),OFFSET($CL$2,0,0,ROW()-1,84),ROW()-1,FALSE))</f>
        <v>361056</v>
      </c>
      <c r="BS24">
        <f ca="1">IF(AND(ISNUMBER($BS$65),$B$51=1),$BS$65,HLOOKUP(INDIRECT(ADDRESS(2,COLUMN())),OFFSET($CL$2,0,0,ROW()-1,84),ROW()-1,FALSE))</f>
        <v>312376</v>
      </c>
      <c r="BT24">
        <f ca="1">IF(AND(ISNUMBER($BT$65),$B$51=1),$BT$65,HLOOKUP(INDIRECT(ADDRESS(2,COLUMN())),OFFSET($CL$2,0,0,ROW()-1,84),ROW()-1,FALSE))</f>
        <v>267824</v>
      </c>
      <c r="BU24">
        <f ca="1">IF(AND(ISNUMBER($BU$65),$B$51=1),$BU$65,HLOOKUP(INDIRECT(ADDRESS(2,COLUMN())),OFFSET($CL$2,0,0,ROW()-1,84),ROW()-1,FALSE))</f>
        <v>342247</v>
      </c>
      <c r="BV24">
        <f ca="1">IF(AND(ISNUMBER($BV$65),$B$51=1),$BV$65,HLOOKUP(INDIRECT(ADDRESS(2,COLUMN())),OFFSET($CL$2,0,0,ROW()-1,84),ROW()-1,FALSE))</f>
        <v>324656</v>
      </c>
      <c r="BW24">
        <f ca="1">IF(AND(ISNUMBER($BW$65),$B$51=1),$BW$65,HLOOKUP(INDIRECT(ADDRESS(2,COLUMN())),OFFSET($CL$2,0,0,ROW()-1,84),ROW()-1,FALSE))</f>
        <v>345721</v>
      </c>
      <c r="BX24">
        <f ca="1">IF(AND(ISNUMBER($BX$65),$B$51=1),$BX$65,HLOOKUP(INDIRECT(ADDRESS(2,COLUMN())),OFFSET($CL$2,0,0,ROW()-1,84),ROW()-1,FALSE))</f>
        <v>319210</v>
      </c>
      <c r="BY24">
        <f ca="1">IF(AND(ISNUMBER($BY$65),$B$51=1),$BY$65,HLOOKUP(INDIRECT(ADDRESS(2,COLUMN())),OFFSET($CL$2,0,0,ROW()-1,84),ROW()-1,FALSE))</f>
        <v>339013</v>
      </c>
      <c r="BZ24">
        <f ca="1">IF(AND(ISNUMBER($BZ$65),$B$51=1),$BZ$65,HLOOKUP(INDIRECT(ADDRESS(2,COLUMN())),OFFSET($CL$2,0,0,ROW()-1,84),ROW()-1,FALSE))</f>
        <v>366298</v>
      </c>
      <c r="CA24">
        <f ca="1">IF(AND(ISNUMBER($CA$65),$B$51=1),$CA$65,HLOOKUP(INDIRECT(ADDRESS(2,COLUMN())),OFFSET($CL$2,0,0,ROW()-1,84),ROW()-1,FALSE))</f>
        <v>355715</v>
      </c>
      <c r="CB24">
        <f ca="1">IF(AND(ISNUMBER($CB$65),$B$51=1),$CB$65,HLOOKUP(INDIRECT(ADDRESS(2,COLUMN())),OFFSET($CL$2,0,0,ROW()-1,84),ROW()-1,FALSE))</f>
        <v>378820</v>
      </c>
      <c r="CC24">
        <f ca="1">IF(AND(ISNUMBER($CC$65),$B$51=1),$CC$65,HLOOKUP(INDIRECT(ADDRESS(2,COLUMN())),OFFSET($CL$2,0,0,ROW()-1,84),ROW()-1,FALSE))</f>
        <v>335328</v>
      </c>
      <c r="CD24">
        <f ca="1">IF(AND(ISNUMBER($CD$65),$B$51=1),$CD$65,HLOOKUP(INDIRECT(ADDRESS(2,COLUMN())),OFFSET($CL$2,0,0,ROW()-1,84),ROW()-1,FALSE))</f>
        <v>336594</v>
      </c>
      <c r="CE24">
        <f ca="1">IF(AND(ISNUMBER($CE$65),$B$51=1),$CE$65,HLOOKUP(INDIRECT(ADDRESS(2,COLUMN())),OFFSET($CL$2,0,0,ROW()-1,84),ROW()-1,FALSE))</f>
        <v>288207</v>
      </c>
      <c r="CF24">
        <f ca="1">IF(AND(ISNUMBER($CF$65),$B$51=1),$CF$65,HLOOKUP(INDIRECT(ADDRESS(2,COLUMN())),OFFSET($CL$2,0,0,ROW()-1,84),ROW()-1,FALSE))</f>
        <v>249534</v>
      </c>
      <c r="CG24">
        <f ca="1">IF(AND(ISNUMBER($CG$65),$B$51=1),$CG$65,HLOOKUP(INDIRECT(ADDRESS(2,COLUMN())),OFFSET($CL$2,0,0,ROW()-1,84),ROW()-1,FALSE))</f>
        <v>249759</v>
      </c>
      <c r="CH24">
        <f ca="1">IF(AND(ISNUMBER($CH$65),$B$51=1),$CH$65,HLOOKUP(INDIRECT(ADDRESS(2,COLUMN())),OFFSET($CL$2,0,0,ROW()-1,84),ROW()-1,FALSE))</f>
        <v>298990</v>
      </c>
      <c r="CI24">
        <f ca="1">IF(AND(ISNUMBER($CI$65),$B$51=1),$CI$65,HLOOKUP(INDIRECT(ADDRESS(2,COLUMN())),OFFSET($CL$2,0,0,ROW()-1,84),ROW()-1,FALSE))</f>
        <v>271599</v>
      </c>
      <c r="CJ24">
        <f ca="1">IF(AND(ISNUMBER($CJ$65),$B$51=1),$CJ$65,HLOOKUP(INDIRECT(ADDRESS(2,COLUMN())),OFFSET($CL$2,0,0,ROW()-1,84),ROW()-1,FALSE))</f>
        <v>270610</v>
      </c>
      <c r="CK24">
        <f ca="1">IF(AND(ISNUMBER($CK$65),$B$51=1),$CK$65,HLOOKUP(INDIRECT(ADDRESS(2,COLUMN())),OFFSET($CL$2,0,0,ROW()-1,84),ROW()-1,FALSE))</f>
        <v>296711</v>
      </c>
      <c r="CL24">
        <f>408926</f>
        <v>408926</v>
      </c>
      <c r="CM24">
        <f>325436</f>
        <v>325436</v>
      </c>
      <c r="CN24">
        <f>271086</f>
        <v>271086</v>
      </c>
      <c r="CO24">
        <f>274325</f>
        <v>274325</v>
      </c>
      <c r="CP24">
        <f>361661</f>
        <v>361661</v>
      </c>
      <c r="CQ24">
        <f>313444</f>
        <v>313444</v>
      </c>
      <c r="CR24">
        <f>279148</f>
        <v>279148</v>
      </c>
      <c r="CS24">
        <f>254970</f>
        <v>254970</v>
      </c>
      <c r="CT24">
        <f>263394</f>
        <v>263394</v>
      </c>
      <c r="CU24">
        <f>241643</f>
        <v>241643</v>
      </c>
      <c r="CV24">
        <f>259442</f>
        <v>259442</v>
      </c>
      <c r="CW24">
        <f>293924</f>
        <v>293924</v>
      </c>
      <c r="CX24">
        <f>342671</f>
        <v>342671</v>
      </c>
      <c r="CY24">
        <f>384530</f>
        <v>384530</v>
      </c>
      <c r="CZ24">
        <f>376175</f>
        <v>376175</v>
      </c>
      <c r="DA24">
        <f>415677</f>
        <v>415677</v>
      </c>
      <c r="DB24">
        <f>436977</f>
        <v>436977</v>
      </c>
      <c r="DC24">
        <f>400803</f>
        <v>400803</v>
      </c>
      <c r="DD24">
        <f>427280</f>
        <v>427280</v>
      </c>
      <c r="DE24">
        <f>390335</f>
        <v>390335</v>
      </c>
      <c r="DF24">
        <f>389334</f>
        <v>389334</v>
      </c>
      <c r="DG24">
        <f>358687</f>
        <v>358687</v>
      </c>
      <c r="DH24">
        <f>362394</f>
        <v>362394</v>
      </c>
      <c r="DI24">
        <f>385000</f>
        <v>385000</v>
      </c>
      <c r="DJ24">
        <f>370230</f>
        <v>370230</v>
      </c>
      <c r="DK24">
        <f>407426</f>
        <v>407426</v>
      </c>
      <c r="DL24">
        <f>382940</f>
        <v>382940</v>
      </c>
      <c r="DM24">
        <f>357101</f>
        <v>357101</v>
      </c>
      <c r="DN24">
        <f>444736</f>
        <v>444736</v>
      </c>
      <c r="DO24">
        <f>367151</f>
        <v>367151</v>
      </c>
      <c r="DP24">
        <f>408172</f>
        <v>408172</v>
      </c>
      <c r="DQ24">
        <f>373756</f>
        <v>373756</v>
      </c>
      <c r="DR24">
        <f>364255</f>
        <v>364255</v>
      </c>
      <c r="DS24">
        <f>406072</f>
        <v>406072</v>
      </c>
      <c r="DT24">
        <f>382677</f>
        <v>382677</v>
      </c>
      <c r="DU24">
        <f>402408</f>
        <v>402408</v>
      </c>
      <c r="DV24">
        <f>405618</f>
        <v>405618</v>
      </c>
      <c r="DW24">
        <f>364792</f>
        <v>364792</v>
      </c>
      <c r="DX24">
        <f>376807</f>
        <v>376807</v>
      </c>
      <c r="DY24">
        <f>300714</f>
        <v>300714</v>
      </c>
      <c r="DZ24">
        <f>312590</f>
        <v>312590</v>
      </c>
      <c r="EA24">
        <f>253540</f>
        <v>253540</v>
      </c>
      <c r="EB24">
        <f>234570</f>
        <v>234570</v>
      </c>
      <c r="EC24">
        <f>248592</f>
        <v>248592</v>
      </c>
      <c r="ED24">
        <f>309961</f>
        <v>309961</v>
      </c>
      <c r="EE24">
        <f>323231</f>
        <v>323231</v>
      </c>
      <c r="EF24">
        <f>293287</f>
        <v>293287</v>
      </c>
      <c r="EG24">
        <f>337062</f>
        <v>337062</v>
      </c>
      <c r="EH24">
        <f>354919</f>
        <v>354919</v>
      </c>
      <c r="EI24">
        <f>322780</f>
        <v>322780</v>
      </c>
      <c r="EJ24">
        <f>313350</f>
        <v>313350</v>
      </c>
      <c r="EK24">
        <f>331617</f>
        <v>331617</v>
      </c>
      <c r="EL24">
        <f>290568</f>
        <v>290568</v>
      </c>
      <c r="EM24">
        <f>317883</f>
        <v>317883</v>
      </c>
      <c r="EN24">
        <f>247039</f>
        <v>247039</v>
      </c>
      <c r="EO24">
        <f>302865</f>
        <v>302865</v>
      </c>
      <c r="EP24">
        <f>323838</f>
        <v>323838</v>
      </c>
      <c r="EQ24">
        <f>373098</f>
        <v>373098</v>
      </c>
      <c r="ER24">
        <f>319877</f>
        <v>319877</v>
      </c>
      <c r="ES24">
        <f>364084</f>
        <v>364084</v>
      </c>
      <c r="ET24">
        <f>357301</f>
        <v>357301</v>
      </c>
      <c r="EU24">
        <f>343029</f>
        <v>343029</v>
      </c>
      <c r="EV24">
        <f>347736</f>
        <v>347736</v>
      </c>
      <c r="EW24">
        <f>384095</f>
        <v>384095</v>
      </c>
      <c r="EX24">
        <f>361056</f>
        <v>361056</v>
      </c>
      <c r="EY24">
        <f>312376</f>
        <v>312376</v>
      </c>
      <c r="EZ24">
        <f>267824</f>
        <v>267824</v>
      </c>
      <c r="FA24">
        <f>342247</f>
        <v>342247</v>
      </c>
      <c r="FB24">
        <f>324656</f>
        <v>324656</v>
      </c>
      <c r="FC24">
        <f>345721</f>
        <v>345721</v>
      </c>
      <c r="FD24">
        <f>319210</f>
        <v>319210</v>
      </c>
      <c r="FE24">
        <f>339013</f>
        <v>339013</v>
      </c>
      <c r="FF24">
        <f>366298</f>
        <v>366298</v>
      </c>
      <c r="FG24">
        <f>355715</f>
        <v>355715</v>
      </c>
      <c r="FH24">
        <f>378820</f>
        <v>378820</v>
      </c>
      <c r="FI24">
        <f>335328</f>
        <v>335328</v>
      </c>
      <c r="FJ24">
        <f>336594</f>
        <v>336594</v>
      </c>
      <c r="FK24">
        <f>288207</f>
        <v>288207</v>
      </c>
      <c r="FL24">
        <f>249534</f>
        <v>249534</v>
      </c>
      <c r="FM24">
        <f>249759</f>
        <v>249759</v>
      </c>
      <c r="FN24">
        <f>298990</f>
        <v>298990</v>
      </c>
      <c r="FO24">
        <f>271599</f>
        <v>271599</v>
      </c>
      <c r="FP24">
        <f>270610</f>
        <v>270610</v>
      </c>
      <c r="FQ24">
        <f>296711</f>
        <v>296711</v>
      </c>
    </row>
    <row r="25" spans="1:173" x14ac:dyDescent="0.25">
      <c r="A25" t="str">
        <f>"        Loaded Outbound Containers (TEU)"</f>
        <v xml:space="preserve">        Loaded Outbound Containers (TEU)</v>
      </c>
      <c r="B25" t="str">
        <f>"LALBLBEX Index"</f>
        <v>LALBLBEX Index</v>
      </c>
      <c r="C25" t="str">
        <f t="shared" si="9"/>
        <v>PX385</v>
      </c>
      <c r="D25" t="str">
        <f t="shared" si="10"/>
        <v>INTERVAL_SUM</v>
      </c>
      <c r="E25" t="str">
        <f t="shared" si="11"/>
        <v>Dynamic</v>
      </c>
      <c r="F25">
        <f ca="1">IF(AND(ISNUMBER($F$66),$B$51=1),$F$66,HLOOKUP(INDIRECT(ADDRESS(2,COLUMN())),OFFSET($CL$2,0,0,ROW()-1,84),ROW()-1,FALSE))</f>
        <v>101248</v>
      </c>
      <c r="G25">
        <f ca="1">IF(AND(ISNUMBER($G$66),$B$51=1),$G$66,HLOOKUP(INDIRECT(ADDRESS(2,COLUMN())),OFFSET($CL$2,0,0,ROW()-1,84),ROW()-1,FALSE))</f>
        <v>93402</v>
      </c>
      <c r="H25">
        <f ca="1">IF(AND(ISNUMBER($H$66),$B$51=1),$H$66,HLOOKUP(INDIRECT(ADDRESS(2,COLUMN())),OFFSET($CL$2,0,0,ROW()-1,84),ROW()-1,FALSE))</f>
        <v>90134</v>
      </c>
      <c r="I25">
        <f ca="1">IF(AND(ISNUMBER($I$66),$B$51=1),$I$66,HLOOKUP(INDIRECT(ADDRESS(2,COLUMN())),OFFSET($CL$2,0,0,ROW()-1,84),ROW()-1,FALSE))</f>
        <v>94508</v>
      </c>
      <c r="J25">
        <f ca="1">IF(AND(ISNUMBER($J$66),$B$51=1),$J$66,HLOOKUP(INDIRECT(ADDRESS(2,COLUMN())),OFFSET($CL$2,0,0,ROW()-1,84),ROW()-1,FALSE))</f>
        <v>127870</v>
      </c>
      <c r="K25">
        <f ca="1">IF(AND(ISNUMBER($K$66),$B$51=1),$K$66,HLOOKUP(INDIRECT(ADDRESS(2,COLUMN())),OFFSET($CL$2,0,0,ROW()-1,84),ROW()-1,FALSE))</f>
        <v>122663</v>
      </c>
      <c r="L25">
        <f ca="1">IF(AND(ISNUMBER($L$66),$B$51=1),$L$66,HLOOKUP(INDIRECT(ADDRESS(2,COLUMN())),OFFSET($CL$2,0,0,ROW()-1,84),ROW()-1,FALSE))</f>
        <v>133512</v>
      </c>
      <c r="M25">
        <f ca="1">IF(AND(ISNUMBER($M$66),$B$51=1),$M$66,HLOOKUP(INDIRECT(ADDRESS(2,COLUMN())),OFFSET($CL$2,0,0,ROW()-1,84),ROW()-1,FALSE))</f>
        <v>110919</v>
      </c>
      <c r="N25">
        <f ca="1">IF(AND(ISNUMBER($N$66),$B$51=1),$N$66,HLOOKUP(INDIRECT(ADDRESS(2,COLUMN())),OFFSET($CL$2,0,0,ROW()-1,84),ROW()-1,FALSE))</f>
        <v>105623</v>
      </c>
      <c r="O25">
        <f ca="1">IF(AND(ISNUMBER($O$66),$B$51=1),$O$66,HLOOKUP(INDIRECT(ADDRESS(2,COLUMN())),OFFSET($CL$2,0,0,ROW()-1,84),ROW()-1,FALSE))</f>
        <v>115782</v>
      </c>
      <c r="P25">
        <f ca="1">IF(AND(ISNUMBER($P$66),$B$51=1),$P$66,HLOOKUP(INDIRECT(ADDRESS(2,COLUMN())),OFFSET($CL$2,0,0,ROW()-1,84),ROW()-1,FALSE))</f>
        <v>124988</v>
      </c>
      <c r="Q25">
        <f ca="1">IF(AND(ISNUMBER($Q$66),$B$51=1),$Q$66,HLOOKUP(INDIRECT(ADDRESS(2,COLUMN())),OFFSET($CL$2,0,0,ROW()-1,84),ROW()-1,FALSE))</f>
        <v>119761</v>
      </c>
      <c r="R25">
        <f ca="1">IF(AND(ISNUMBER($R$66),$B$51=1),$R$66,HLOOKUP(INDIRECT(ADDRESS(2,COLUMN())),OFFSET($CL$2,0,0,ROW()-1,84),ROW()-1,FALSE))</f>
        <v>112940</v>
      </c>
      <c r="S25">
        <f ca="1">IF(AND(ISNUMBER($S$66),$B$51=1),$S$66,HLOOKUP(INDIRECT(ADDRESS(2,COLUMN())),OFFSET($CL$2,0,0,ROW()-1,84),ROW()-1,FALSE))</f>
        <v>121408</v>
      </c>
      <c r="T25">
        <f ca="1">IF(AND(ISNUMBER($T$66),$B$51=1),$T$66,HLOOKUP(INDIRECT(ADDRESS(2,COLUMN())),OFFSET($CL$2,0,0,ROW()-1,84),ROW()-1,FALSE))</f>
        <v>109411</v>
      </c>
      <c r="U25">
        <f ca="1">IF(AND(ISNUMBER($U$66),$B$51=1),$U$66,HLOOKUP(INDIRECT(ADDRESS(2,COLUMN())),OFFSET($CL$2,0,0,ROW()-1,84),ROW()-1,FALSE))</f>
        <v>115303</v>
      </c>
      <c r="V25">
        <f ca="1">IF(AND(ISNUMBER($V$66),$B$51=1),$V$66,HLOOKUP(INDIRECT(ADDRESS(2,COLUMN())),OFFSET($CL$2,0,0,ROW()-1,84),ROW()-1,FALSE))</f>
        <v>118234</v>
      </c>
      <c r="W25">
        <f ca="1">IF(AND(ISNUMBER($W$66),$B$51=1),$W$66,HLOOKUP(INDIRECT(ADDRESS(2,COLUMN())),OFFSET($CL$2,0,0,ROW()-1,84),ROW()-1,FALSE))</f>
        <v>121876</v>
      </c>
      <c r="X25">
        <f ca="1">IF(AND(ISNUMBER($X$66),$B$51=1),$X$66,HLOOKUP(INDIRECT(ADDRESS(2,COLUMN())),OFFSET($CL$2,0,0,ROW()-1,84),ROW()-1,FALSE))</f>
        <v>114185</v>
      </c>
      <c r="Y25">
        <f ca="1">IF(AND(ISNUMBER($Y$66),$B$51=1),$Y$66,HLOOKUP(INDIRECT(ADDRESS(2,COLUMN())),OFFSET($CL$2,0,0,ROW()-1,84),ROW()-1,FALSE))</f>
        <v>117935</v>
      </c>
      <c r="Z25">
        <f ca="1">IF(AND(ISNUMBER($Z$66),$B$51=1),$Z$66,HLOOKUP(INDIRECT(ADDRESS(2,COLUMN())),OFFSET($CL$2,0,0,ROW()-1,84),ROW()-1,FALSE))</f>
        <v>123060</v>
      </c>
      <c r="AA25">
        <f ca="1">IF(AND(ISNUMBER($AA$66),$B$51=1),$AA$66,HLOOKUP(INDIRECT(ADDRESS(2,COLUMN())),OFFSET($CL$2,0,0,ROW()-1,84),ROW()-1,FALSE))</f>
        <v>113918</v>
      </c>
      <c r="AB25">
        <f ca="1">IF(AND(ISNUMBER($AB$66),$B$51=1),$AB$66,HLOOKUP(INDIRECT(ADDRESS(2,COLUMN())),OFFSET($CL$2,0,0,ROW()-1,84),ROW()-1,FALSE))</f>
        <v>109821</v>
      </c>
      <c r="AC25">
        <f ca="1">IF(AND(ISNUMBER($AC$66),$B$51=1),$AC$66,HLOOKUP(INDIRECT(ADDRESS(2,COLUMN())),OFFSET($CL$2,0,0,ROW()-1,84),ROW()-1,FALSE))</f>
        <v>122214</v>
      </c>
      <c r="AD25">
        <f ca="1">IF(AND(ISNUMBER($AD$66),$B$51=1),$AD$66,HLOOKUP(INDIRECT(ADDRESS(2,COLUMN())),OFFSET($CL$2,0,0,ROW()-1,84),ROW()-1,FALSE))</f>
        <v>110787</v>
      </c>
      <c r="AE25">
        <f ca="1">IF(AND(ISNUMBER($AE$66),$B$51=1),$AE$66,HLOOKUP(INDIRECT(ADDRESS(2,COLUMN())),OFFSET($CL$2,0,0,ROW()-1,84),ROW()-1,FALSE))</f>
        <v>119485</v>
      </c>
      <c r="AF25">
        <f ca="1">IF(AND(ISNUMBER($AF$66),$B$51=1),$AF$66,HLOOKUP(INDIRECT(ADDRESS(2,COLUMN())),OFFSET($CL$2,0,0,ROW()-1,84),ROW()-1,FALSE))</f>
        <v>109951</v>
      </c>
      <c r="AG25">
        <f ca="1">IF(AND(ISNUMBER($AG$66),$B$51=1),$AG$66,HLOOKUP(INDIRECT(ADDRESS(2,COLUMN())),OFFSET($CL$2,0,0,ROW()-1,84),ROW()-1,FALSE))</f>
        <v>116947</v>
      </c>
      <c r="AH25">
        <f ca="1">IF(AND(ISNUMBER($AH$66),$B$51=1),$AH$66,HLOOKUP(INDIRECT(ADDRESS(2,COLUMN())),OFFSET($CL$2,0,0,ROW()-1,84),ROW()-1,FALSE))</f>
        <v>135345</v>
      </c>
      <c r="AI25">
        <f ca="1">IF(AND(ISNUMBER($AI$66),$B$51=1),$AI$66,HLOOKUP(INDIRECT(ADDRESS(2,COLUMN())),OFFSET($CL$2,0,0,ROW()-1,84),ROW()-1,FALSE))</f>
        <v>124069</v>
      </c>
      <c r="AJ25">
        <f ca="1">IF(AND(ISNUMBER($AJ$66),$B$51=1),$AJ$66,HLOOKUP(INDIRECT(ADDRESS(2,COLUMN())),OFFSET($CL$2,0,0,ROW()-1,84),ROW()-1,FALSE))</f>
        <v>139710</v>
      </c>
      <c r="AK25">
        <f ca="1">IF(AND(ISNUMBER($AK$66),$B$51=1),$AK$66,HLOOKUP(INDIRECT(ADDRESS(2,COLUMN())),OFFSET($CL$2,0,0,ROW()-1,84),ROW()-1,FALSE))</f>
        <v>119416</v>
      </c>
      <c r="AL25">
        <f ca="1">IF(AND(ISNUMBER($AL$66),$B$51=1),$AL$66,HLOOKUP(INDIRECT(ADDRESS(2,COLUMN())),OFFSET($CL$2,0,0,ROW()-1,84),ROW()-1,FALSE))</f>
        <v>116254</v>
      </c>
      <c r="AM25">
        <f ca="1">IF(AND(ISNUMBER($AM$66),$B$51=1),$AM$66,HLOOKUP(INDIRECT(ADDRESS(2,COLUMN())),OFFSET($CL$2,0,0,ROW()-1,84),ROW()-1,FALSE))</f>
        <v>132374</v>
      </c>
      <c r="AN25">
        <f ca="1">IF(AND(ISNUMBER($AN$66),$B$51=1),$AN$66,HLOOKUP(INDIRECT(ADDRESS(2,COLUMN())),OFFSET($CL$2,0,0,ROW()-1,84),ROW()-1,FALSE))</f>
        <v>117283</v>
      </c>
      <c r="AO25">
        <f ca="1">IF(AND(ISNUMBER($AO$66),$B$51=1),$AO$66,HLOOKUP(INDIRECT(ADDRESS(2,COLUMN())),OFFSET($CL$2,0,0,ROW()-1,84),ROW()-1,FALSE))</f>
        <v>114679</v>
      </c>
      <c r="AP25">
        <f ca="1">IF(AND(ISNUMBER($AP$66),$B$51=1),$AP$66,HLOOKUP(INDIRECT(ADDRESS(2,COLUMN())),OFFSET($CL$2,0,0,ROW()-1,84),ROW()-1,FALSE))</f>
        <v>112556</v>
      </c>
      <c r="AQ25">
        <f ca="1">IF(AND(ISNUMBER($AQ$66),$B$51=1),$AQ$66,HLOOKUP(INDIRECT(ADDRESS(2,COLUMN())),OFFSET($CL$2,0,0,ROW()-1,84),ROW()-1,FALSE))</f>
        <v>126177</v>
      </c>
      <c r="AR25">
        <f ca="1">IF(AND(ISNUMBER($AR$66),$B$51=1),$AR$66,HLOOKUP(INDIRECT(ADDRESS(2,COLUMN())),OFFSET($CL$2,0,0,ROW()-1,84),ROW()-1,FALSE))</f>
        <v>138602</v>
      </c>
      <c r="AS25">
        <f ca="1">IF(AND(ISNUMBER($AS$66),$B$51=1),$AS$66,HLOOKUP(INDIRECT(ADDRESS(2,COLUMN())),OFFSET($CL$2,0,0,ROW()-1,84),ROW()-1,FALSE))</f>
        <v>117538</v>
      </c>
      <c r="AT25">
        <f ca="1">IF(AND(ISNUMBER($AT$66),$B$51=1),$AT$66,HLOOKUP(INDIRECT(ADDRESS(2,COLUMN())),OFFSET($CL$2,0,0,ROW()-1,84),ROW()-1,FALSE))</f>
        <v>134556</v>
      </c>
      <c r="AU25">
        <f ca="1">IF(AND(ISNUMBER($AU$66),$B$51=1),$AU$66,HLOOKUP(INDIRECT(ADDRESS(2,COLUMN())),OFFSET($CL$2,0,0,ROW()-1,84),ROW()-1,FALSE))</f>
        <v>102502</v>
      </c>
      <c r="AV25">
        <f ca="1">IF(AND(ISNUMBER($AV$66),$B$51=1),$AV$66,HLOOKUP(INDIRECT(ADDRESS(2,COLUMN())),OFFSET($CL$2,0,0,ROW()-1,84),ROW()-1,FALSE))</f>
        <v>145442</v>
      </c>
      <c r="AW25">
        <f ca="1">IF(AND(ISNUMBER($AW$66),$B$51=1),$AW$66,HLOOKUP(INDIRECT(ADDRESS(2,COLUMN())),OFFSET($CL$2,0,0,ROW()-1,84),ROW()-1,FALSE))</f>
        <v>125559</v>
      </c>
      <c r="AX25">
        <f ca="1">IF(AND(ISNUMBER($AX$66),$B$51=1),$AX$66,HLOOKUP(INDIRECT(ADDRESS(2,COLUMN())),OFFSET($CL$2,0,0,ROW()-1,84),ROW()-1,FALSE))</f>
        <v>108624</v>
      </c>
      <c r="AY25">
        <f ca="1">IF(AND(ISNUMBER($AY$66),$B$51=1),$AY$66,HLOOKUP(INDIRECT(ADDRESS(2,COLUMN())),OFFSET($CL$2,0,0,ROW()-1,84),ROW()-1,FALSE))</f>
        <v>125395</v>
      </c>
      <c r="AZ25">
        <f ca="1">IF(AND(ISNUMBER($AZ$66),$B$51=1),$AZ$66,HLOOKUP(INDIRECT(ADDRESS(2,COLUMN())),OFFSET($CL$2,0,0,ROW()-1,84),ROW()-1,FALSE))</f>
        <v>123705</v>
      </c>
      <c r="BA25">
        <f ca="1">IF(AND(ISNUMBER($BA$66),$B$51=1),$BA$66,HLOOKUP(INDIRECT(ADDRESS(2,COLUMN())),OFFSET($CL$2,0,0,ROW()-1,84),ROW()-1,FALSE))</f>
        <v>131635</v>
      </c>
      <c r="BB25">
        <f ca="1">IF(AND(ISNUMBER($BB$66),$B$51=1),$BB$66,HLOOKUP(INDIRECT(ADDRESS(2,COLUMN())),OFFSET($CL$2,0,0,ROW()-1,84),ROW()-1,FALSE))</f>
        <v>123215</v>
      </c>
      <c r="BC25">
        <f ca="1">IF(AND(ISNUMBER($BC$66),$B$51=1),$BC$66,HLOOKUP(INDIRECT(ADDRESS(2,COLUMN())),OFFSET($CL$2,0,0,ROW()-1,84),ROW()-1,FALSE))</f>
        <v>124975</v>
      </c>
      <c r="BD25">
        <f ca="1">IF(AND(ISNUMBER($BD$66),$B$51=1),$BD$66,HLOOKUP(INDIRECT(ADDRESS(2,COLUMN())),OFFSET($CL$2,0,0,ROW()-1,84),ROW()-1,FALSE))</f>
        <v>111654</v>
      </c>
      <c r="BE25">
        <f ca="1">IF(AND(ISNUMBER($BE$66),$B$51=1),$BE$66,HLOOKUP(INDIRECT(ADDRESS(2,COLUMN())),OFFSET($CL$2,0,0,ROW()-1,84),ROW()-1,FALSE))</f>
        <v>133833</v>
      </c>
      <c r="BF25">
        <f ca="1">IF(AND(ISNUMBER($BF$66),$B$51=1),$BF$66,HLOOKUP(INDIRECT(ADDRESS(2,COLUMN())),OFFSET($CL$2,0,0,ROW()-1,84),ROW()-1,FALSE))</f>
        <v>120577</v>
      </c>
      <c r="BG25">
        <f ca="1">IF(AND(ISNUMBER($BG$66),$B$51=1),$BG$66,HLOOKUP(INDIRECT(ADDRESS(2,COLUMN())),OFFSET($CL$2,0,0,ROW()-1,84),ROW()-1,FALSE))</f>
        <v>123804</v>
      </c>
      <c r="BH25">
        <f ca="1">IF(AND(ISNUMBER($BH$66),$B$51=1),$BH$66,HLOOKUP(INDIRECT(ADDRESS(2,COLUMN())),OFFSET($CL$2,0,0,ROW()-1,84),ROW()-1,FALSE))</f>
        <v>131436</v>
      </c>
      <c r="BI25">
        <f ca="1">IF(AND(ISNUMBER($BI$66),$B$51=1),$BI$66,HLOOKUP(INDIRECT(ADDRESS(2,COLUMN())),OFFSET($CL$2,0,0,ROW()-1,84),ROW()-1,FALSE))</f>
        <v>105287</v>
      </c>
      <c r="BJ25">
        <f ca="1">IF(AND(ISNUMBER($BJ$66),$B$51=1),$BJ$66,HLOOKUP(INDIRECT(ADDRESS(2,COLUMN())),OFFSET($CL$2,0,0,ROW()-1,84),ROW()-1,FALSE))</f>
        <v>117288</v>
      </c>
      <c r="BK25">
        <f ca="1">IF(AND(ISNUMBER($BK$66),$B$51=1),$BK$66,HLOOKUP(INDIRECT(ADDRESS(2,COLUMN())),OFFSET($CL$2,0,0,ROW()-1,84),ROW()-1,FALSE))</f>
        <v>113329</v>
      </c>
      <c r="BL25">
        <f ca="1">IF(AND(ISNUMBER($BL$66),$B$51=1),$BL$66,HLOOKUP(INDIRECT(ADDRESS(2,COLUMN())),OFFSET($CL$2,0,0,ROW()-1,84),ROW()-1,FALSE))</f>
        <v>115774</v>
      </c>
      <c r="BM25">
        <f ca="1">IF(AND(ISNUMBER($BM$66),$B$51=1),$BM$66,HLOOKUP(INDIRECT(ADDRESS(2,COLUMN())),OFFSET($CL$2,0,0,ROW()-1,84),ROW()-1,FALSE))</f>
        <v>119837</v>
      </c>
      <c r="BN25">
        <f ca="1">IF(AND(ISNUMBER($BN$66),$B$51=1),$BN$66,HLOOKUP(INDIRECT(ADDRESS(2,COLUMN())),OFFSET($CL$2,0,0,ROW()-1,84),ROW()-1,FALSE))</f>
        <v>121561</v>
      </c>
      <c r="BO25">
        <f ca="1">IF(AND(ISNUMBER($BO$66),$B$51=1),$BO$66,HLOOKUP(INDIRECT(ADDRESS(2,COLUMN())),OFFSET($CL$2,0,0,ROW()-1,84),ROW()-1,FALSE))</f>
        <v>119546</v>
      </c>
      <c r="BP25">
        <f ca="1">IF(AND(ISNUMBER($BP$66),$B$51=1),$BP$66,HLOOKUP(INDIRECT(ADDRESS(2,COLUMN())),OFFSET($CL$2,0,0,ROW()-1,84),ROW()-1,FALSE))</f>
        <v>119747</v>
      </c>
      <c r="BQ25">
        <f ca="1">IF(AND(ISNUMBER($BQ$66),$B$51=1),$BQ$66,HLOOKUP(INDIRECT(ADDRESS(2,COLUMN())),OFFSET($CL$2,0,0,ROW()-1,84),ROW()-1,FALSE))</f>
        <v>135168</v>
      </c>
      <c r="BR25">
        <f ca="1">IF(AND(ISNUMBER($BR$66),$B$51=1),$BR$66,HLOOKUP(INDIRECT(ADDRESS(2,COLUMN())),OFFSET($CL$2,0,0,ROW()-1,84),ROW()-1,FALSE))</f>
        <v>142412</v>
      </c>
      <c r="BS25">
        <f ca="1">IF(AND(ISNUMBER($BS$66),$B$51=1),$BS$66,HLOOKUP(INDIRECT(ADDRESS(2,COLUMN())),OFFSET($CL$2,0,0,ROW()-1,84),ROW()-1,FALSE))</f>
        <v>141799</v>
      </c>
      <c r="BT25">
        <f ca="1">IF(AND(ISNUMBER($BT$66),$B$51=1),$BT$66,HLOOKUP(INDIRECT(ADDRESS(2,COLUMN())),OFFSET($CL$2,0,0,ROW()-1,84),ROW()-1,FALSE))</f>
        <v>142419</v>
      </c>
      <c r="BU25">
        <f ca="1">IF(AND(ISNUMBER($BU$66),$B$51=1),$BU$66,HLOOKUP(INDIRECT(ADDRESS(2,COLUMN())),OFFSET($CL$2,0,0,ROW()-1,84),ROW()-1,FALSE))</f>
        <v>130916</v>
      </c>
      <c r="BV25">
        <f ca="1">IF(AND(ISNUMBER($BV$66),$B$51=1),$BV$66,HLOOKUP(INDIRECT(ADDRESS(2,COLUMN())),OFFSET($CL$2,0,0,ROW()-1,84),ROW()-1,FALSE))</f>
        <v>120503</v>
      </c>
      <c r="BW25">
        <f ca="1">IF(AND(ISNUMBER($BW$66),$B$51=1),$BW$66,HLOOKUP(INDIRECT(ADDRESS(2,COLUMN())),OFFSET($CL$2,0,0,ROW()-1,84),ROW()-1,FALSE))</f>
        <v>137449</v>
      </c>
      <c r="BX25">
        <f ca="1">IF(AND(ISNUMBER($BX$66),$B$51=1),$BX$66,HLOOKUP(INDIRECT(ADDRESS(2,COLUMN())),OFFSET($CL$2,0,0,ROW()-1,84),ROW()-1,FALSE))</f>
        <v>126364</v>
      </c>
      <c r="BY25">
        <f ca="1">IF(AND(ISNUMBER($BY$66),$B$51=1),$BY$66,HLOOKUP(INDIRECT(ADDRESS(2,COLUMN())),OFFSET($CL$2,0,0,ROW()-1,84),ROW()-1,FALSE))</f>
        <v>126150</v>
      </c>
      <c r="BZ25">
        <f ca="1">IF(AND(ISNUMBER($BZ$66),$B$51=1),$BZ$66,HLOOKUP(INDIRECT(ADDRESS(2,COLUMN())),OFFSET($CL$2,0,0,ROW()-1,84),ROW()-1,FALSE))</f>
        <v>125336</v>
      </c>
      <c r="CA25">
        <f ca="1">IF(AND(ISNUMBER($CA$66),$B$51=1),$CA$66,HLOOKUP(INDIRECT(ADDRESS(2,COLUMN())),OFFSET($CL$2,0,0,ROW()-1,84),ROW()-1,FALSE))</f>
        <v>117290</v>
      </c>
      <c r="CB25">
        <f ca="1">IF(AND(ISNUMBER($CB$66),$B$51=1),$CB$66,HLOOKUP(INDIRECT(ADDRESS(2,COLUMN())),OFFSET($CL$2,0,0,ROW()-1,84),ROW()-1,FALSE))</f>
        <v>126098</v>
      </c>
      <c r="CC25">
        <f ca="1">IF(AND(ISNUMBER($CC$66),$B$51=1),$CC$66,HLOOKUP(INDIRECT(ADDRESS(2,COLUMN())),OFFSET($CL$2,0,0,ROW()-1,84),ROW()-1,FALSE))</f>
        <v>118304</v>
      </c>
      <c r="CD25">
        <f ca="1">IF(AND(ISNUMBER($CD$66),$B$51=1),$CD$66,HLOOKUP(INDIRECT(ADDRESS(2,COLUMN())),OFFSET($CL$2,0,0,ROW()-1,84),ROW()-1,FALSE))</f>
        <v>118786</v>
      </c>
      <c r="CE25">
        <f ca="1">IF(AND(ISNUMBER($CE$66),$B$51=1),$CE$66,HLOOKUP(INDIRECT(ADDRESS(2,COLUMN())),OFFSET($CL$2,0,0,ROW()-1,84),ROW()-1,FALSE))</f>
        <v>116260</v>
      </c>
      <c r="CF25">
        <f ca="1">IF(AND(ISNUMBER($CF$66),$B$51=1),$CF$66,HLOOKUP(INDIRECT(ADDRESS(2,COLUMN())),OFFSET($CL$2,0,0,ROW()-1,84),ROW()-1,FALSE))</f>
        <v>120435</v>
      </c>
      <c r="CG25">
        <f ca="1">IF(AND(ISNUMBER($CG$66),$B$51=1),$CG$66,HLOOKUP(INDIRECT(ADDRESS(2,COLUMN())),OFFSET($CL$2,0,0,ROW()-1,84),ROW()-1,FALSE))</f>
        <v>119811</v>
      </c>
      <c r="CH25">
        <f ca="1">IF(AND(ISNUMBER($CH$66),$B$51=1),$CH$66,HLOOKUP(INDIRECT(ADDRESS(2,COLUMN())),OFFSET($CL$2,0,0,ROW()-1,84),ROW()-1,FALSE))</f>
        <v>118234</v>
      </c>
      <c r="CI25">
        <f ca="1">IF(AND(ISNUMBER($CI$66),$B$51=1),$CI$66,HLOOKUP(INDIRECT(ADDRESS(2,COLUMN())),OFFSET($CL$2,0,0,ROW()-1,84),ROW()-1,FALSE))</f>
        <v>122933</v>
      </c>
      <c r="CJ25">
        <f ca="1">IF(AND(ISNUMBER($CJ$66),$B$51=1),$CJ$66,HLOOKUP(INDIRECT(ADDRESS(2,COLUMN())),OFFSET($CL$2,0,0,ROW()-1,84),ROW()-1,FALSE))</f>
        <v>120897</v>
      </c>
      <c r="CK25">
        <f ca="1">IF(AND(ISNUMBER($CK$66),$B$51=1),$CK$66,HLOOKUP(INDIRECT(ADDRESS(2,COLUMN())),OFFSET($CL$2,0,0,ROW()-1,84),ROW()-1,FALSE))</f>
        <v>126770</v>
      </c>
      <c r="CL25">
        <f>101248</f>
        <v>101248</v>
      </c>
      <c r="CM25">
        <f>93402</f>
        <v>93402</v>
      </c>
      <c r="CN25">
        <f>90134</f>
        <v>90134</v>
      </c>
      <c r="CO25">
        <f>94508</f>
        <v>94508</v>
      </c>
      <c r="CP25">
        <f>127870</f>
        <v>127870</v>
      </c>
      <c r="CQ25">
        <f>122663</f>
        <v>122663</v>
      </c>
      <c r="CR25">
        <f>133512</f>
        <v>133512</v>
      </c>
      <c r="CS25">
        <f>110919</f>
        <v>110919</v>
      </c>
      <c r="CT25">
        <f>105623</f>
        <v>105623</v>
      </c>
      <c r="CU25">
        <f>115782</f>
        <v>115782</v>
      </c>
      <c r="CV25">
        <f>124988</f>
        <v>124988</v>
      </c>
      <c r="CW25">
        <f>119761</f>
        <v>119761</v>
      </c>
      <c r="CX25">
        <f>112940</f>
        <v>112940</v>
      </c>
      <c r="CY25">
        <f>121408</f>
        <v>121408</v>
      </c>
      <c r="CZ25">
        <f>109411</f>
        <v>109411</v>
      </c>
      <c r="DA25">
        <f>115303</f>
        <v>115303</v>
      </c>
      <c r="DB25">
        <f>118234</f>
        <v>118234</v>
      </c>
      <c r="DC25">
        <f>121876</f>
        <v>121876</v>
      </c>
      <c r="DD25">
        <f>114185</f>
        <v>114185</v>
      </c>
      <c r="DE25">
        <f>117935</f>
        <v>117935</v>
      </c>
      <c r="DF25">
        <f>123060</f>
        <v>123060</v>
      </c>
      <c r="DG25">
        <f>113918</f>
        <v>113918</v>
      </c>
      <c r="DH25">
        <f>109821</f>
        <v>109821</v>
      </c>
      <c r="DI25">
        <f>122214</f>
        <v>122214</v>
      </c>
      <c r="DJ25">
        <f>110787</f>
        <v>110787</v>
      </c>
      <c r="DK25">
        <f>119485</f>
        <v>119485</v>
      </c>
      <c r="DL25">
        <f>109951</f>
        <v>109951</v>
      </c>
      <c r="DM25">
        <f>116947</f>
        <v>116947</v>
      </c>
      <c r="DN25">
        <f>135345</f>
        <v>135345</v>
      </c>
      <c r="DO25">
        <f>124069</f>
        <v>124069</v>
      </c>
      <c r="DP25">
        <f>139710</f>
        <v>139710</v>
      </c>
      <c r="DQ25">
        <f>119416</f>
        <v>119416</v>
      </c>
      <c r="DR25">
        <f>116254</f>
        <v>116254</v>
      </c>
      <c r="DS25">
        <f>132374</f>
        <v>132374</v>
      </c>
      <c r="DT25">
        <f>117283</f>
        <v>117283</v>
      </c>
      <c r="DU25">
        <f>114679</f>
        <v>114679</v>
      </c>
      <c r="DV25">
        <f>112556</f>
        <v>112556</v>
      </c>
      <c r="DW25">
        <f>126177</f>
        <v>126177</v>
      </c>
      <c r="DX25">
        <f>138602</f>
        <v>138602</v>
      </c>
      <c r="DY25">
        <f>117538</f>
        <v>117538</v>
      </c>
      <c r="DZ25">
        <f>134556</f>
        <v>134556</v>
      </c>
      <c r="EA25">
        <f>102502</f>
        <v>102502</v>
      </c>
      <c r="EB25">
        <f>145442</f>
        <v>145442</v>
      </c>
      <c r="EC25">
        <f>125559</f>
        <v>125559</v>
      </c>
      <c r="ED25">
        <f>108624</f>
        <v>108624</v>
      </c>
      <c r="EE25">
        <f>125395</f>
        <v>125395</v>
      </c>
      <c r="EF25">
        <f>123705</f>
        <v>123705</v>
      </c>
      <c r="EG25">
        <f>131635</f>
        <v>131635</v>
      </c>
      <c r="EH25">
        <f>123215</f>
        <v>123215</v>
      </c>
      <c r="EI25">
        <f>124975</f>
        <v>124975</v>
      </c>
      <c r="EJ25">
        <f>111654</f>
        <v>111654</v>
      </c>
      <c r="EK25">
        <f>133833</f>
        <v>133833</v>
      </c>
      <c r="EL25">
        <f>120577</f>
        <v>120577</v>
      </c>
      <c r="EM25">
        <f>123804</f>
        <v>123804</v>
      </c>
      <c r="EN25">
        <f>131436</f>
        <v>131436</v>
      </c>
      <c r="EO25">
        <f>105287</f>
        <v>105287</v>
      </c>
      <c r="EP25">
        <f>117288</f>
        <v>117288</v>
      </c>
      <c r="EQ25">
        <f>113329</f>
        <v>113329</v>
      </c>
      <c r="ER25">
        <f>115774</f>
        <v>115774</v>
      </c>
      <c r="ES25">
        <f>119837</f>
        <v>119837</v>
      </c>
      <c r="ET25">
        <f>121561</f>
        <v>121561</v>
      </c>
      <c r="EU25">
        <f>119546</f>
        <v>119546</v>
      </c>
      <c r="EV25">
        <f>119747</f>
        <v>119747</v>
      </c>
      <c r="EW25">
        <f>135168</f>
        <v>135168</v>
      </c>
      <c r="EX25">
        <f>142412</f>
        <v>142412</v>
      </c>
      <c r="EY25">
        <f>141799</f>
        <v>141799</v>
      </c>
      <c r="EZ25">
        <f>142419</f>
        <v>142419</v>
      </c>
      <c r="FA25">
        <f>130916</f>
        <v>130916</v>
      </c>
      <c r="FB25">
        <f>120503</f>
        <v>120503</v>
      </c>
      <c r="FC25">
        <f>137449</f>
        <v>137449</v>
      </c>
      <c r="FD25">
        <f>126364</f>
        <v>126364</v>
      </c>
      <c r="FE25">
        <f>126150</f>
        <v>126150</v>
      </c>
      <c r="FF25">
        <f>125336</f>
        <v>125336</v>
      </c>
      <c r="FG25">
        <f>117290</f>
        <v>117290</v>
      </c>
      <c r="FH25">
        <f>126098</f>
        <v>126098</v>
      </c>
      <c r="FI25">
        <f>118304</f>
        <v>118304</v>
      </c>
      <c r="FJ25">
        <f>118786</f>
        <v>118786</v>
      </c>
      <c r="FK25">
        <f>116260</f>
        <v>116260</v>
      </c>
      <c r="FL25">
        <f>120435</f>
        <v>120435</v>
      </c>
      <c r="FM25">
        <f>119811</f>
        <v>119811</v>
      </c>
      <c r="FN25">
        <f>118234</f>
        <v>118234</v>
      </c>
      <c r="FO25">
        <f>122933</f>
        <v>122933</v>
      </c>
      <c r="FP25">
        <f>120897</f>
        <v>120897</v>
      </c>
      <c r="FQ25">
        <f>126770</f>
        <v>126770</v>
      </c>
    </row>
    <row r="26" spans="1:173" x14ac:dyDescent="0.25">
      <c r="A26" t="str">
        <f>"        Empty Containers (TEU)"</f>
        <v xml:space="preserve">        Empty Containers (TEU)</v>
      </c>
      <c r="B26" t="str">
        <f>"LALBLBEM Index"</f>
        <v>LALBLBEM Index</v>
      </c>
      <c r="C26" t="str">
        <f t="shared" si="9"/>
        <v>PX385</v>
      </c>
      <c r="D26" t="str">
        <f t="shared" si="10"/>
        <v>INTERVAL_SUM</v>
      </c>
      <c r="E26" t="str">
        <f t="shared" si="11"/>
        <v>Dynamic</v>
      </c>
      <c r="F26">
        <f ca="1">IF(AND(ISNUMBER($F$67),$B$51=1),$F$67,HLOOKUP(INDIRECT(ADDRESS(2,COLUMN())),OFFSET($CL$2,0,0,ROW()-1,84),ROW()-1,FALSE))</f>
        <v>319255</v>
      </c>
      <c r="G26">
        <f ca="1">IF(AND(ISNUMBER($G$67),$B$51=1),$G$67,HLOOKUP(INDIRECT(ADDRESS(2,COLUMN())),OFFSET($CL$2,0,0,ROW()-1,84),ROW()-1,FALSE))</f>
        <v>263475</v>
      </c>
      <c r="H26">
        <f ca="1">IF(AND(ISNUMBER($H$67),$B$51=1),$H$67,HLOOKUP(INDIRECT(ADDRESS(2,COLUMN())),OFFSET($CL$2,0,0,ROW()-1,84),ROW()-1,FALSE))</f>
        <v>217030</v>
      </c>
      <c r="I26">
        <f ca="1">IF(AND(ISNUMBER($I$67),$B$51=1),$I$67,HLOOKUP(INDIRECT(ADDRESS(2,COLUMN())),OFFSET($CL$2,0,0,ROW()-1,84),ROW()-1,FALSE))</f>
        <v>228243</v>
      </c>
      <c r="J26">
        <f ca="1">IF(AND(ISNUMBER($J$67),$B$51=1),$J$67,HLOOKUP(INDIRECT(ADDRESS(2,COLUMN())),OFFSET($CL$2,0,0,ROW()-1,84),ROW()-1,FALSE))</f>
        <v>268695</v>
      </c>
      <c r="K26">
        <f ca="1">IF(AND(ISNUMBER($K$67),$B$51=1),$K$67,HLOOKUP(INDIRECT(ADDRESS(2,COLUMN())),OFFSET($CL$2,0,0,ROW()-1,84),ROW()-1,FALSE))</f>
        <v>219942</v>
      </c>
      <c r="L26">
        <f ca="1">IF(AND(ISNUMBER($L$67),$B$51=1),$L$67,HLOOKUP(INDIRECT(ADDRESS(2,COLUMN())),OFFSET($CL$2,0,0,ROW()-1,84),ROW()-1,FALSE))</f>
        <v>191219</v>
      </c>
      <c r="M26">
        <f ca="1">IF(AND(ISNUMBER($M$67),$B$51=1),$M$67,HLOOKUP(INDIRECT(ADDRESS(2,COLUMN())),OFFSET($CL$2,0,0,ROW()-1,84),ROW()-1,FALSE))</f>
        <v>177787</v>
      </c>
      <c r="N26">
        <f ca="1">IF(AND(ISNUMBER($N$67),$B$51=1),$N$67,HLOOKUP(INDIRECT(ADDRESS(2,COLUMN())),OFFSET($CL$2,0,0,ROW()-1,84),ROW()-1,FALSE))</f>
        <v>204756</v>
      </c>
      <c r="O26">
        <f ca="1">IF(AND(ISNUMBER($O$67),$B$51=1),$O$67,HLOOKUP(INDIRECT(ADDRESS(2,COLUMN())),OFFSET($CL$2,0,0,ROW()-1,84),ROW()-1,FALSE))</f>
        <v>186680</v>
      </c>
      <c r="P26">
        <f ca="1">IF(AND(ISNUMBER($P$67),$B$51=1),$P$67,HLOOKUP(INDIRECT(ADDRESS(2,COLUMN())),OFFSET($CL$2,0,0,ROW()-1,84),ROW()-1,FALSE))</f>
        <v>204313</v>
      </c>
      <c r="Q26">
        <f ca="1">IF(AND(ISNUMBER($Q$67),$B$51=1),$Q$67,HLOOKUP(INDIRECT(ADDRESS(2,COLUMN())),OFFSET($CL$2,0,0,ROW()-1,84),ROW()-1,FALSE))</f>
        <v>244743</v>
      </c>
      <c r="R26">
        <f ca="1">IF(AND(ISNUMBER($R$67),$B$51=1),$R$67,HLOOKUP(INDIRECT(ADDRESS(2,COLUMN())),OFFSET($CL$2,0,0,ROW()-1,84),ROW()-1,FALSE))</f>
        <v>286212</v>
      </c>
      <c r="S26">
        <f ca="1">IF(AND(ISNUMBER($S$67),$B$51=1),$S$67,HLOOKUP(INDIRECT(ADDRESS(2,COLUMN())),OFFSET($CL$2,0,0,ROW()-1,84),ROW()-1,FALSE))</f>
        <v>301002</v>
      </c>
      <c r="T26">
        <f ca="1">IF(AND(ISNUMBER($T$67),$B$51=1),$T$67,HLOOKUP(INDIRECT(ADDRESS(2,COLUMN())),OFFSET($CL$2,0,0,ROW()-1,84),ROW()-1,FALSE))</f>
        <v>300257</v>
      </c>
      <c r="U26">
        <f ca="1">IF(AND(ISNUMBER($U$67),$B$51=1),$U$67,HLOOKUP(INDIRECT(ADDRESS(2,COLUMN())),OFFSET($CL$2,0,0,ROW()-1,84),ROW()-1,FALSE))</f>
        <v>304432</v>
      </c>
      <c r="V26">
        <f ca="1">IF(AND(ISNUMBER($V$67),$B$51=1),$V$67,HLOOKUP(INDIRECT(ADDRESS(2,COLUMN())),OFFSET($CL$2,0,0,ROW()-1,84),ROW()-1,FALSE))</f>
        <v>335778</v>
      </c>
      <c r="W26">
        <f ca="1">IF(AND(ISNUMBER($W$67),$B$51=1),$W$67,HLOOKUP(INDIRECT(ADDRESS(2,COLUMN())),OFFSET($CL$2,0,0,ROW()-1,84),ROW()-1,FALSE))</f>
        <v>298040</v>
      </c>
      <c r="X26">
        <f ca="1">IF(AND(ISNUMBER($X$67),$B$51=1),$X$67,HLOOKUP(INDIRECT(ADDRESS(2,COLUMN())),OFFSET($CL$2,0,0,ROW()-1,84),ROW()-1,FALSE))</f>
        <v>321691</v>
      </c>
      <c r="Y26">
        <f ca="1">IF(AND(ISNUMBER($Y$67),$B$51=1),$Y$67,HLOOKUP(INDIRECT(ADDRESS(2,COLUMN())),OFFSET($CL$2,0,0,ROW()-1,84),ROW()-1,FALSE))</f>
        <v>288290</v>
      </c>
      <c r="Z26">
        <f ca="1">IF(AND(ISNUMBER($Z$67),$B$51=1),$Z$67,HLOOKUP(INDIRECT(ADDRESS(2,COLUMN())),OFFSET($CL$2,0,0,ROW()-1,84),ROW()-1,FALSE))</f>
        <v>288550</v>
      </c>
      <c r="AA26">
        <f ca="1">IF(AND(ISNUMBER($AA$67),$B$51=1),$AA$67,HLOOKUP(INDIRECT(ADDRESS(2,COLUMN())),OFFSET($CL$2,0,0,ROW()-1,84),ROW()-1,FALSE))</f>
        <v>281709</v>
      </c>
      <c r="AB26">
        <f ca="1">IF(AND(ISNUMBER($AB$67),$B$51=1),$AB$67,HLOOKUP(INDIRECT(ADDRESS(2,COLUMN())),OFFSET($CL$2,0,0,ROW()-1,84),ROW()-1,FALSE))</f>
        <v>273274</v>
      </c>
      <c r="AC26">
        <f ca="1">IF(AND(ISNUMBER($AC$67),$B$51=1),$AC$67,HLOOKUP(INDIRECT(ADDRESS(2,COLUMN())),OFFSET($CL$2,0,0,ROW()-1,84),ROW()-1,FALSE))</f>
        <v>282502</v>
      </c>
      <c r="AD26">
        <f ca="1">IF(AND(ISNUMBER($AD$67),$B$51=1),$AD$67,HLOOKUP(INDIRECT(ADDRESS(2,COLUMN())),OFFSET($CL$2,0,0,ROW()-1,84),ROW()-1,FALSE))</f>
        <v>267456</v>
      </c>
      <c r="AE26">
        <f ca="1">IF(AND(ISNUMBER($AE$67),$B$51=1),$AE$67,HLOOKUP(INDIRECT(ADDRESS(2,COLUMN())),OFFSET($CL$2,0,0,ROW()-1,84),ROW()-1,FALSE))</f>
        <v>280794</v>
      </c>
      <c r="AF26">
        <f ca="1">IF(AND(ISNUMBER($AF$67),$B$51=1),$AF$67,HLOOKUP(INDIRECT(ADDRESS(2,COLUMN())),OFFSET($CL$2,0,0,ROW()-1,84),ROW()-1,FALSE))</f>
        <v>291955</v>
      </c>
      <c r="AG26">
        <f ca="1">IF(AND(ISNUMBER($AG$67),$B$51=1),$AG$67,HLOOKUP(INDIRECT(ADDRESS(2,COLUMN())),OFFSET($CL$2,0,0,ROW()-1,84),ROW()-1,FALSE))</f>
        <v>250249</v>
      </c>
      <c r="AH26">
        <f ca="1">IF(AND(ISNUMBER($AH$67),$B$51=1),$AH$67,HLOOKUP(INDIRECT(ADDRESS(2,COLUMN())),OFFSET($CL$2,0,0,ROW()-1,84),ROW()-1,FALSE))</f>
        <v>327135</v>
      </c>
      <c r="AI26">
        <f ca="1">IF(AND(ISNUMBER($AI$67),$B$51=1),$AI$67,HLOOKUP(INDIRECT(ADDRESS(2,COLUMN())),OFFSET($CL$2,0,0,ROW()-1,84),ROW()-1,FALSE))</f>
        <v>254969</v>
      </c>
      <c r="AJ26">
        <f ca="1">IF(AND(ISNUMBER($AJ$67),$B$51=1),$AJ$67,HLOOKUP(INDIRECT(ADDRESS(2,COLUMN())),OFFSET($CL$2,0,0,ROW()-1,84),ROW()-1,FALSE))</f>
        <v>292504</v>
      </c>
      <c r="AK26">
        <f ca="1">IF(AND(ISNUMBER($AK$67),$B$51=1),$AK$67,HLOOKUP(INDIRECT(ADDRESS(2,COLUMN())),OFFSET($CL$2,0,0,ROW()-1,84),ROW()-1,FALSE))</f>
        <v>278563</v>
      </c>
      <c r="AL26">
        <f ca="1">IF(AND(ISNUMBER($AL$67),$B$51=1),$AL$67,HLOOKUP(INDIRECT(ADDRESS(2,COLUMN())),OFFSET($CL$2,0,0,ROW()-1,84),ROW()-1,FALSE))</f>
        <v>283498</v>
      </c>
      <c r="AM26">
        <f ca="1">IF(AND(ISNUMBER($AM$67),$B$51=1),$AM$67,HLOOKUP(INDIRECT(ADDRESS(2,COLUMN())),OFFSET($CL$2,0,0,ROW()-1,84),ROW()-1,FALSE))</f>
        <v>277440</v>
      </c>
      <c r="AN26">
        <f ca="1">IF(AND(ISNUMBER($AN$67),$B$51=1),$AN$67,HLOOKUP(INDIRECT(ADDRESS(2,COLUMN())),OFFSET($CL$2,0,0,ROW()-1,84),ROW()-1,FALSE))</f>
        <v>283563</v>
      </c>
      <c r="AO26">
        <f ca="1">IF(AND(ISNUMBER($AO$67),$B$51=1),$AO$67,HLOOKUP(INDIRECT(ADDRESS(2,COLUMN())),OFFSET($CL$2,0,0,ROW()-1,84),ROW()-1,FALSE))</f>
        <v>289517</v>
      </c>
      <c r="AP26">
        <f ca="1">IF(AND(ISNUMBER($AP$67),$B$51=1),$AP$67,HLOOKUP(INDIRECT(ADDRESS(2,COLUMN())),OFFSET($CL$2,0,0,ROW()-1,84),ROW()-1,FALSE))</f>
        <v>277406</v>
      </c>
      <c r="AQ26">
        <f ca="1">IF(AND(ISNUMBER($AQ$67),$B$51=1),$AQ$67,HLOOKUP(INDIRECT(ADDRESS(2,COLUMN())),OFFSET($CL$2,0,0,ROW()-1,84),ROW()-1,FALSE))</f>
        <v>234642</v>
      </c>
      <c r="AR26">
        <f ca="1">IF(AND(ISNUMBER($AR$67),$B$51=1),$AR$67,HLOOKUP(INDIRECT(ADDRESS(2,COLUMN())),OFFSET($CL$2,0,0,ROW()-1,84),ROW()-1,FALSE))</f>
        <v>237672</v>
      </c>
      <c r="AS26">
        <f ca="1">IF(AND(ISNUMBER($AS$67),$B$51=1),$AS$67,HLOOKUP(INDIRECT(ADDRESS(2,COLUMN())),OFFSET($CL$2,0,0,ROW()-1,84),ROW()-1,FALSE))</f>
        <v>183928</v>
      </c>
      <c r="AT26">
        <f ca="1">IF(AND(ISNUMBER($AT$67),$B$51=1),$AT$67,HLOOKUP(INDIRECT(ADDRESS(2,COLUMN())),OFFSET($CL$2,0,0,ROW()-1,84),ROW()-1,FALSE))</f>
        <v>181060</v>
      </c>
      <c r="AU26">
        <f ca="1">IF(AND(ISNUMBER($AU$67),$B$51=1),$AU$67,HLOOKUP(INDIRECT(ADDRESS(2,COLUMN())),OFFSET($CL$2,0,0,ROW()-1,84),ROW()-1,FALSE))</f>
        <v>163689</v>
      </c>
      <c r="AV26">
        <f ca="1">IF(AND(ISNUMBER($AV$67),$B$51=1),$AV$67,HLOOKUP(INDIRECT(ADDRESS(2,COLUMN())),OFFSET($CL$2,0,0,ROW()-1,84),ROW()-1,FALSE))</f>
        <v>137652</v>
      </c>
      <c r="AW26">
        <f ca="1">IF(AND(ISNUMBER($AW$67),$B$51=1),$AW$67,HLOOKUP(INDIRECT(ADDRESS(2,COLUMN())),OFFSET($CL$2,0,0,ROW()-1,84),ROW()-1,FALSE))</f>
        <v>164277</v>
      </c>
      <c r="AX26">
        <f ca="1">IF(AND(ISNUMBER($AX$67),$B$51=1),$AX$67,HLOOKUP(INDIRECT(ADDRESS(2,COLUMN())),OFFSET($CL$2,0,0,ROW()-1,84),ROW()-1,FALSE))</f>
        <v>208244</v>
      </c>
      <c r="AY26">
        <f ca="1">IF(AND(ISNUMBER($AY$67),$B$51=1),$AY$67,HLOOKUP(INDIRECT(ADDRESS(2,COLUMN())),OFFSET($CL$2,0,0,ROW()-1,84),ROW()-1,FALSE))</f>
        <v>216635</v>
      </c>
      <c r="AZ26">
        <f ca="1">IF(AND(ISNUMBER($AZ$67),$B$51=1),$AZ$67,HLOOKUP(INDIRECT(ADDRESS(2,COLUMN())),OFFSET($CL$2,0,0,ROW()-1,84),ROW()-1,FALSE))</f>
        <v>182992</v>
      </c>
      <c r="BA26">
        <f ca="1">IF(AND(ISNUMBER($BA$67),$B$51=1),$BA$67,HLOOKUP(INDIRECT(ADDRESS(2,COLUMN())),OFFSET($CL$2,0,0,ROW()-1,84),ROW()-1,FALSE))</f>
        <v>219728</v>
      </c>
      <c r="BB26">
        <f ca="1">IF(AND(ISNUMBER($BB$67),$B$51=1),$BB$67,HLOOKUP(INDIRECT(ADDRESS(2,COLUMN())),OFFSET($CL$2,0,0,ROW()-1,84),ROW()-1,FALSE))</f>
        <v>228821</v>
      </c>
      <c r="BC26">
        <f ca="1">IF(AND(ISNUMBER($BC$67),$B$51=1),$BC$67,HLOOKUP(INDIRECT(ADDRESS(2,COLUMN())),OFFSET($CL$2,0,0,ROW()-1,84),ROW()-1,FALSE))</f>
        <v>216238</v>
      </c>
      <c r="BD26">
        <f ca="1">IF(AND(ISNUMBER($BD$67),$B$51=1),$BD$67,HLOOKUP(INDIRECT(ADDRESS(2,COLUMN())),OFFSET($CL$2,0,0,ROW()-1,84),ROW()-1,FALSE))</f>
        <v>196777</v>
      </c>
      <c r="BE26">
        <f ca="1">IF(AND(ISNUMBER($BE$67),$B$51=1),$BE$67,HLOOKUP(INDIRECT(ADDRESS(2,COLUMN())),OFFSET($CL$2,0,0,ROW()-1,84),ROW()-1,FALSE))</f>
        <v>211718</v>
      </c>
      <c r="BF26">
        <f ca="1">IF(AND(ISNUMBER($BF$67),$B$51=1),$BF$67,HLOOKUP(INDIRECT(ADDRESS(2,COLUMN())),OFFSET($CL$2,0,0,ROW()-1,84),ROW()-1,FALSE))</f>
        <v>162479</v>
      </c>
      <c r="BG26">
        <f ca="1">IF(AND(ISNUMBER($BG$67),$B$51=1),$BG$67,HLOOKUP(INDIRECT(ADDRESS(2,COLUMN())),OFFSET($CL$2,0,0,ROW()-1,84),ROW()-1,FALSE))</f>
        <v>186435</v>
      </c>
      <c r="BH26">
        <f ca="1">IF(AND(ISNUMBER($BH$67),$B$51=1),$BH$67,HLOOKUP(INDIRECT(ADDRESS(2,COLUMN())),OFFSET($CL$2,0,0,ROW()-1,84),ROW()-1,FALSE))</f>
        <v>174346</v>
      </c>
      <c r="BI26">
        <f ca="1">IF(AND(ISNUMBER($BI$67),$B$51=1),$BI$67,HLOOKUP(INDIRECT(ADDRESS(2,COLUMN())),OFFSET($CL$2,0,0,ROW()-1,84),ROW()-1,FALSE))</f>
        <v>188465</v>
      </c>
      <c r="BJ26">
        <f ca="1">IF(AND(ISNUMBER($BJ$67),$B$51=1),$BJ$67,HLOOKUP(INDIRECT(ADDRESS(2,COLUMN())),OFFSET($CL$2,0,0,ROW()-1,84),ROW()-1,FALSE))</f>
        <v>216160</v>
      </c>
      <c r="BK26">
        <f ca="1">IF(AND(ISNUMBER($BK$67),$B$51=1),$BK$67,HLOOKUP(INDIRECT(ADDRESS(2,COLUMN())),OFFSET($CL$2,0,0,ROW()-1,84),ROW()-1,FALSE))</f>
        <v>255220</v>
      </c>
      <c r="BL26">
        <f ca="1">IF(AND(ISNUMBER($BL$67),$B$51=1),$BL$67,HLOOKUP(INDIRECT(ADDRESS(2,COLUMN())),OFFSET($CL$2,0,0,ROW()-1,84),ROW()-1,FALSE))</f>
        <v>186183</v>
      </c>
      <c r="BM26">
        <f ca="1">IF(AND(ISNUMBER($BM$67),$B$51=1),$BM$67,HLOOKUP(INDIRECT(ADDRESS(2,COLUMN())),OFFSET($CL$2,0,0,ROW()-1,84),ROW()-1,FALSE))</f>
        <v>221487</v>
      </c>
      <c r="BN26">
        <f ca="1">IF(AND(ISNUMBER($BN$67),$B$51=1),$BN$67,HLOOKUP(INDIRECT(ADDRESS(2,COLUMN())),OFFSET($CL$2,0,0,ROW()-1,84),ROW()-1,FALSE))</f>
        <v>222343</v>
      </c>
      <c r="BO26">
        <f ca="1">IF(AND(ISNUMBER($BO$67),$B$51=1),$BO$67,HLOOKUP(INDIRECT(ADDRESS(2,COLUMN())),OFFSET($CL$2,0,0,ROW()-1,84),ROW()-1,FALSE))</f>
        <v>216968</v>
      </c>
      <c r="BP26">
        <f ca="1">IF(AND(ISNUMBER($BP$67),$B$51=1),$BP$67,HLOOKUP(INDIRECT(ADDRESS(2,COLUMN())),OFFSET($CL$2,0,0,ROW()-1,84),ROW()-1,FALSE))</f>
        <v>220975</v>
      </c>
      <c r="BQ26">
        <f ca="1">IF(AND(ISNUMBER($BQ$67),$B$51=1),$BQ$67,HLOOKUP(INDIRECT(ADDRESS(2,COLUMN())),OFFSET($CL$2,0,0,ROW()-1,84),ROW()-1,FALSE))</f>
        <v>232926</v>
      </c>
      <c r="BR26">
        <f ca="1">IF(AND(ISNUMBER($BR$67),$B$51=1),$BR$67,HLOOKUP(INDIRECT(ADDRESS(2,COLUMN())),OFFSET($CL$2,0,0,ROW()-1,84),ROW()-1,FALSE))</f>
        <v>183959</v>
      </c>
      <c r="BS26">
        <f ca="1">IF(AND(ISNUMBER($BS$67),$B$51=1),$BS$67,HLOOKUP(INDIRECT(ADDRESS(2,COLUMN())),OFFSET($CL$2,0,0,ROW()-1,84),ROW()-1,FALSE))</f>
        <v>164264</v>
      </c>
      <c r="BT26">
        <f ca="1">IF(AND(ISNUMBER($BT$67),$B$51=1),$BT$67,HLOOKUP(INDIRECT(ADDRESS(2,COLUMN())),OFFSET($CL$2,0,0,ROW()-1,84),ROW()-1,FALSE))</f>
        <v>165015</v>
      </c>
      <c r="BU26">
        <f ca="1">IF(AND(ISNUMBER($BU$67),$B$51=1),$BU$67,HLOOKUP(INDIRECT(ADDRESS(2,COLUMN())),OFFSET($CL$2,0,0,ROW()-1,84),ROW()-1,FALSE))</f>
        <v>188628</v>
      </c>
      <c r="BV26">
        <f ca="1">IF(AND(ISNUMBER($BV$67),$B$51=1),$BV$67,HLOOKUP(INDIRECT(ADDRESS(2,COLUMN())),OFFSET($CL$2,0,0,ROW()-1,84),ROW()-1,FALSE))</f>
        <v>212671</v>
      </c>
      <c r="BW26">
        <f ca="1">IF(AND(ISNUMBER($BW$67),$B$51=1),$BW$67,HLOOKUP(INDIRECT(ADDRESS(2,COLUMN())),OFFSET($CL$2,0,0,ROW()-1,84),ROW()-1,FALSE))</f>
        <v>213749</v>
      </c>
      <c r="BX26">
        <f ca="1">IF(AND(ISNUMBER($BX$67),$B$51=1),$BX$67,HLOOKUP(INDIRECT(ADDRESS(2,COLUMN())),OFFSET($CL$2,0,0,ROW()-1,84),ROW()-1,FALSE))</f>
        <v>167085</v>
      </c>
      <c r="BY26">
        <f ca="1">IF(AND(ISNUMBER($BY$67),$B$51=1),$BY$67,HLOOKUP(INDIRECT(ADDRESS(2,COLUMN())),OFFSET($CL$2,0,0,ROW()-1,84),ROW()-1,FALSE))</f>
        <v>204055</v>
      </c>
      <c r="BZ26">
        <f ca="1">IF(AND(ISNUMBER($BZ$67),$B$51=1),$BZ$67,HLOOKUP(INDIRECT(ADDRESS(2,COLUMN())),OFFSET($CL$2,0,0,ROW()-1,84),ROW()-1,FALSE))</f>
        <v>209985</v>
      </c>
      <c r="CA26">
        <f ca="1">IF(AND(ISNUMBER($CA$67),$B$51=1),$CA$67,HLOOKUP(INDIRECT(ADDRESS(2,COLUMN())),OFFSET($CL$2,0,0,ROW()-1,84),ROW()-1,FALSE))</f>
        <v>219370</v>
      </c>
      <c r="CB26">
        <f ca="1">IF(AND(ISNUMBER($CB$67),$B$51=1),$CB$67,HLOOKUP(INDIRECT(ADDRESS(2,COLUMN())),OFFSET($CL$2,0,0,ROW()-1,84),ROW()-1,FALSE))</f>
        <v>215394</v>
      </c>
      <c r="CC26">
        <f ca="1">IF(AND(ISNUMBER($CC$67),$B$51=1),$CC$67,HLOOKUP(INDIRECT(ADDRESS(2,COLUMN())),OFFSET($CL$2,0,0,ROW()-1,84),ROW()-1,FALSE))</f>
        <v>205095</v>
      </c>
      <c r="CD26">
        <f ca="1">IF(AND(ISNUMBER($CD$67),$B$51=1),$CD$67,HLOOKUP(INDIRECT(ADDRESS(2,COLUMN())),OFFSET($CL$2,0,0,ROW()-1,84),ROW()-1,FALSE))</f>
        <v>192908</v>
      </c>
      <c r="CE26">
        <f ca="1">IF(AND(ISNUMBER($CE$67),$B$51=1),$CE$67,HLOOKUP(INDIRECT(ADDRESS(2,COLUMN())),OFFSET($CL$2,0,0,ROW()-1,84),ROW()-1,FALSE))</f>
        <v>153547</v>
      </c>
      <c r="CF26">
        <f ca="1">IF(AND(ISNUMBER($CF$67),$B$51=1),$CF$67,HLOOKUP(INDIRECT(ADDRESS(2,COLUMN())),OFFSET($CL$2,0,0,ROW()-1,84),ROW()-1,FALSE))</f>
        <v>135413</v>
      </c>
      <c r="CG26">
        <f ca="1">IF(AND(ISNUMBER($CG$67),$B$51=1),$CG$67,HLOOKUP(INDIRECT(ADDRESS(2,COLUMN())),OFFSET($CL$2,0,0,ROW()-1,84),ROW()-1,FALSE))</f>
        <v>128742</v>
      </c>
      <c r="CH26">
        <f ca="1">IF(AND(ISNUMBER($CH$67),$B$51=1),$CH$67,HLOOKUP(INDIRECT(ADDRESS(2,COLUMN())),OFFSET($CL$2,0,0,ROW()-1,84),ROW()-1,FALSE))</f>
        <v>165465</v>
      </c>
      <c r="CI26">
        <f ca="1">IF(AND(ISNUMBER($CI$67),$B$51=1),$CI$67,HLOOKUP(INDIRECT(ADDRESS(2,COLUMN())),OFFSET($CL$2,0,0,ROW()-1,84),ROW()-1,FALSE))</f>
        <v>154397</v>
      </c>
      <c r="CJ26">
        <f ca="1">IF(AND(ISNUMBER($CJ$67),$B$51=1),$CJ$67,HLOOKUP(INDIRECT(ADDRESS(2,COLUMN())),OFFSET($CL$2,0,0,ROW()-1,84),ROW()-1,FALSE))</f>
        <v>142801</v>
      </c>
      <c r="CK26">
        <f ca="1">IF(AND(ISNUMBER($CK$67),$B$51=1),$CK$67,HLOOKUP(INDIRECT(ADDRESS(2,COLUMN())),OFFSET($CL$2,0,0,ROW()-1,84),ROW()-1,FALSE))</f>
        <v>158327</v>
      </c>
      <c r="CL26">
        <f>319255</f>
        <v>319255</v>
      </c>
      <c r="CM26">
        <f>263475</f>
        <v>263475</v>
      </c>
      <c r="CN26">
        <f>217030</f>
        <v>217030</v>
      </c>
      <c r="CO26">
        <f>228243</f>
        <v>228243</v>
      </c>
      <c r="CP26">
        <f>268695</f>
        <v>268695</v>
      </c>
      <c r="CQ26">
        <f>219942</f>
        <v>219942</v>
      </c>
      <c r="CR26">
        <f>191219</f>
        <v>191219</v>
      </c>
      <c r="CS26">
        <f>177787</f>
        <v>177787</v>
      </c>
      <c r="CT26">
        <f>204756</f>
        <v>204756</v>
      </c>
      <c r="CU26">
        <f>186680</f>
        <v>186680</v>
      </c>
      <c r="CV26">
        <f>204313</f>
        <v>204313</v>
      </c>
      <c r="CW26">
        <f>244743</f>
        <v>244743</v>
      </c>
      <c r="CX26">
        <f>286212</f>
        <v>286212</v>
      </c>
      <c r="CY26">
        <f>301002</f>
        <v>301002</v>
      </c>
      <c r="CZ26">
        <f>300257</f>
        <v>300257</v>
      </c>
      <c r="DA26">
        <f>304432</f>
        <v>304432</v>
      </c>
      <c r="DB26">
        <f>335778</f>
        <v>335778</v>
      </c>
      <c r="DC26">
        <f>298040</f>
        <v>298040</v>
      </c>
      <c r="DD26">
        <f>321691</f>
        <v>321691</v>
      </c>
      <c r="DE26">
        <f>288290</f>
        <v>288290</v>
      </c>
      <c r="DF26">
        <f>288550</f>
        <v>288550</v>
      </c>
      <c r="DG26">
        <f>281709</f>
        <v>281709</v>
      </c>
      <c r="DH26">
        <f>273274</f>
        <v>273274</v>
      </c>
      <c r="DI26">
        <f>282502</f>
        <v>282502</v>
      </c>
      <c r="DJ26">
        <f>267456</f>
        <v>267456</v>
      </c>
      <c r="DK26">
        <f>280794</f>
        <v>280794</v>
      </c>
      <c r="DL26">
        <f>291955</f>
        <v>291955</v>
      </c>
      <c r="DM26">
        <f>250249</f>
        <v>250249</v>
      </c>
      <c r="DN26">
        <f>327135</f>
        <v>327135</v>
      </c>
      <c r="DO26">
        <f>254969</f>
        <v>254969</v>
      </c>
      <c r="DP26">
        <f>292504</f>
        <v>292504</v>
      </c>
      <c r="DQ26">
        <f>278563</f>
        <v>278563</v>
      </c>
      <c r="DR26">
        <f>283498</f>
        <v>283498</v>
      </c>
      <c r="DS26">
        <f>277440</f>
        <v>277440</v>
      </c>
      <c r="DT26">
        <f>283563</f>
        <v>283563</v>
      </c>
      <c r="DU26">
        <f>289517</f>
        <v>289517</v>
      </c>
      <c r="DV26">
        <f>277406</f>
        <v>277406</v>
      </c>
      <c r="DW26">
        <f>234642</f>
        <v>234642</v>
      </c>
      <c r="DX26">
        <f>237672</f>
        <v>237672</v>
      </c>
      <c r="DY26">
        <f>183928</f>
        <v>183928</v>
      </c>
      <c r="DZ26">
        <f>181060</f>
        <v>181060</v>
      </c>
      <c r="EA26">
        <f>163689</f>
        <v>163689</v>
      </c>
      <c r="EB26">
        <f>137652</f>
        <v>137652</v>
      </c>
      <c r="EC26">
        <f>164277</f>
        <v>164277</v>
      </c>
      <c r="ED26">
        <f>208244</f>
        <v>208244</v>
      </c>
      <c r="EE26">
        <f>216635</f>
        <v>216635</v>
      </c>
      <c r="EF26">
        <f>182992</f>
        <v>182992</v>
      </c>
      <c r="EG26">
        <f>219728</f>
        <v>219728</v>
      </c>
      <c r="EH26">
        <f>228821</f>
        <v>228821</v>
      </c>
      <c r="EI26">
        <f>216238</f>
        <v>216238</v>
      </c>
      <c r="EJ26">
        <f>196777</f>
        <v>196777</v>
      </c>
      <c r="EK26">
        <f>211718</f>
        <v>211718</v>
      </c>
      <c r="EL26">
        <f>162479</f>
        <v>162479</v>
      </c>
      <c r="EM26">
        <f>186435</f>
        <v>186435</v>
      </c>
      <c r="EN26">
        <f>174346</f>
        <v>174346</v>
      </c>
      <c r="EO26">
        <f>188465</f>
        <v>188465</v>
      </c>
      <c r="EP26">
        <f>216160</f>
        <v>216160</v>
      </c>
      <c r="EQ26">
        <f>255220</f>
        <v>255220</v>
      </c>
      <c r="ER26">
        <f>186183</f>
        <v>186183</v>
      </c>
      <c r="ES26">
        <f>221487</f>
        <v>221487</v>
      </c>
      <c r="ET26">
        <f>222343</f>
        <v>222343</v>
      </c>
      <c r="EU26">
        <f>216968</f>
        <v>216968</v>
      </c>
      <c r="EV26">
        <f>220975</f>
        <v>220975</v>
      </c>
      <c r="EW26">
        <f>232926</f>
        <v>232926</v>
      </c>
      <c r="EX26">
        <f>183959</f>
        <v>183959</v>
      </c>
      <c r="EY26">
        <f>164264</f>
        <v>164264</v>
      </c>
      <c r="EZ26">
        <f>165015</f>
        <v>165015</v>
      </c>
      <c r="FA26">
        <f>188628</f>
        <v>188628</v>
      </c>
      <c r="FB26">
        <f>212671</f>
        <v>212671</v>
      </c>
      <c r="FC26">
        <f>213749</f>
        <v>213749</v>
      </c>
      <c r="FD26">
        <f>167085</f>
        <v>167085</v>
      </c>
      <c r="FE26">
        <f>204055</f>
        <v>204055</v>
      </c>
      <c r="FF26">
        <f>209985</f>
        <v>209985</v>
      </c>
      <c r="FG26">
        <f>219370</f>
        <v>219370</v>
      </c>
      <c r="FH26">
        <f>215394</f>
        <v>215394</v>
      </c>
      <c r="FI26">
        <f>205095</f>
        <v>205095</v>
      </c>
      <c r="FJ26">
        <f>192908</f>
        <v>192908</v>
      </c>
      <c r="FK26">
        <f>153547</f>
        <v>153547</v>
      </c>
      <c r="FL26">
        <f>135413</f>
        <v>135413</v>
      </c>
      <c r="FM26">
        <f>128742</f>
        <v>128742</v>
      </c>
      <c r="FN26">
        <f>165465</f>
        <v>165465</v>
      </c>
      <c r="FO26">
        <f>154397</f>
        <v>154397</v>
      </c>
      <c r="FP26">
        <f>142801</f>
        <v>142801</v>
      </c>
      <c r="FQ26">
        <f>158327</f>
        <v>158327</v>
      </c>
    </row>
    <row r="27" spans="1:173" x14ac:dyDescent="0.25">
      <c r="A27" t="str">
        <f>"    Port of New York New Jersey (TEU)"</f>
        <v xml:space="preserve">    Port of New York New Jersey (TEU)</v>
      </c>
      <c r="B27" t="str">
        <f>"PONYTOTL Index"</f>
        <v>PONYTOTL Index</v>
      </c>
      <c r="C27" t="str">
        <f t="shared" si="9"/>
        <v>PX385</v>
      </c>
      <c r="D27" t="str">
        <f t="shared" si="10"/>
        <v>INTERVAL_SUM</v>
      </c>
      <c r="E27" t="str">
        <f t="shared" si="11"/>
        <v>Dynamic</v>
      </c>
      <c r="F27">
        <f ca="1">IF(AND(ISNUMBER($F$68),$B$51=1),$F$68,HLOOKUP(INDIRECT(ADDRESS(2,COLUMN())),OFFSET($CL$2,0,0,ROW()-1,84),ROW()-1,FALSE))</f>
        <v>439412</v>
      </c>
      <c r="G27">
        <f ca="1">IF(AND(ISNUMBER($G$68),$B$51=1),$G$68,HLOOKUP(INDIRECT(ADDRESS(2,COLUMN())),OFFSET($CL$2,0,0,ROW()-1,84),ROW()-1,FALSE))</f>
        <v>454946</v>
      </c>
      <c r="H27">
        <f ca="1">IF(AND(ISNUMBER($H$68),$B$51=1),$H$68,HLOOKUP(INDIRECT(ADDRESS(2,COLUMN())),OFFSET($CL$2,0,0,ROW()-1,84),ROW()-1,FALSE))</f>
        <v>472334</v>
      </c>
      <c r="I27">
        <f ca="1">IF(AND(ISNUMBER($I$68),$B$51=1),$I$68,HLOOKUP(INDIRECT(ADDRESS(2,COLUMN())),OFFSET($CL$2,0,0,ROW()-1,84),ROW()-1,FALSE))</f>
        <v>428190</v>
      </c>
      <c r="J27">
        <f ca="1">IF(AND(ISNUMBER($J$68),$B$51=1),$J$68,HLOOKUP(INDIRECT(ADDRESS(2,COLUMN())),OFFSET($CL$2,0,0,ROW()-1,84),ROW()-1,FALSE))</f>
        <v>462125</v>
      </c>
      <c r="K27">
        <f ca="1">IF(AND(ISNUMBER($K$68),$B$51=1),$K$68,HLOOKUP(INDIRECT(ADDRESS(2,COLUMN())),OFFSET($CL$2,0,0,ROW()-1,84),ROW()-1,FALSE))</f>
        <v>431191</v>
      </c>
      <c r="L27">
        <f ca="1">IF(AND(ISNUMBER($L$68),$B$51=1),$L$68,HLOOKUP(INDIRECT(ADDRESS(2,COLUMN())),OFFSET($CL$2,0,0,ROW()-1,84),ROW()-1,FALSE))</f>
        <v>404066</v>
      </c>
      <c r="M27">
        <f ca="1">IF(AND(ISNUMBER($M$68),$B$51=1),$M$68,HLOOKUP(INDIRECT(ADDRESS(2,COLUMN())),OFFSET($CL$2,0,0,ROW()-1,84),ROW()-1,FALSE))</f>
        <v>387006</v>
      </c>
      <c r="N27">
        <f ca="1">IF(AND(ISNUMBER($N$68),$B$51=1),$N$68,HLOOKUP(INDIRECT(ADDRESS(2,COLUMN())),OFFSET($CL$2,0,0,ROW()-1,84),ROW()-1,FALSE))</f>
        <v>436250</v>
      </c>
      <c r="O27">
        <f ca="1">IF(AND(ISNUMBER($O$68),$B$51=1),$O$68,HLOOKUP(INDIRECT(ADDRESS(2,COLUMN())),OFFSET($CL$2,0,0,ROW()-1,84),ROW()-1,FALSE))</f>
        <v>498878</v>
      </c>
      <c r="P27">
        <f ca="1">IF(AND(ISNUMBER($P$68),$B$51=1),$P$68,HLOOKUP(INDIRECT(ADDRESS(2,COLUMN())),OFFSET($CL$2,0,0,ROW()-1,84),ROW()-1,FALSE))</f>
        <v>459769</v>
      </c>
      <c r="Q27">
        <f ca="1">IF(AND(ISNUMBER($Q$68),$B$51=1),$Q$68,HLOOKUP(INDIRECT(ADDRESS(2,COLUMN())),OFFSET($CL$2,0,0,ROW()-1,84),ROW()-1,FALSE))</f>
        <v>494778</v>
      </c>
      <c r="R27">
        <f ca="1">IF(AND(ISNUMBER($R$68),$B$51=1),$R$68,HLOOKUP(INDIRECT(ADDRESS(2,COLUMN())),OFFSET($CL$2,0,0,ROW()-1,84),ROW()-1,FALSE))</f>
        <v>526687</v>
      </c>
      <c r="S27">
        <f ca="1">IF(AND(ISNUMBER($S$68),$B$51=1),$S$68,HLOOKUP(INDIRECT(ADDRESS(2,COLUMN())),OFFSET($CL$2,0,0,ROW()-1,84),ROW()-1,FALSE))</f>
        <v>537779</v>
      </c>
      <c r="T27">
        <f ca="1">IF(AND(ISNUMBER($T$68),$B$51=1),$T$68,HLOOKUP(INDIRECT(ADDRESS(2,COLUMN())),OFFSET($CL$2,0,0,ROW()-1,84),ROW()-1,FALSE))</f>
        <v>498792</v>
      </c>
      <c r="U27">
        <f ca="1">IF(AND(ISNUMBER($U$68),$B$51=1),$U$68,HLOOKUP(INDIRECT(ADDRESS(2,COLUMN())),OFFSET($CL$2,0,0,ROW()-1,84),ROW()-1,FALSE))</f>
        <v>550647</v>
      </c>
      <c r="V27">
        <f ca="1">IF(AND(ISNUMBER($V$68),$B$51=1),$V$68,HLOOKUP(INDIRECT(ADDRESS(2,COLUMN())),OFFSET($CL$2,0,0,ROW()-1,84),ROW()-1,FALSE))</f>
        <v>544975</v>
      </c>
      <c r="W27">
        <f ca="1">IF(AND(ISNUMBER($W$68),$B$51=1),$W$68,HLOOKUP(INDIRECT(ADDRESS(2,COLUMN())),OFFSET($CL$2,0,0,ROW()-1,84),ROW()-1,FALSE))</f>
        <v>533194</v>
      </c>
      <c r="X27">
        <f ca="1">IF(AND(ISNUMBER($X$68),$B$51=1),$X$68,HLOOKUP(INDIRECT(ADDRESS(2,COLUMN())),OFFSET($CL$2,0,0,ROW()-1,84),ROW()-1,FALSE))</f>
        <v>562224</v>
      </c>
      <c r="Y27">
        <f ca="1">IF(AND(ISNUMBER($Y$68),$B$51=1),$Y$68,HLOOKUP(INDIRECT(ADDRESS(2,COLUMN())),OFFSET($CL$2,0,0,ROW()-1,84),ROW()-1,FALSE))</f>
        <v>489321</v>
      </c>
      <c r="Z27">
        <f ca="1">IF(AND(ISNUMBER($Z$68),$B$51=1),$Z$68,HLOOKUP(INDIRECT(ADDRESS(2,COLUMN())),OFFSET($CL$2,0,0,ROW()-1,84),ROW()-1,FALSE))</f>
        <v>498878</v>
      </c>
      <c r="AA27">
        <f ca="1">IF(AND(ISNUMBER($AA$68),$B$51=1),$AA$68,HLOOKUP(INDIRECT(ADDRESS(2,COLUMN())),OFFSET($CL$2,0,0,ROW()-1,84),ROW()-1,FALSE))</f>
        <v>498878</v>
      </c>
      <c r="AB27">
        <f ca="1">IF(AND(ISNUMBER($AB$68),$B$51=1),$AB$68,HLOOKUP(INDIRECT(ADDRESS(2,COLUMN())),OFFSET($CL$2,0,0,ROW()-1,84),ROW()-1,FALSE))</f>
        <v>500229</v>
      </c>
      <c r="AC27">
        <f ca="1">IF(AND(ISNUMBER($AC$68),$B$51=1),$AC$68,HLOOKUP(INDIRECT(ADDRESS(2,COLUMN())),OFFSET($CL$2,0,0,ROW()-1,84),ROW()-1,FALSE))</f>
        <v>518785</v>
      </c>
      <c r="AD27">
        <f ca="1">IF(AND(ISNUMBER($AD$68),$B$51=1),$AD$68,HLOOKUP(INDIRECT(ADDRESS(2,COLUMN())),OFFSET($CL$2,0,0,ROW()-1,84),ROW()-1,FALSE))</f>
        <v>479083</v>
      </c>
      <c r="AE27">
        <f ca="1">IF(AND(ISNUMBER($AE$68),$B$51=1),$AE$68,HLOOKUP(INDIRECT(ADDRESS(2,COLUMN())),OFFSET($CL$2,0,0,ROW()-1,84),ROW()-1,FALSE))</f>
        <v>503602</v>
      </c>
      <c r="AF27">
        <f ca="1">IF(AND(ISNUMBER($AF$68),$B$51=1),$AF$68,HLOOKUP(INDIRECT(ADDRESS(2,COLUMN())),OFFSET($CL$2,0,0,ROW()-1,84),ROW()-1,FALSE))</f>
        <v>505104</v>
      </c>
      <c r="AG27">
        <f ca="1">IF(AND(ISNUMBER($AG$68),$B$51=1),$AG$68,HLOOKUP(INDIRECT(ADDRESS(2,COLUMN())),OFFSET($CL$2,0,0,ROW()-1,84),ROW()-1,FALSE))</f>
        <v>499758</v>
      </c>
      <c r="AH27">
        <f ca="1">IF(AND(ISNUMBER($AH$68),$B$51=1),$AH$68,HLOOKUP(INDIRECT(ADDRESS(2,COLUMN())),OFFSET($CL$2,0,0,ROW()-1,84),ROW()-1,FALSE))</f>
        <v>530875</v>
      </c>
      <c r="AI27">
        <f ca="1">IF(AND(ISNUMBER($AI$68),$B$51=1),$AI$68,HLOOKUP(INDIRECT(ADDRESS(2,COLUMN())),OFFSET($CL$2,0,0,ROW()-1,84),ROW()-1,FALSE))</f>
        <v>480936</v>
      </c>
      <c r="AJ27">
        <f ca="1">IF(AND(ISNUMBER($AJ$68),$B$51=1),$AJ$68,HLOOKUP(INDIRECT(ADDRESS(2,COLUMN())),OFFSET($CL$2,0,0,ROW()-1,84),ROW()-1,FALSE))</f>
        <v>519858</v>
      </c>
      <c r="AK27">
        <f ca="1">IF(AND(ISNUMBER($AK$68),$B$51=1),$AK$68,HLOOKUP(INDIRECT(ADDRESS(2,COLUMN())),OFFSET($CL$2,0,0,ROW()-1,84),ROW()-1,FALSE))</f>
        <v>428874</v>
      </c>
      <c r="AL27">
        <f ca="1">IF(AND(ISNUMBER($AL$68),$B$51=1),$AL$68,HLOOKUP(INDIRECT(ADDRESS(2,COLUMN())),OFFSET($CL$2,0,0,ROW()-1,84),ROW()-1,FALSE))</f>
        <v>480130</v>
      </c>
      <c r="AM27">
        <f ca="1">IF(AND(ISNUMBER($AM$68),$B$51=1),$AM$68,HLOOKUP(INDIRECT(ADDRESS(2,COLUMN())),OFFSET($CL$2,0,0,ROW()-1,84),ROW()-1,FALSE))</f>
        <v>462216</v>
      </c>
      <c r="AN27">
        <f ca="1">IF(AND(ISNUMBER($AN$68),$B$51=1),$AN$68,HLOOKUP(INDIRECT(ADDRESS(2,COLUMN())),OFFSET($CL$2,0,0,ROW()-1,84),ROW()-1,FALSE))</f>
        <v>501674</v>
      </c>
      <c r="AO27">
        <f ca="1">IF(AND(ISNUMBER($AO$68),$B$51=1),$AO$68,HLOOKUP(INDIRECT(ADDRESS(2,COLUMN())),OFFSET($CL$2,0,0,ROW()-1,84),ROW()-1,FALSE))</f>
        <v>521384</v>
      </c>
      <c r="AP27">
        <f ca="1">IF(AND(ISNUMBER($AP$68),$B$51=1),$AP$68,HLOOKUP(INDIRECT(ADDRESS(2,COLUMN())),OFFSET($CL$2,0,0,ROW()-1,84),ROW()-1,FALSE))</f>
        <v>489339</v>
      </c>
      <c r="AQ27">
        <f ca="1">IF(AND(ISNUMBER($AQ$68),$B$51=1),$AQ$68,HLOOKUP(INDIRECT(ADDRESS(2,COLUMN())),OFFSET($CL$2,0,0,ROW()-1,84),ROW()-1,FALSE))</f>
        <v>469954</v>
      </c>
      <c r="AR27">
        <f ca="1">IF(AND(ISNUMBER($AR$68),$B$51=1),$AR$68,HLOOKUP(INDIRECT(ADDRESS(2,COLUMN())),OFFSET($CL$2,0,0,ROW()-1,84),ROW()-1,FALSE))</f>
        <v>428819</v>
      </c>
      <c r="AS27">
        <f ca="1">IF(AND(ISNUMBER($AS$68),$B$51=1),$AS$68,HLOOKUP(INDIRECT(ADDRESS(2,COLUMN())),OFFSET($CL$2,0,0,ROW()-1,84),ROW()-1,FALSE))</f>
        <v>361823</v>
      </c>
      <c r="AT27">
        <f ca="1">IF(AND(ISNUMBER($AT$68),$B$51=1),$AT$68,HLOOKUP(INDIRECT(ADDRESS(2,COLUMN())),OFFSET($CL$2,0,0,ROW()-1,84),ROW()-1,FALSE))</f>
        <v>361466</v>
      </c>
      <c r="AU27">
        <f ca="1">IF(AND(ISNUMBER($AU$68),$B$51=1),$AU$68,HLOOKUP(INDIRECT(ADDRESS(2,COLUMN())),OFFSET($CL$2,0,0,ROW()-1,84),ROW()-1,FALSE))</f>
        <v>381386</v>
      </c>
      <c r="AV27">
        <f ca="1">IF(AND(ISNUMBER($AV$68),$B$51=1),$AV$68,HLOOKUP(INDIRECT(ADDRESS(2,COLUMN())),OFFSET($CL$2,0,0,ROW()-1,84),ROW()-1,FALSE))</f>
        <v>408291</v>
      </c>
      <c r="AW27">
        <f ca="1">IF(AND(ISNUMBER($AW$68),$B$51=1),$AW$68,HLOOKUP(INDIRECT(ADDRESS(2,COLUMN())),OFFSET($CL$2,0,0,ROW()-1,84),ROW()-1,FALSE))</f>
        <v>414246</v>
      </c>
      <c r="AX27">
        <f ca="1">IF(AND(ISNUMBER($AX$68),$B$51=1),$AX$68,HLOOKUP(INDIRECT(ADDRESS(2,COLUMN())),OFFSET($CL$2,0,0,ROW()-1,84),ROW()-1,FALSE))</f>
        <v>441131</v>
      </c>
      <c r="AY27">
        <f ca="1">IF(AND(ISNUMBER($AY$68),$B$51=1),$AY$68,HLOOKUP(INDIRECT(ADDRESS(2,COLUMN())),OFFSET($CL$2,0,0,ROW()-1,84),ROW()-1,FALSE))</f>
        <v>399732</v>
      </c>
      <c r="AZ27">
        <f ca="1">IF(AND(ISNUMBER($AZ$68),$B$51=1),$AZ$68,HLOOKUP(INDIRECT(ADDRESS(2,COLUMN())),OFFSET($CL$2,0,0,ROW()-1,84),ROW()-1,FALSE))</f>
        <v>420545</v>
      </c>
      <c r="BA27">
        <f ca="1">IF(AND(ISNUMBER($BA$68),$B$51=1),$BA$68,HLOOKUP(INDIRECT(ADDRESS(2,COLUMN())),OFFSET($CL$2,0,0,ROW()-1,84),ROW()-1,FALSE))</f>
        <v>466699</v>
      </c>
      <c r="BB27">
        <f ca="1">IF(AND(ISNUMBER($BB$68),$B$51=1),$BB$68,HLOOKUP(INDIRECT(ADDRESS(2,COLUMN())),OFFSET($CL$2,0,0,ROW()-1,84),ROW()-1,FALSE))</f>
        <v>432097</v>
      </c>
      <c r="BC27">
        <f ca="1">IF(AND(ISNUMBER($BC$68),$B$51=1),$BC$68,HLOOKUP(INDIRECT(ADDRESS(2,COLUMN())),OFFSET($CL$2,0,0,ROW()-1,84),ROW()-1,FALSE))</f>
        <v>469778</v>
      </c>
      <c r="BD27">
        <f ca="1">IF(AND(ISNUMBER($BD$68),$B$51=1),$BD$68,HLOOKUP(INDIRECT(ADDRESS(2,COLUMN())),OFFSET($CL$2,0,0,ROW()-1,84),ROW()-1,FALSE))</f>
        <v>454987</v>
      </c>
      <c r="BE27">
        <f ca="1">IF(AND(ISNUMBER($BE$68),$B$51=1),$BE$68,HLOOKUP(INDIRECT(ADDRESS(2,COLUMN())),OFFSET($CL$2,0,0,ROW()-1,84),ROW()-1,FALSE))</f>
        <v>424371</v>
      </c>
      <c r="BF27">
        <f ca="1">IF(AND(ISNUMBER($BF$68),$B$51=1),$BF$68,HLOOKUP(INDIRECT(ADDRESS(2,COLUMN())),OFFSET($CL$2,0,0,ROW()-1,84),ROW()-1,FALSE))</f>
        <v>472995</v>
      </c>
      <c r="BG27">
        <f ca="1">IF(AND(ISNUMBER($BG$68),$B$51=1),$BG$68,HLOOKUP(INDIRECT(ADDRESS(2,COLUMN())),OFFSET($CL$2,0,0,ROW()-1,84),ROW()-1,FALSE))</f>
        <v>429136</v>
      </c>
      <c r="BH27">
        <f ca="1">IF(AND(ISNUMBER($BH$68),$B$51=1),$BH$68,HLOOKUP(INDIRECT(ADDRESS(2,COLUMN())),OFFSET($CL$2,0,0,ROW()-1,84),ROW()-1,FALSE))</f>
        <v>413019</v>
      </c>
      <c r="BI27">
        <f ca="1">IF(AND(ISNUMBER($BI$68),$B$51=1),$BI$68,HLOOKUP(INDIRECT(ADDRESS(2,COLUMN())),OFFSET($CL$2,0,0,ROW()-1,84),ROW()-1,FALSE))</f>
        <v>408881</v>
      </c>
      <c r="BJ27">
        <f ca="1">IF(AND(ISNUMBER($BJ$68),$B$51=1),$BJ$68,HLOOKUP(INDIRECT(ADDRESS(2,COLUMN())),OFFSET($CL$2,0,0,ROW()-1,84),ROW()-1,FALSE))</f>
        <v>439178</v>
      </c>
      <c r="BK27">
        <f ca="1">IF(AND(ISNUMBER($BK$68),$B$51=1),$BK$68,HLOOKUP(INDIRECT(ADDRESS(2,COLUMN())),OFFSET($CL$2,0,0,ROW()-1,84),ROW()-1,FALSE))</f>
        <v>433259</v>
      </c>
      <c r="BL27">
        <f ca="1">IF(AND(ISNUMBER($BL$68),$B$51=1),$BL$68,HLOOKUP(INDIRECT(ADDRESS(2,COLUMN())),OFFSET($CL$2,0,0,ROW()-1,84),ROW()-1,FALSE))</f>
        <v>417241</v>
      </c>
      <c r="BM27">
        <f ca="1">IF(AND(ISNUMBER($BM$68),$B$51=1),$BM$68,HLOOKUP(INDIRECT(ADDRESS(2,COLUMN())),OFFSET($CL$2,0,0,ROW()-1,84),ROW()-1,FALSE))</f>
        <v>470384</v>
      </c>
      <c r="BN27">
        <f ca="1">IF(AND(ISNUMBER($BN$68),$B$51=1),$BN$68,HLOOKUP(INDIRECT(ADDRESS(2,COLUMN())),OFFSET($CL$2,0,0,ROW()-1,84),ROW()-1,FALSE))</f>
        <v>420836</v>
      </c>
      <c r="BO27">
        <f ca="1">IF(AND(ISNUMBER($BO$68),$B$51=1),$BO$68,HLOOKUP(INDIRECT(ADDRESS(2,COLUMN())),OFFSET($CL$2,0,0,ROW()-1,84),ROW()-1,FALSE))</f>
        <v>458682</v>
      </c>
      <c r="BP27">
        <f ca="1">IF(AND(ISNUMBER($BP$68),$B$51=1),$BP$68,HLOOKUP(INDIRECT(ADDRESS(2,COLUMN())),OFFSET($CL$2,0,0,ROW()-1,84),ROW()-1,FALSE))</f>
        <v>438534</v>
      </c>
      <c r="BQ27">
        <f ca="1">IF(AND(ISNUMBER($BQ$68),$B$51=1),$BQ$68,HLOOKUP(INDIRECT(ADDRESS(2,COLUMN())),OFFSET($CL$2,0,0,ROW()-1,84),ROW()-1,FALSE))</f>
        <v>439986</v>
      </c>
      <c r="BR27">
        <f ca="1">IF(AND(ISNUMBER($BR$68),$B$51=1),$BR$68,HLOOKUP(INDIRECT(ADDRESS(2,COLUMN())),OFFSET($CL$2,0,0,ROW()-1,84),ROW()-1,FALSE))</f>
        <v>432422</v>
      </c>
      <c r="BS27">
        <f ca="1">IF(AND(ISNUMBER($BS$68),$B$51=1),$BS$68,HLOOKUP(INDIRECT(ADDRESS(2,COLUMN())),OFFSET($CL$2,0,0,ROW()-1,84),ROW()-1,FALSE))</f>
        <v>407746</v>
      </c>
      <c r="BT27">
        <f ca="1">IF(AND(ISNUMBER($BT$68),$B$51=1),$BT$68,HLOOKUP(INDIRECT(ADDRESS(2,COLUMN())),OFFSET($CL$2,0,0,ROW()-1,84),ROW()-1,FALSE))</f>
        <v>420567</v>
      </c>
      <c r="BU27">
        <f ca="1">IF(AND(ISNUMBER($BU$68),$B$51=1),$BU$68,HLOOKUP(INDIRECT(ADDRESS(2,COLUMN())),OFFSET($CL$2,0,0,ROW()-1,84),ROW()-1,FALSE))</f>
        <v>391340</v>
      </c>
      <c r="BV27">
        <f ca="1">IF(AND(ISNUMBER($BV$68),$B$51=1),$BV$68,HLOOKUP(INDIRECT(ADDRESS(2,COLUMN())),OFFSET($CL$2,0,0,ROW()-1,84),ROW()-1,FALSE))</f>
        <v>421896</v>
      </c>
      <c r="BW27">
        <f ca="1">IF(AND(ISNUMBER($BW$68),$B$51=1),$BW$68,HLOOKUP(INDIRECT(ADDRESS(2,COLUMN())),OFFSET($CL$2,0,0,ROW()-1,84),ROW()-1,FALSE))</f>
        <v>395459</v>
      </c>
      <c r="BX27">
        <f ca="1">IF(AND(ISNUMBER($BX$68),$B$51=1),$BX$68,HLOOKUP(INDIRECT(ADDRESS(2,COLUMN())),OFFSET($CL$2,0,0,ROW()-1,84),ROW()-1,FALSE))</f>
        <v>413830</v>
      </c>
      <c r="BY27">
        <f ca="1">IF(AND(ISNUMBER($BY$68),$B$51=1),$BY$68,HLOOKUP(INDIRECT(ADDRESS(2,COLUMN())),OFFSET($CL$2,0,0,ROW()-1,84),ROW()-1,FALSE))</f>
        <v>426932</v>
      </c>
      <c r="BZ27">
        <f ca="1">IF(AND(ISNUMBER($BZ$68),$B$51=1),$BZ$68,HLOOKUP(INDIRECT(ADDRESS(2,COLUMN())),OFFSET($CL$2,0,0,ROW()-1,84),ROW()-1,FALSE))</f>
        <v>401492</v>
      </c>
      <c r="CA27">
        <f ca="1">IF(AND(ISNUMBER($CA$68),$B$51=1),$CA$68,HLOOKUP(INDIRECT(ADDRESS(2,COLUMN())),OFFSET($CL$2,0,0,ROW()-1,84),ROW()-1,FALSE))</f>
        <v>446160</v>
      </c>
      <c r="CB27">
        <f ca="1">IF(AND(ISNUMBER($CB$68),$B$51=1),$CB$68,HLOOKUP(INDIRECT(ADDRESS(2,COLUMN())),OFFSET($CL$2,0,0,ROW()-1,84),ROW()-1,FALSE))</f>
        <v>404454</v>
      </c>
      <c r="CC27">
        <f ca="1">IF(AND(ISNUMBER($CC$68),$B$51=1),$CC$68,HLOOKUP(INDIRECT(ADDRESS(2,COLUMN())),OFFSET($CL$2,0,0,ROW()-1,84),ROW()-1,FALSE))</f>
        <v>413524</v>
      </c>
      <c r="CD27">
        <f ca="1">IF(AND(ISNUMBER($CD$68),$B$51=1),$CD$68,HLOOKUP(INDIRECT(ADDRESS(2,COLUMN())),OFFSET($CL$2,0,0,ROW()-1,84),ROW()-1,FALSE))</f>
        <v>402753</v>
      </c>
      <c r="CE27">
        <f ca="1">IF(AND(ISNUMBER($CE$68),$B$51=1),$CE$68,HLOOKUP(INDIRECT(ADDRESS(2,COLUMN())),OFFSET($CL$2,0,0,ROW()-1,84),ROW()-1,FALSE))</f>
        <v>398283</v>
      </c>
      <c r="CF27">
        <f ca="1">IF(AND(ISNUMBER($CF$68),$B$51=1),$CF$68,HLOOKUP(INDIRECT(ADDRESS(2,COLUMN())),OFFSET($CL$2,0,0,ROW()-1,84),ROW()-1,FALSE))</f>
        <v>364892</v>
      </c>
      <c r="CG27">
        <f ca="1">IF(AND(ISNUMBER($CG$68),$B$51=1),$CG$68,HLOOKUP(INDIRECT(ADDRESS(2,COLUMN())),OFFSET($CL$2,0,0,ROW()-1,84),ROW()-1,FALSE))</f>
        <v>368513</v>
      </c>
      <c r="CH27">
        <f ca="1">IF(AND(ISNUMBER($CH$68),$B$51=1),$CH$68,HLOOKUP(INDIRECT(ADDRESS(2,COLUMN())),OFFSET($CL$2,0,0,ROW()-1,84),ROW()-1,FALSE))</f>
        <v>421896</v>
      </c>
      <c r="CI27">
        <f ca="1">IF(AND(ISNUMBER($CI$68),$B$51=1),$CI$68,HLOOKUP(INDIRECT(ADDRESS(2,COLUMN())),OFFSET($CL$2,0,0,ROW()-1,84),ROW()-1,FALSE))</f>
        <v>376282</v>
      </c>
      <c r="CJ27">
        <f ca="1">IF(AND(ISNUMBER($CJ$68),$B$51=1),$CJ$68,HLOOKUP(INDIRECT(ADDRESS(2,COLUMN())),OFFSET($CL$2,0,0,ROW()-1,84),ROW()-1,FALSE))</f>
        <v>386639</v>
      </c>
      <c r="CK27">
        <f ca="1">IF(AND(ISNUMBER($CK$68),$B$51=1),$CK$68,HLOOKUP(INDIRECT(ADDRESS(2,COLUMN())),OFFSET($CL$2,0,0,ROW()-1,84),ROW()-1,FALSE))</f>
        <v>406071</v>
      </c>
      <c r="CL27">
        <f>439412</f>
        <v>439412</v>
      </c>
      <c r="CM27">
        <f>454946</f>
        <v>454946</v>
      </c>
      <c r="CN27">
        <f>472334</f>
        <v>472334</v>
      </c>
      <c r="CO27">
        <f>428190</f>
        <v>428190</v>
      </c>
      <c r="CP27">
        <f>462125</f>
        <v>462125</v>
      </c>
      <c r="CQ27">
        <f>431191</f>
        <v>431191</v>
      </c>
      <c r="CR27">
        <f>404066</f>
        <v>404066</v>
      </c>
      <c r="CS27">
        <f>387006</f>
        <v>387006</v>
      </c>
      <c r="CT27">
        <f>436250</f>
        <v>436250</v>
      </c>
      <c r="CU27">
        <f>498878</f>
        <v>498878</v>
      </c>
      <c r="CV27">
        <f>459769</f>
        <v>459769</v>
      </c>
      <c r="CW27">
        <f>494778</f>
        <v>494778</v>
      </c>
      <c r="CX27">
        <f>526687</f>
        <v>526687</v>
      </c>
      <c r="CY27">
        <f>537779</f>
        <v>537779</v>
      </c>
      <c r="CZ27">
        <f>498792</f>
        <v>498792</v>
      </c>
      <c r="DA27">
        <f>550647</f>
        <v>550647</v>
      </c>
      <c r="DB27">
        <f>544975</f>
        <v>544975</v>
      </c>
      <c r="DC27">
        <f>533194</f>
        <v>533194</v>
      </c>
      <c r="DD27">
        <f>562224</f>
        <v>562224</v>
      </c>
      <c r="DE27">
        <f>489321</f>
        <v>489321</v>
      </c>
      <c r="DF27">
        <f>498878</f>
        <v>498878</v>
      </c>
      <c r="DG27">
        <f>498878</f>
        <v>498878</v>
      </c>
      <c r="DH27">
        <f>500229</f>
        <v>500229</v>
      </c>
      <c r="DI27">
        <f>518785</f>
        <v>518785</v>
      </c>
      <c r="DJ27">
        <f>479083</f>
        <v>479083</v>
      </c>
      <c r="DK27">
        <f>503602</f>
        <v>503602</v>
      </c>
      <c r="DL27">
        <f>505104</f>
        <v>505104</v>
      </c>
      <c r="DM27">
        <f>499758</f>
        <v>499758</v>
      </c>
      <c r="DN27">
        <f>530875</f>
        <v>530875</v>
      </c>
      <c r="DO27">
        <f>480936</f>
        <v>480936</v>
      </c>
      <c r="DP27">
        <f>519858</f>
        <v>519858</v>
      </c>
      <c r="DQ27">
        <f>428874</f>
        <v>428874</v>
      </c>
      <c r="DR27">
        <f>480130</f>
        <v>480130</v>
      </c>
      <c r="DS27">
        <f>462216</f>
        <v>462216</v>
      </c>
      <c r="DT27">
        <f>501674</f>
        <v>501674</v>
      </c>
      <c r="DU27">
        <f>521384</f>
        <v>521384</v>
      </c>
      <c r="DV27">
        <f>489339</f>
        <v>489339</v>
      </c>
      <c r="DW27">
        <f>469954</f>
        <v>469954</v>
      </c>
      <c r="DX27">
        <f>428819</f>
        <v>428819</v>
      </c>
      <c r="DY27">
        <f>361823</f>
        <v>361823</v>
      </c>
      <c r="DZ27">
        <f>361466</f>
        <v>361466</v>
      </c>
      <c r="EA27">
        <f>381386</f>
        <v>381386</v>
      </c>
      <c r="EB27">
        <f>408291</f>
        <v>408291</v>
      </c>
      <c r="EC27">
        <f>414246</f>
        <v>414246</v>
      </c>
      <c r="ED27">
        <f>441131</f>
        <v>441131</v>
      </c>
      <c r="EE27">
        <f>399732</f>
        <v>399732</v>
      </c>
      <c r="EF27">
        <f>420545</f>
        <v>420545</v>
      </c>
      <c r="EG27">
        <f>466699</f>
        <v>466699</v>
      </c>
      <c r="EH27">
        <f>432097</f>
        <v>432097</v>
      </c>
      <c r="EI27">
        <f>469778</f>
        <v>469778</v>
      </c>
      <c r="EJ27">
        <f>454987</f>
        <v>454987</v>
      </c>
      <c r="EK27">
        <f>424371</f>
        <v>424371</v>
      </c>
      <c r="EL27">
        <f>472995</f>
        <v>472995</v>
      </c>
      <c r="EM27">
        <f>429136</f>
        <v>429136</v>
      </c>
      <c r="EN27">
        <f>413019</f>
        <v>413019</v>
      </c>
      <c r="EO27">
        <f>408881</f>
        <v>408881</v>
      </c>
      <c r="EP27">
        <f>439178</f>
        <v>439178</v>
      </c>
      <c r="EQ27">
        <f>433259</f>
        <v>433259</v>
      </c>
      <c r="ER27">
        <f>417241</f>
        <v>417241</v>
      </c>
      <c r="ES27">
        <f>470384</f>
        <v>470384</v>
      </c>
      <c r="ET27">
        <f>420836</f>
        <v>420836</v>
      </c>
      <c r="EU27">
        <f>458682</f>
        <v>458682</v>
      </c>
      <c r="EV27">
        <f>438534</f>
        <v>438534</v>
      </c>
      <c r="EW27">
        <f>439986</f>
        <v>439986</v>
      </c>
      <c r="EX27">
        <f>432422</f>
        <v>432422</v>
      </c>
      <c r="EY27">
        <f>407746</f>
        <v>407746</v>
      </c>
      <c r="EZ27">
        <f>420567</f>
        <v>420567</v>
      </c>
      <c r="FA27">
        <f>391340</f>
        <v>391340</v>
      </c>
      <c r="FB27">
        <f>421896</f>
        <v>421896</v>
      </c>
      <c r="FC27">
        <f>395459</f>
        <v>395459</v>
      </c>
      <c r="FD27">
        <f>413830</f>
        <v>413830</v>
      </c>
      <c r="FE27">
        <f>426932</f>
        <v>426932</v>
      </c>
      <c r="FF27">
        <f>401492</f>
        <v>401492</v>
      </c>
      <c r="FG27">
        <f>446160</f>
        <v>446160</v>
      </c>
      <c r="FH27">
        <f>404454</f>
        <v>404454</v>
      </c>
      <c r="FI27">
        <f>413524</f>
        <v>413524</v>
      </c>
      <c r="FJ27">
        <f>402753</f>
        <v>402753</v>
      </c>
      <c r="FK27">
        <f>398283</f>
        <v>398283</v>
      </c>
      <c r="FL27">
        <f>364892</f>
        <v>364892</v>
      </c>
      <c r="FM27">
        <f>368513</f>
        <v>368513</v>
      </c>
      <c r="FN27">
        <f>421896</f>
        <v>421896</v>
      </c>
      <c r="FO27">
        <f>376282</f>
        <v>376282</v>
      </c>
      <c r="FP27">
        <f>386639</f>
        <v>386639</v>
      </c>
      <c r="FQ27">
        <f>406071</f>
        <v>406071</v>
      </c>
    </row>
    <row r="28" spans="1:173" x14ac:dyDescent="0.25">
      <c r="A28" t="str">
        <f>"    Port of Savannah (TEU)"</f>
        <v xml:space="preserve">    Port of Savannah (TEU)</v>
      </c>
      <c r="B28" t="str">
        <f>"POSATOTL Index"</f>
        <v>POSATOTL Index</v>
      </c>
      <c r="C28" t="str">
        <f t="shared" si="9"/>
        <v>PX385</v>
      </c>
      <c r="D28" t="str">
        <f t="shared" si="10"/>
        <v>INTERVAL_SUM</v>
      </c>
      <c r="E28" t="str">
        <f t="shared" si="11"/>
        <v>Dynamic</v>
      </c>
      <c r="F28" t="str">
        <f ca="1">IF(AND(ISNUMBER($F$69),$B$51=1),$F$69,HLOOKUP(INDIRECT(ADDRESS(2,COLUMN())),OFFSET($CL$2,0,0,ROW()-1,84),ROW()-1,FALSE))</f>
        <v/>
      </c>
      <c r="G28">
        <f ca="1">IF(AND(ISNUMBER($G$69),$B$51=1),$G$69,HLOOKUP(INDIRECT(ADDRESS(2,COLUMN())),OFFSET($CL$2,0,0,ROW()-1,84),ROW()-1,FALSE))</f>
        <v>413294</v>
      </c>
      <c r="H28">
        <f ca="1">IF(AND(ISNUMBER($H$69),$B$51=1),$H$69,HLOOKUP(INDIRECT(ADDRESS(2,COLUMN())),OFFSET($CL$2,0,0,ROW()-1,84),ROW()-1,FALSE))</f>
        <v>447587</v>
      </c>
      <c r="I28">
        <f ca="1">IF(AND(ISNUMBER($I$69),$B$51=1),$I$69,HLOOKUP(INDIRECT(ADDRESS(2,COLUMN())),OFFSET($CL$2,0,0,ROW()-1,84),ROW()-1,FALSE))</f>
        <v>381825</v>
      </c>
      <c r="J28">
        <f ca="1">IF(AND(ISNUMBER($J$69),$B$51=1),$J$69,HLOOKUP(INDIRECT(ADDRESS(2,COLUMN())),OFFSET($CL$2,0,0,ROW()-1,84),ROW()-1,FALSE))</f>
        <v>400511</v>
      </c>
      <c r="K28">
        <f ca="1">IF(AND(ISNUMBER($K$69),$B$51=1),$K$69,HLOOKUP(INDIRECT(ADDRESS(2,COLUMN())),OFFSET($CL$2,0,0,ROW()-1,84),ROW()-1,FALSE))</f>
        <v>408686</v>
      </c>
      <c r="L28">
        <f ca="1">IF(AND(ISNUMBER($L$69),$B$51=1),$L$69,HLOOKUP(INDIRECT(ADDRESS(2,COLUMN())),OFFSET($CL$2,0,0,ROW()-1,84),ROW()-1,FALSE))</f>
        <v>367880</v>
      </c>
      <c r="M28">
        <f ca="1">IF(AND(ISNUMBER($M$69),$B$51=1),$M$69,HLOOKUP(INDIRECT(ADDRESS(2,COLUMN())),OFFSET($CL$2,0,0,ROW()-1,84),ROW()-1,FALSE))</f>
        <v>394793</v>
      </c>
      <c r="N28">
        <f ca="1">IF(AND(ISNUMBER($N$69),$B$51=1),$N$69,HLOOKUP(INDIRECT(ADDRESS(2,COLUMN())),OFFSET($CL$2,0,0,ROW()-1,84),ROW()-1,FALSE))</f>
        <v>421714</v>
      </c>
      <c r="O28">
        <f ca="1">IF(AND(ISNUMBER($O$69),$B$51=1),$O$69,HLOOKUP(INDIRECT(ADDRESS(2,COLUMN())),OFFSET($CL$2,0,0,ROW()-1,84),ROW()-1,FALSE))</f>
        <v>440759</v>
      </c>
      <c r="P28">
        <f ca="1">IF(AND(ISNUMBER($P$69),$B$51=1),$P$69,HLOOKUP(INDIRECT(ADDRESS(2,COLUMN())),OFFSET($CL$2,0,0,ROW()-1,84),ROW()-1,FALSE))</f>
        <v>464883</v>
      </c>
      <c r="Q28">
        <f ca="1">IF(AND(ISNUMBER($Q$69),$B$51=1),$Q$69,HLOOKUP(INDIRECT(ADDRESS(2,COLUMN())),OFFSET($CL$2,0,0,ROW()-1,84),ROW()-1,FALSE))</f>
        <v>552806</v>
      </c>
      <c r="R28">
        <f ca="1">IF(AND(ISNUMBER($R$69),$B$51=1),$R$69,HLOOKUP(INDIRECT(ADDRESS(2,COLUMN())),OFFSET($CL$2,0,0,ROW()-1,84),ROW()-1,FALSE))</f>
        <v>436279</v>
      </c>
      <c r="S28">
        <f ca="1">IF(AND(ISNUMBER($S$69),$B$51=1),$S$69,HLOOKUP(INDIRECT(ADDRESS(2,COLUMN())),OFFSET($CL$2,0,0,ROW()-1,84),ROW()-1,FALSE))</f>
        <v>575513</v>
      </c>
      <c r="T28">
        <f ca="1">IF(AND(ISNUMBER($T$69),$B$51=1),$T$69,HLOOKUP(INDIRECT(ADDRESS(2,COLUMN())),OFFSET($CL$2,0,0,ROW()-1,84),ROW()-1,FALSE))</f>
        <v>530800</v>
      </c>
      <c r="U28">
        <f ca="1">IF(AND(ISNUMBER($U$69),$B$51=1),$U$69,HLOOKUP(INDIRECT(ADDRESS(2,COLUMN())),OFFSET($CL$2,0,0,ROW()-1,84),ROW()-1,FALSE))</f>
        <v>494107</v>
      </c>
      <c r="V28">
        <f ca="1">IF(AND(ISNUMBER($V$69),$B$51=1),$V$69,HLOOKUP(INDIRECT(ADDRESS(2,COLUMN())),OFFSET($CL$2,0,0,ROW()-1,84),ROW()-1,FALSE))</f>
        <v>519388</v>
      </c>
      <c r="W28">
        <f ca="1">IF(AND(ISNUMBER($W$69),$B$51=1),$W$69,HLOOKUP(INDIRECT(ADDRESS(2,COLUMN())),OFFSET($CL$2,0,0,ROW()-1,84),ROW()-1,FALSE))</f>
        <v>495782</v>
      </c>
      <c r="X28">
        <f ca="1">IF(AND(ISNUMBER($X$69),$B$51=1),$X$69,HLOOKUP(INDIRECT(ADDRESS(2,COLUMN())),OFFSET($CL$2,0,0,ROW()-1,84),ROW()-1,FALSE))</f>
        <v>444690</v>
      </c>
      <c r="Y28">
        <f ca="1">IF(AND(ISNUMBER($Y$69),$B$51=1),$Y$69,HLOOKUP(INDIRECT(ADDRESS(2,COLUMN())),OFFSET($CL$2,0,0,ROW()-1,84),ROW()-1,FALSE))</f>
        <v>460413</v>
      </c>
      <c r="Z28">
        <f ca="1">IF(AND(ISNUMBER($Z$69),$B$51=1),$Z$69,HLOOKUP(INDIRECT(ADDRESS(2,COLUMN())),OFFSET($CL$2,0,0,ROW()-1,84),ROW()-1,FALSE))</f>
        <v>476713</v>
      </c>
      <c r="AA28">
        <f ca="1">IF(AND(ISNUMBER($AA$69),$B$51=1),$AA$69,HLOOKUP(INDIRECT(ADDRESS(2,COLUMN())),OFFSET($CL$2,0,0,ROW()-1,84),ROW()-1,FALSE))</f>
        <v>464951</v>
      </c>
      <c r="AB28">
        <f ca="1">IF(AND(ISNUMBER($AB$69),$B$51=1),$AB$69,HLOOKUP(INDIRECT(ADDRESS(2,COLUMN())),OFFSET($CL$2,0,0,ROW()-1,84),ROW()-1,FALSE))</f>
        <v>495749</v>
      </c>
      <c r="AC28">
        <f ca="1">IF(AND(ISNUMBER($AC$69),$B$51=1),$AC$69,HLOOKUP(INDIRECT(ADDRESS(2,COLUMN())),OFFSET($CL$2,0,0,ROW()-1,84),ROW()-1,FALSE))</f>
        <v>504347</v>
      </c>
      <c r="AD28">
        <f ca="1">IF(AND(ISNUMBER($AD$69),$B$51=1),$AD$69,HLOOKUP(INDIRECT(ADDRESS(2,COLUMN())),OFFSET($CL$2,0,0,ROW()-1,84),ROW()-1,FALSE))</f>
        <v>472062</v>
      </c>
      <c r="AE28">
        <f ca="1">IF(AND(ISNUMBER($AE$69),$B$51=1),$AE$69,HLOOKUP(INDIRECT(ADDRESS(2,COLUMN())),OFFSET($CL$2,0,0,ROW()-1,84),ROW()-1,FALSE))</f>
        <v>485595</v>
      </c>
      <c r="AF28">
        <f ca="1">IF(AND(ISNUMBER($AF$69),$B$51=1),$AF$69,HLOOKUP(INDIRECT(ADDRESS(2,COLUMN())),OFFSET($CL$2,0,0,ROW()-1,84),ROW()-1,FALSE))</f>
        <v>449916</v>
      </c>
      <c r="AG28">
        <f ca="1">IF(AND(ISNUMBER($AG$69),$B$51=1),$AG$69,HLOOKUP(INDIRECT(ADDRESS(2,COLUMN())),OFFSET($CL$2,0,0,ROW()-1,84),ROW()-1,FALSE))</f>
        <v>446815</v>
      </c>
      <c r="AH28">
        <f ca="1">IF(AND(ISNUMBER($AH$69),$B$51=1),$AH$69,HLOOKUP(INDIRECT(ADDRESS(2,COLUMN())),OFFSET($CL$2,0,0,ROW()-1,84),ROW()-1,FALSE))</f>
        <v>478620</v>
      </c>
      <c r="AI28">
        <f ca="1">IF(AND(ISNUMBER($AI$69),$B$51=1),$AI$69,HLOOKUP(INDIRECT(ADDRESS(2,COLUMN())),OFFSET($CL$2,0,0,ROW()-1,84),ROW()-1,FALSE))</f>
        <v>466633</v>
      </c>
      <c r="AJ28">
        <f ca="1">IF(AND(ISNUMBER($AJ$69),$B$51=1),$AJ$69,HLOOKUP(INDIRECT(ADDRESS(2,COLUMN())),OFFSET($CL$2,0,0,ROW()-1,84),ROW()-1,FALSE))</f>
        <v>498064</v>
      </c>
      <c r="AK28">
        <f ca="1">IF(AND(ISNUMBER($AK$69),$B$51=1),$AK$69,HLOOKUP(INDIRECT(ADDRESS(2,COLUMN())),OFFSET($CL$2,0,0,ROW()-1,84),ROW()-1,FALSE))</f>
        <v>390804</v>
      </c>
      <c r="AL28">
        <f ca="1">IF(AND(ISNUMBER($AL$69),$B$51=1),$AL$69,HLOOKUP(INDIRECT(ADDRESS(2,COLUMN())),OFFSET($CL$2,0,0,ROW()-1,84),ROW()-1,FALSE))</f>
        <v>459608</v>
      </c>
      <c r="AM28">
        <f ca="1">IF(AND(ISNUMBER($AM$69),$B$51=1),$AM$69,HLOOKUP(INDIRECT(ADDRESS(2,COLUMN())),OFFSET($CL$2,0,0,ROW()-1,84),ROW()-1,FALSE))</f>
        <v>447519</v>
      </c>
      <c r="AN28">
        <f ca="1">IF(AND(ISNUMBER($AN$69),$B$51=1),$AN$69,HLOOKUP(INDIRECT(ADDRESS(2,COLUMN())),OFFSET($CL$2,0,0,ROW()-1,84),ROW()-1,FALSE))</f>
        <v>464804</v>
      </c>
      <c r="AO28">
        <f ca="1">IF(AND(ISNUMBER($AO$69),$B$51=1),$AO$69,HLOOKUP(INDIRECT(ADDRESS(2,COLUMN())),OFFSET($CL$2,0,0,ROW()-1,84),ROW()-1,FALSE))</f>
        <v>464095</v>
      </c>
      <c r="AP28">
        <f ca="1">IF(AND(ISNUMBER($AP$69),$B$51=1),$AP$69,HLOOKUP(INDIRECT(ADDRESS(2,COLUMN())),OFFSET($CL$2,0,0,ROW()-1,84),ROW()-1,FALSE))</f>
        <v>412138</v>
      </c>
      <c r="AQ28">
        <f ca="1">IF(AND(ISNUMBER($AQ$69),$B$51=1),$AQ$69,HLOOKUP(INDIRECT(ADDRESS(2,COLUMN())),OFFSET($CL$2,0,0,ROW()-1,84),ROW()-1,FALSE))</f>
        <v>441596</v>
      </c>
      <c r="AR28">
        <f ca="1">IF(AND(ISNUMBER($AR$69),$B$51=1),$AR$69,HLOOKUP(INDIRECT(ADDRESS(2,COLUMN())),OFFSET($CL$2,0,0,ROW()-1,84),ROW()-1,FALSE))</f>
        <v>360697</v>
      </c>
      <c r="AS28">
        <f ca="1">IF(AND(ISNUMBER($AS$69),$B$51=1),$AS$69,HLOOKUP(INDIRECT(ADDRESS(2,COLUMN())),OFFSET($CL$2,0,0,ROW()-1,84),ROW()-1,FALSE))</f>
        <v>338287</v>
      </c>
      <c r="AT28">
        <f ca="1">IF(AND(ISNUMBER($AT$69),$B$51=1),$AT$69,HLOOKUP(INDIRECT(ADDRESS(2,COLUMN())),OFFSET($CL$2,0,0,ROW()-1,84),ROW()-1,FALSE))</f>
        <v>337359</v>
      </c>
      <c r="AU28">
        <f ca="1">IF(AND(ISNUMBER($AU$69),$B$51=1),$AU$69,HLOOKUP(INDIRECT(ADDRESS(2,COLUMN())),OFFSET($CL$2,0,0,ROW()-1,84),ROW()-1,FALSE))</f>
        <v>337890</v>
      </c>
      <c r="AV28">
        <f ca="1">IF(AND(ISNUMBER($AV$69),$B$51=1),$AV$69,HLOOKUP(INDIRECT(ADDRESS(2,COLUMN())),OFFSET($CL$2,0,0,ROW()-1,84),ROW()-1,FALSE))</f>
        <v>335789</v>
      </c>
      <c r="AW28">
        <f ca="1">IF(AND(ISNUMBER($AW$69),$B$51=1),$AW$69,HLOOKUP(INDIRECT(ADDRESS(2,COLUMN())),OFFSET($CL$2,0,0,ROW()-1,84),ROW()-1,FALSE))</f>
        <v>364405</v>
      </c>
      <c r="AX28">
        <f ca="1">IF(AND(ISNUMBER($AX$69),$B$51=1),$AX$69,HLOOKUP(INDIRECT(ADDRESS(2,COLUMN())),OFFSET($CL$2,0,0,ROW()-1,84),ROW()-1,FALSE))</f>
        <v>377671</v>
      </c>
      <c r="AY28">
        <f ca="1">IF(AND(ISNUMBER($AY$69),$B$51=1),$AY$69,HLOOKUP(INDIRECT(ADDRESS(2,COLUMN())),OFFSET($CL$2,0,0,ROW()-1,84),ROW()-1,FALSE))</f>
        <v>360834</v>
      </c>
      <c r="AZ28">
        <f ca="1">IF(AND(ISNUMBER($AZ$69),$B$51=1),$AZ$69,HLOOKUP(INDIRECT(ADDRESS(2,COLUMN())),OFFSET($CL$2,0,0,ROW()-1,84),ROW()-1,FALSE))</f>
        <v>362964</v>
      </c>
      <c r="BA28">
        <f ca="1">IF(AND(ISNUMBER($BA$69),$B$51=1),$BA$69,HLOOKUP(INDIRECT(ADDRESS(2,COLUMN())),OFFSET($CL$2,0,0,ROW()-1,84),ROW()-1,FALSE))</f>
        <v>428381</v>
      </c>
      <c r="BB28">
        <f ca="1">IF(AND(ISNUMBER($BB$69),$B$51=1),$BB$69,HLOOKUP(INDIRECT(ADDRESS(2,COLUMN())),OFFSET($CL$2,0,0,ROW()-1,84),ROW()-1,FALSE))</f>
        <v>369999</v>
      </c>
      <c r="BC28">
        <f ca="1">IF(AND(ISNUMBER($BC$69),$B$51=1),$BC$69,HLOOKUP(INDIRECT(ADDRESS(2,COLUMN())),OFFSET($CL$2,0,0,ROW()-1,84),ROW()-1,FALSE))</f>
        <v>437747</v>
      </c>
      <c r="BD28">
        <f ca="1">IF(AND(ISNUMBER($BD$69),$B$51=1),$BD$69,HLOOKUP(INDIRECT(ADDRESS(2,COLUMN())),OFFSET($CL$2,0,0,ROW()-1,84),ROW()-1,FALSE))</f>
        <v>387022</v>
      </c>
      <c r="BE28">
        <f ca="1">IF(AND(ISNUMBER($BE$69),$B$51=1),$BE$69,HLOOKUP(INDIRECT(ADDRESS(2,COLUMN())),OFFSET($CL$2,0,0,ROW()-1,84),ROW()-1,FALSE))</f>
        <v>361906</v>
      </c>
      <c r="BF28">
        <f ca="1">IF(AND(ISNUMBER($BF$69),$B$51=1),$BF$69,HLOOKUP(INDIRECT(ADDRESS(2,COLUMN())),OFFSET($CL$2,0,0,ROW()-1,84),ROW()-1,FALSE))</f>
        <v>373394</v>
      </c>
      <c r="BG28">
        <f ca="1">IF(AND(ISNUMBER($BG$69),$B$51=1),$BG$69,HLOOKUP(INDIRECT(ADDRESS(2,COLUMN())),OFFSET($CL$2,0,0,ROW()-1,84),ROW()-1,FALSE))</f>
        <v>364481</v>
      </c>
      <c r="BH28">
        <f ca="1">IF(AND(ISNUMBER($BH$69),$B$51=1),$BH$69,HLOOKUP(INDIRECT(ADDRESS(2,COLUMN())),OFFSET($CL$2,0,0,ROW()-1,84),ROW()-1,FALSE))</f>
        <v>410326</v>
      </c>
      <c r="BI28">
        <f ca="1">IF(AND(ISNUMBER($BI$69),$B$51=1),$BI$69,HLOOKUP(INDIRECT(ADDRESS(2,COLUMN())),OFFSET($CL$2,0,0,ROW()-1,84),ROW()-1,FALSE))</f>
        <v>312042</v>
      </c>
      <c r="BJ28">
        <f ca="1">IF(AND(ISNUMBER($BJ$69),$B$51=1),$BJ$69,HLOOKUP(INDIRECT(ADDRESS(2,COLUMN())),OFFSET($CL$2,0,0,ROW()-1,84),ROW()-1,FALSE))</f>
        <v>430079</v>
      </c>
      <c r="BK28">
        <f ca="1">IF(AND(ISNUMBER($BK$69),$B$51=1),$BK$69,HLOOKUP(INDIRECT(ADDRESS(2,COLUMN())),OFFSET($CL$2,0,0,ROW()-1,84),ROW()-1,FALSE))</f>
        <v>351366</v>
      </c>
      <c r="BL28">
        <f ca="1">IF(AND(ISNUMBER($BL$69),$B$51=1),$BL$69,HLOOKUP(INDIRECT(ADDRESS(2,COLUMN())),OFFSET($CL$2,0,0,ROW()-1,84),ROW()-1,FALSE))</f>
        <v>344506</v>
      </c>
      <c r="BM28">
        <f ca="1">IF(AND(ISNUMBER($BM$69),$B$51=1),$BM$69,HLOOKUP(INDIRECT(ADDRESS(2,COLUMN())),OFFSET($CL$2,0,0,ROW()-1,84),ROW()-1,FALSE))</f>
        <v>413778</v>
      </c>
      <c r="BN28">
        <f ca="1">IF(AND(ISNUMBER($BN$69),$B$51=1),$BN$69,HLOOKUP(INDIRECT(ADDRESS(2,COLUMN())),OFFSET($CL$2,0,0,ROW()-1,84),ROW()-1,FALSE))</f>
        <v>364150</v>
      </c>
      <c r="BO28">
        <f ca="1">IF(AND(ISNUMBER($BO$69),$B$51=1),$BO$69,HLOOKUP(INDIRECT(ADDRESS(2,COLUMN())),OFFSET($CL$2,0,0,ROW()-1,84),ROW()-1,FALSE))</f>
        <v>375844</v>
      </c>
      <c r="BP28">
        <f ca="1">IF(AND(ISNUMBER($BP$69),$B$51=1),$BP$69,HLOOKUP(INDIRECT(ADDRESS(2,COLUMN())),OFFSET($CL$2,0,0,ROW()-1,84),ROW()-1,FALSE))</f>
        <v>378767</v>
      </c>
      <c r="BQ28">
        <f ca="1">IF(AND(ISNUMBER($BQ$69),$B$51=1),$BQ$69,HLOOKUP(INDIRECT(ADDRESS(2,COLUMN())),OFFSET($CL$2,0,0,ROW()-1,84),ROW()-1,FALSE))</f>
        <v>370726</v>
      </c>
      <c r="BR28">
        <f ca="1">IF(AND(ISNUMBER($BR$69),$B$51=1),$BR$69,HLOOKUP(INDIRECT(ADDRESS(2,COLUMN())),OFFSET($CL$2,0,0,ROW()-1,84),ROW()-1,FALSE))</f>
        <v>361029</v>
      </c>
      <c r="BS28">
        <f ca="1">IF(AND(ISNUMBER($BS$69),$B$51=1),$BS$69,HLOOKUP(INDIRECT(ADDRESS(2,COLUMN())),OFFSET($CL$2,0,0,ROW()-1,84),ROW()-1,FALSE))</f>
        <v>356717</v>
      </c>
      <c r="BT28">
        <f ca="1">IF(AND(ISNUMBER($BT$69),$B$51=1),$BT$69,HLOOKUP(INDIRECT(ADDRESS(2,COLUMN())),OFFSET($CL$2,0,0,ROW()-1,84),ROW()-1,FALSE))</f>
        <v>355208</v>
      </c>
      <c r="BU28">
        <f ca="1">IF(AND(ISNUMBER($BU$69),$B$51=1),$BU$69,HLOOKUP(INDIRECT(ADDRESS(2,COLUMN())),OFFSET($CL$2,0,0,ROW()-1,84),ROW()-1,FALSE))</f>
        <v>341094</v>
      </c>
      <c r="BV28">
        <f ca="1">IF(AND(ISNUMBER($BV$69),$B$51=1),$BV$69,HLOOKUP(INDIRECT(ADDRESS(2,COLUMN())),OFFSET($CL$2,0,0,ROW()-1,84),ROW()-1,FALSE))</f>
        <v>338793</v>
      </c>
      <c r="BW28">
        <f ca="1">IF(AND(ISNUMBER($BW$69),$B$51=1),$BW$69,HLOOKUP(INDIRECT(ADDRESS(2,COLUMN())),OFFSET($CL$2,0,0,ROW()-1,84),ROW()-1,FALSE))</f>
        <v>323117</v>
      </c>
      <c r="BX28">
        <f ca="1">IF(AND(ISNUMBER($BX$69),$B$51=1),$BX$69,HLOOKUP(INDIRECT(ADDRESS(2,COLUMN())),OFFSET($CL$2,0,0,ROW()-1,84),ROW()-1,FALSE))</f>
        <v>309147</v>
      </c>
      <c r="BY28">
        <f ca="1">IF(AND(ISNUMBER($BY$69),$B$51=1),$BY$69,HLOOKUP(INDIRECT(ADDRESS(2,COLUMN())),OFFSET($CL$2,0,0,ROW()-1,84),ROW()-1,FALSE))</f>
        <v>409814</v>
      </c>
      <c r="BZ28">
        <f ca="1">IF(AND(ISNUMBER($BZ$69),$B$51=1),$BZ$69,HLOOKUP(INDIRECT(ADDRESS(2,COLUMN())),OFFSET($CL$2,0,0,ROW()-1,84),ROW()-1,FALSE))</f>
        <v>325141</v>
      </c>
      <c r="CA28">
        <f ca="1">IF(AND(ISNUMBER($CA$69),$B$51=1),$CA$69,HLOOKUP(INDIRECT(ADDRESS(2,COLUMN())),OFFSET($CL$2,0,0,ROW()-1,84),ROW()-1,FALSE))</f>
        <v>348297</v>
      </c>
      <c r="CB28">
        <f ca="1">IF(AND(ISNUMBER($CB$69),$B$51=1),$CB$69,HLOOKUP(INDIRECT(ADDRESS(2,COLUMN())),OFFSET($CL$2,0,0,ROW()-1,84),ROW()-1,FALSE))</f>
        <v>336099</v>
      </c>
      <c r="CC28">
        <f ca="1">IF(AND(ISNUMBER($CC$69),$B$51=1),$CC$69,HLOOKUP(INDIRECT(ADDRESS(2,COLUMN())),OFFSET($CL$2,0,0,ROW()-1,84),ROW()-1,FALSE))</f>
        <v>337711</v>
      </c>
      <c r="CD28">
        <f ca="1">IF(AND(ISNUMBER($CD$69),$B$51=1),$CD$69,HLOOKUP(INDIRECT(ADDRESS(2,COLUMN())),OFFSET($CL$2,0,0,ROW()-1,84),ROW()-1,FALSE))</f>
        <v>350104</v>
      </c>
      <c r="CE28">
        <f ca="1">IF(AND(ISNUMBER($CE$69),$B$51=1),$CE$69,HLOOKUP(INDIRECT(ADDRESS(2,COLUMN())),OFFSET($CL$2,0,0,ROW()-1,84),ROW()-1,FALSE))</f>
        <v>333006</v>
      </c>
      <c r="CF28">
        <f ca="1">IF(AND(ISNUMBER($CF$69),$B$51=1),$CF$69,HLOOKUP(INDIRECT(ADDRESS(2,COLUMN())),OFFSET($CL$2,0,0,ROW()-1,84),ROW()-1,FALSE))</f>
        <v>311770</v>
      </c>
      <c r="CG28">
        <f ca="1">IF(AND(ISNUMBER($CG$69),$B$51=1),$CG$69,HLOOKUP(INDIRECT(ADDRESS(2,COLUMN())),OFFSET($CL$2,0,0,ROW()-1,84),ROW()-1,FALSE))</f>
        <v>330539</v>
      </c>
      <c r="CH28">
        <f ca="1">IF(AND(ISNUMBER($CH$69),$B$51=1),$CH$69,HLOOKUP(INDIRECT(ADDRESS(2,COLUMN())),OFFSET($CL$2,0,0,ROW()-1,84),ROW()-1,FALSE))</f>
        <v>331468</v>
      </c>
      <c r="CI28">
        <f ca="1">IF(AND(ISNUMBER($CI$69),$B$51=1),$CI$69,HLOOKUP(INDIRECT(ADDRESS(2,COLUMN())),OFFSET($CL$2,0,0,ROW()-1,84),ROW()-1,FALSE))</f>
        <v>292173</v>
      </c>
      <c r="CJ28">
        <f ca="1">IF(AND(ISNUMBER($CJ$69),$B$51=1),$CJ$69,HLOOKUP(INDIRECT(ADDRESS(2,COLUMN())),OFFSET($CL$2,0,0,ROW()-1,84),ROW()-1,FALSE))</f>
        <v>300671</v>
      </c>
      <c r="CK28">
        <f ca="1">IF(AND(ISNUMBER($CK$69),$B$51=1),$CK$69,HLOOKUP(INDIRECT(ADDRESS(2,COLUMN())),OFFSET($CL$2,0,0,ROW()-1,84),ROW()-1,FALSE))</f>
        <v>310393</v>
      </c>
      <c r="CL28" t="str">
        <f>""</f>
        <v/>
      </c>
      <c r="CM28">
        <f>413294</f>
        <v>413294</v>
      </c>
      <c r="CN28">
        <f>447587</f>
        <v>447587</v>
      </c>
      <c r="CO28">
        <f>381825</f>
        <v>381825</v>
      </c>
      <c r="CP28">
        <f>400511</f>
        <v>400511</v>
      </c>
      <c r="CQ28">
        <f>408686</f>
        <v>408686</v>
      </c>
      <c r="CR28">
        <f>367880</f>
        <v>367880</v>
      </c>
      <c r="CS28">
        <f>394793</f>
        <v>394793</v>
      </c>
      <c r="CT28">
        <f>421714</f>
        <v>421714</v>
      </c>
      <c r="CU28">
        <f>440759</f>
        <v>440759</v>
      </c>
      <c r="CV28">
        <f>464883</f>
        <v>464883</v>
      </c>
      <c r="CW28">
        <f>552806</f>
        <v>552806</v>
      </c>
      <c r="CX28">
        <f>436279</f>
        <v>436279</v>
      </c>
      <c r="CY28">
        <f>575513</f>
        <v>575513</v>
      </c>
      <c r="CZ28">
        <f>530800</f>
        <v>530800</v>
      </c>
      <c r="DA28">
        <f>494107</f>
        <v>494107</v>
      </c>
      <c r="DB28">
        <f>519388</f>
        <v>519388</v>
      </c>
      <c r="DC28">
        <f>495782</f>
        <v>495782</v>
      </c>
      <c r="DD28">
        <f>444690</f>
        <v>444690</v>
      </c>
      <c r="DE28">
        <f>460413</f>
        <v>460413</v>
      </c>
      <c r="DF28">
        <f>476713</f>
        <v>476713</v>
      </c>
      <c r="DG28">
        <f>464951</f>
        <v>464951</v>
      </c>
      <c r="DH28">
        <f>495749</f>
        <v>495749</v>
      </c>
      <c r="DI28">
        <f>504347</f>
        <v>504347</v>
      </c>
      <c r="DJ28">
        <f>472062</f>
        <v>472062</v>
      </c>
      <c r="DK28">
        <f>485595</f>
        <v>485595</v>
      </c>
      <c r="DL28">
        <f>449916</f>
        <v>449916</v>
      </c>
      <c r="DM28">
        <f>446815</f>
        <v>446815</v>
      </c>
      <c r="DN28">
        <f>478620</f>
        <v>478620</v>
      </c>
      <c r="DO28">
        <f>466633</f>
        <v>466633</v>
      </c>
      <c r="DP28">
        <f>498064</f>
        <v>498064</v>
      </c>
      <c r="DQ28">
        <f>390804</f>
        <v>390804</v>
      </c>
      <c r="DR28">
        <f>459608</f>
        <v>459608</v>
      </c>
      <c r="DS28">
        <f>447519</f>
        <v>447519</v>
      </c>
      <c r="DT28">
        <f>464804</f>
        <v>464804</v>
      </c>
      <c r="DU28">
        <f>464095</f>
        <v>464095</v>
      </c>
      <c r="DV28">
        <f>412138</f>
        <v>412138</v>
      </c>
      <c r="DW28">
        <f>441596</f>
        <v>441596</v>
      </c>
      <c r="DX28">
        <f>360697</f>
        <v>360697</v>
      </c>
      <c r="DY28">
        <f>338287</f>
        <v>338287</v>
      </c>
      <c r="DZ28">
        <f>337359</f>
        <v>337359</v>
      </c>
      <c r="EA28">
        <f>337890</f>
        <v>337890</v>
      </c>
      <c r="EB28">
        <f>335789</f>
        <v>335789</v>
      </c>
      <c r="EC28">
        <f>364405</f>
        <v>364405</v>
      </c>
      <c r="ED28">
        <f>377671</f>
        <v>377671</v>
      </c>
      <c r="EE28">
        <f>360834</f>
        <v>360834</v>
      </c>
      <c r="EF28">
        <f>362964</f>
        <v>362964</v>
      </c>
      <c r="EG28">
        <f>428381</f>
        <v>428381</v>
      </c>
      <c r="EH28">
        <f>369999</f>
        <v>369999</v>
      </c>
      <c r="EI28">
        <f>437747</f>
        <v>437747</v>
      </c>
      <c r="EJ28">
        <f>387022</f>
        <v>387022</v>
      </c>
      <c r="EK28">
        <f>361906</f>
        <v>361906</v>
      </c>
      <c r="EL28">
        <f>373394</f>
        <v>373394</v>
      </c>
      <c r="EM28">
        <f>364481</f>
        <v>364481</v>
      </c>
      <c r="EN28">
        <f>410326</f>
        <v>410326</v>
      </c>
      <c r="EO28">
        <f>312042</f>
        <v>312042</v>
      </c>
      <c r="EP28">
        <f>430079</f>
        <v>430079</v>
      </c>
      <c r="EQ28">
        <f>351366</f>
        <v>351366</v>
      </c>
      <c r="ER28">
        <f>344506</f>
        <v>344506</v>
      </c>
      <c r="ES28">
        <f>413778</f>
        <v>413778</v>
      </c>
      <c r="ET28">
        <f>364150</f>
        <v>364150</v>
      </c>
      <c r="EU28">
        <f>375844</f>
        <v>375844</v>
      </c>
      <c r="EV28">
        <f>378767</f>
        <v>378767</v>
      </c>
      <c r="EW28">
        <f>370726</f>
        <v>370726</v>
      </c>
      <c r="EX28">
        <f>361029</f>
        <v>361029</v>
      </c>
      <c r="EY28">
        <f>356717</f>
        <v>356717</v>
      </c>
      <c r="EZ28">
        <f>355208</f>
        <v>355208</v>
      </c>
      <c r="FA28">
        <f>341094</f>
        <v>341094</v>
      </c>
      <c r="FB28">
        <f>338793</f>
        <v>338793</v>
      </c>
      <c r="FC28">
        <f>323117</f>
        <v>323117</v>
      </c>
      <c r="FD28">
        <f>309147</f>
        <v>309147</v>
      </c>
      <c r="FE28">
        <f>409814</f>
        <v>409814</v>
      </c>
      <c r="FF28">
        <f>325141</f>
        <v>325141</v>
      </c>
      <c r="FG28">
        <f>348297</f>
        <v>348297</v>
      </c>
      <c r="FH28">
        <f>336099</f>
        <v>336099</v>
      </c>
      <c r="FI28">
        <f>337711</f>
        <v>337711</v>
      </c>
      <c r="FJ28">
        <f>350104</f>
        <v>350104</v>
      </c>
      <c r="FK28">
        <f>333006</f>
        <v>333006</v>
      </c>
      <c r="FL28">
        <f>311770</f>
        <v>311770</v>
      </c>
      <c r="FM28">
        <f>330539</f>
        <v>330539</v>
      </c>
      <c r="FN28">
        <f>331468</f>
        <v>331468</v>
      </c>
      <c r="FO28">
        <f>292173</f>
        <v>292173</v>
      </c>
      <c r="FP28">
        <f>300671</f>
        <v>300671</v>
      </c>
      <c r="FQ28">
        <f>310393</f>
        <v>310393</v>
      </c>
    </row>
    <row r="29" spans="1:173" x14ac:dyDescent="0.25">
      <c r="A29" t="str">
        <f>"    Port of Vancouver (TEU)"</f>
        <v xml:space="preserve">    Port of Vancouver (TEU)</v>
      </c>
      <c r="B29" t="str">
        <f>"PVANTOTL Index"</f>
        <v>PVANTOTL Index</v>
      </c>
      <c r="C29" t="str">
        <f t="shared" si="9"/>
        <v>PX385</v>
      </c>
      <c r="D29" t="str">
        <f t="shared" si="10"/>
        <v>INTERVAL_SUM</v>
      </c>
      <c r="E29" t="str">
        <f t="shared" si="11"/>
        <v>Dynamic</v>
      </c>
      <c r="F29">
        <f ca="1">IF(AND(ISNUMBER($F$70),$B$51=1),$F$70,HLOOKUP(INDIRECT(ADDRESS(2,COLUMN())),OFFSET($CL$2,0,0,ROW()-1,84),ROW()-1,FALSE))</f>
        <v>286241</v>
      </c>
      <c r="G29">
        <f ca="1">IF(AND(ISNUMBER($G$70),$B$51=1),$G$70,HLOOKUP(INDIRECT(ADDRESS(2,COLUMN())),OFFSET($CL$2,0,0,ROW()-1,84),ROW()-1,FALSE))</f>
        <v>253978</v>
      </c>
      <c r="H29">
        <f ca="1">IF(AND(ISNUMBER($H$70),$B$51=1),$H$70,HLOOKUP(INDIRECT(ADDRESS(2,COLUMN())),OFFSET($CL$2,0,0,ROW()-1,84),ROW()-1,FALSE))</f>
        <v>197511</v>
      </c>
      <c r="I29">
        <f ca="1">IF(AND(ISNUMBER($I$70),$B$51=1),$I$70,HLOOKUP(INDIRECT(ADDRESS(2,COLUMN())),OFFSET($CL$2,0,0,ROW()-1,84),ROW()-1,FALSE))</f>
        <v>285162</v>
      </c>
      <c r="J29">
        <f ca="1">IF(AND(ISNUMBER($J$70),$B$51=1),$J$70,HLOOKUP(INDIRECT(ADDRESS(2,COLUMN())),OFFSET($CL$2,0,0,ROW()-1,84),ROW()-1,FALSE))</f>
        <v>280296</v>
      </c>
      <c r="K29">
        <f ca="1">IF(AND(ISNUMBER($K$70),$B$51=1),$K$70,HLOOKUP(INDIRECT(ADDRESS(2,COLUMN())),OFFSET($CL$2,0,0,ROW()-1,84),ROW()-1,FALSE))</f>
        <v>281171</v>
      </c>
      <c r="L29">
        <f ca="1">IF(AND(ISNUMBER($L$70),$B$51=1),$L$70,HLOOKUP(INDIRECT(ADDRESS(2,COLUMN())),OFFSET($CL$2,0,0,ROW()-1,84),ROW()-1,FALSE))</f>
        <v>226852</v>
      </c>
      <c r="M29">
        <f ca="1">IF(AND(ISNUMBER($M$70),$B$51=1),$M$70,HLOOKUP(INDIRECT(ADDRESS(2,COLUMN())),OFFSET($CL$2,0,0,ROW()-1,84),ROW()-1,FALSE))</f>
        <v>233950</v>
      </c>
      <c r="N29">
        <f ca="1">IF(AND(ISNUMBER($N$70),$B$51=1),$N$70,HLOOKUP(INDIRECT(ADDRESS(2,COLUMN())),OFFSET($CL$2,0,0,ROW()-1,84),ROW()-1,FALSE))</f>
        <v>247473</v>
      </c>
      <c r="O29">
        <f ca="1">IF(AND(ISNUMBER($O$70),$B$51=1),$O$70,HLOOKUP(INDIRECT(ADDRESS(2,COLUMN())),OFFSET($CL$2,0,0,ROW()-1,84),ROW()-1,FALSE))</f>
        <v>207013</v>
      </c>
      <c r="P29">
        <f ca="1">IF(AND(ISNUMBER($P$70),$B$51=1),$P$70,HLOOKUP(INDIRECT(ADDRESS(2,COLUMN())),OFFSET($CL$2,0,0,ROW()-1,84),ROW()-1,FALSE))</f>
        <v>275601</v>
      </c>
      <c r="Q29">
        <f ca="1">IF(AND(ISNUMBER($Q$70),$B$51=1),$Q$70,HLOOKUP(INDIRECT(ADDRESS(2,COLUMN())),OFFSET($CL$2,0,0,ROW()-1,84),ROW()-1,FALSE))</f>
        <v>308542</v>
      </c>
      <c r="R29">
        <f ca="1">IF(AND(ISNUMBER($R$70),$B$51=1),$R$70,HLOOKUP(INDIRECT(ADDRESS(2,COLUMN())),OFFSET($CL$2,0,0,ROW()-1,84),ROW()-1,FALSE))</f>
        <v>325187</v>
      </c>
      <c r="S29">
        <f ca="1">IF(AND(ISNUMBER($S$70),$B$51=1),$S$70,HLOOKUP(INDIRECT(ADDRESS(2,COLUMN())),OFFSET($CL$2,0,0,ROW()-1,84),ROW()-1,FALSE))</f>
        <v>331874</v>
      </c>
      <c r="T29">
        <f ca="1">IF(AND(ISNUMBER($T$70),$B$51=1),$T$70,HLOOKUP(INDIRECT(ADDRESS(2,COLUMN())),OFFSET($CL$2,0,0,ROW()-1,84),ROW()-1,FALSE))</f>
        <v>305600</v>
      </c>
      <c r="U29">
        <f ca="1">IF(AND(ISNUMBER($U$70),$B$51=1),$U$70,HLOOKUP(INDIRECT(ADDRESS(2,COLUMN())),OFFSET($CL$2,0,0,ROW()-1,84),ROW()-1,FALSE))</f>
        <v>319894</v>
      </c>
      <c r="V29">
        <f ca="1">IF(AND(ISNUMBER($V$70),$B$51=1),$V$70,HLOOKUP(INDIRECT(ADDRESS(2,COLUMN())),OFFSET($CL$2,0,0,ROW()-1,84),ROW()-1,FALSE))</f>
        <v>320182</v>
      </c>
      <c r="W29">
        <f ca="1">IF(AND(ISNUMBER($W$70),$B$51=1),$W$70,HLOOKUP(INDIRECT(ADDRESS(2,COLUMN())),OFFSET($CL$2,0,0,ROW()-1,84),ROW()-1,FALSE))</f>
        <v>327562</v>
      </c>
      <c r="X29">
        <f ca="1">IF(AND(ISNUMBER($X$70),$B$51=1),$X$70,HLOOKUP(INDIRECT(ADDRESS(2,COLUMN())),OFFSET($CL$2,0,0,ROW()-1,84),ROW()-1,FALSE))</f>
        <v>330693</v>
      </c>
      <c r="Y29">
        <f ca="1">IF(AND(ISNUMBER($Y$70),$B$51=1),$Y$70,HLOOKUP(INDIRECT(ADDRESS(2,COLUMN())),OFFSET($CL$2,0,0,ROW()-1,84),ROW()-1,FALSE))</f>
        <v>252536</v>
      </c>
      <c r="Z29">
        <f ca="1">IF(AND(ISNUMBER($Z$70),$B$51=1),$Z$70,HLOOKUP(INDIRECT(ADDRESS(2,COLUMN())),OFFSET($CL$2,0,0,ROW()-1,84),ROW()-1,FALSE))</f>
        <v>252612</v>
      </c>
      <c r="AA29">
        <f ca="1">IF(AND(ISNUMBER($AA$70),$B$51=1),$AA$70,HLOOKUP(INDIRECT(ADDRESS(2,COLUMN())),OFFSET($CL$2,0,0,ROW()-1,84),ROW()-1,FALSE))</f>
        <v>254617</v>
      </c>
      <c r="AB29">
        <f ca="1">IF(AND(ISNUMBER($AB$70),$B$51=1),$AB$70,HLOOKUP(INDIRECT(ADDRESS(2,COLUMN())),OFFSET($CL$2,0,0,ROW()-1,84),ROW()-1,FALSE))</f>
        <v>240583</v>
      </c>
      <c r="AC29">
        <f ca="1">IF(AND(ISNUMBER($AC$70),$B$51=1),$AC$70,HLOOKUP(INDIRECT(ADDRESS(2,COLUMN())),OFFSET($CL$2,0,0,ROW()-1,84),ROW()-1,FALSE))</f>
        <v>327146</v>
      </c>
      <c r="AD29">
        <f ca="1">IF(AND(ISNUMBER($AD$70),$B$51=1),$AD$70,HLOOKUP(INDIRECT(ADDRESS(2,COLUMN())),OFFSET($CL$2,0,0,ROW()-1,84),ROW()-1,FALSE))</f>
        <v>311855</v>
      </c>
      <c r="AE29">
        <f ca="1">IF(AND(ISNUMBER($AE$70),$B$51=1),$AE$70,HLOOKUP(INDIRECT(ADDRESS(2,COLUMN())),OFFSET($CL$2,0,0,ROW()-1,84),ROW()-1,FALSE))</f>
        <v>336695</v>
      </c>
      <c r="AF29">
        <f ca="1">IF(AND(ISNUMBER($AF$70),$B$51=1),$AF$70,HLOOKUP(INDIRECT(ADDRESS(2,COLUMN())),OFFSET($CL$2,0,0,ROW()-1,84),ROW()-1,FALSE))</f>
        <v>265593</v>
      </c>
      <c r="AG29">
        <f ca="1">IF(AND(ISNUMBER($AG$70),$B$51=1),$AG$70,HLOOKUP(INDIRECT(ADDRESS(2,COLUMN())),OFFSET($CL$2,0,0,ROW()-1,84),ROW()-1,FALSE))</f>
        <v>302003</v>
      </c>
      <c r="AH29">
        <f ca="1">IF(AND(ISNUMBER($AH$70),$B$51=1),$AH$70,HLOOKUP(INDIRECT(ADDRESS(2,COLUMN())),OFFSET($CL$2,0,0,ROW()-1,84),ROW()-1,FALSE))</f>
        <v>371855</v>
      </c>
      <c r="AI29">
        <f ca="1">IF(AND(ISNUMBER($AI$70),$B$51=1),$AI$70,HLOOKUP(INDIRECT(ADDRESS(2,COLUMN())),OFFSET($CL$2,0,0,ROW()-1,84),ROW()-1,FALSE))</f>
        <v>337271</v>
      </c>
      <c r="AJ29">
        <f ca="1">IF(AND(ISNUMBER($AJ$70),$B$51=1),$AJ$70,HLOOKUP(INDIRECT(ADDRESS(2,COLUMN())),OFFSET($CL$2,0,0,ROW()-1,84),ROW()-1,FALSE))</f>
        <v>332258</v>
      </c>
      <c r="AK29">
        <f ca="1">IF(AND(ISNUMBER($AK$70),$B$51=1),$AK$70,HLOOKUP(INDIRECT(ADDRESS(2,COLUMN())),OFFSET($CL$2,0,0,ROW()-1,84),ROW()-1,FALSE))</f>
        <v>280733</v>
      </c>
      <c r="AL29">
        <f ca="1">IF(AND(ISNUMBER($AL$70),$B$51=1),$AL$70,HLOOKUP(INDIRECT(ADDRESS(2,COLUMN())),OFFSET($CL$2,0,0,ROW()-1,84),ROW()-1,FALSE))</f>
        <v>319972</v>
      </c>
      <c r="AM29">
        <f ca="1">IF(AND(ISNUMBER($AM$70),$B$51=1),$AM$70,HLOOKUP(INDIRECT(ADDRESS(2,COLUMN())),OFFSET($CL$2,0,0,ROW()-1,84),ROW()-1,FALSE))</f>
        <v>321302</v>
      </c>
      <c r="AN29">
        <f ca="1">IF(AND(ISNUMBER($AN$70),$B$51=1),$AN$70,HLOOKUP(INDIRECT(ADDRESS(2,COLUMN())),OFFSET($CL$2,0,0,ROW()-1,84),ROW()-1,FALSE))</f>
        <v>315721</v>
      </c>
      <c r="AO29">
        <f ca="1">IF(AND(ISNUMBER($AO$70),$B$51=1),$AO$70,HLOOKUP(INDIRECT(ADDRESS(2,COLUMN())),OFFSET($CL$2,0,0,ROW()-1,84),ROW()-1,FALSE))</f>
        <v>359384</v>
      </c>
      <c r="AP29">
        <f ca="1">IF(AND(ISNUMBER($AP$70),$B$51=1),$AP$70,HLOOKUP(INDIRECT(ADDRESS(2,COLUMN())),OFFSET($CL$2,0,0,ROW()-1,84),ROW()-1,FALSE))</f>
        <v>302737</v>
      </c>
      <c r="AQ29">
        <f ca="1">IF(AND(ISNUMBER($AQ$70),$B$51=1),$AQ$70,HLOOKUP(INDIRECT(ADDRESS(2,COLUMN())),OFFSET($CL$2,0,0,ROW()-1,84),ROW()-1,FALSE))</f>
        <v>300341</v>
      </c>
      <c r="AR29">
        <f ca="1">IF(AND(ISNUMBER($AR$70),$B$51=1),$AR$70,HLOOKUP(INDIRECT(ADDRESS(2,COLUMN())),OFFSET($CL$2,0,0,ROW()-1,84),ROW()-1,FALSE))</f>
        <v>303559</v>
      </c>
      <c r="AS29">
        <f ca="1">IF(AND(ISNUMBER($AS$70),$B$51=1),$AS$70,HLOOKUP(INDIRECT(ADDRESS(2,COLUMN())),OFFSET($CL$2,0,0,ROW()-1,84),ROW()-1,FALSE))</f>
        <v>275171</v>
      </c>
      <c r="AT29">
        <f ca="1">IF(AND(ISNUMBER($AT$70),$B$51=1),$AT$70,HLOOKUP(INDIRECT(ADDRESS(2,COLUMN())),OFFSET($CL$2,0,0,ROW()-1,84),ROW()-1,FALSE))</f>
        <v>276230</v>
      </c>
      <c r="AU29">
        <f ca="1">IF(AND(ISNUMBER($AU$70),$B$51=1),$AU$70,HLOOKUP(INDIRECT(ADDRESS(2,COLUMN())),OFFSET($CL$2,0,0,ROW()-1,84),ROW()-1,FALSE))</f>
        <v>278223</v>
      </c>
      <c r="AV29">
        <f ca="1">IF(AND(ISNUMBER($AV$70),$B$51=1),$AV$70,HLOOKUP(INDIRECT(ADDRESS(2,COLUMN())),OFFSET($CL$2,0,0,ROW()-1,84),ROW()-1,FALSE))</f>
        <v>237696</v>
      </c>
      <c r="AW29">
        <f ca="1">IF(AND(ISNUMBER($AW$70),$B$51=1),$AW$70,HLOOKUP(INDIRECT(ADDRESS(2,COLUMN())),OFFSET($CL$2,0,0,ROW()-1,84),ROW()-1,FALSE))</f>
        <v>231560</v>
      </c>
      <c r="AX29">
        <f ca="1">IF(AND(ISNUMBER($AX$70),$B$51=1),$AX$70,HLOOKUP(INDIRECT(ADDRESS(2,COLUMN())),OFFSET($CL$2,0,0,ROW()-1,84),ROW()-1,FALSE))</f>
        <v>265599</v>
      </c>
      <c r="AY29">
        <f ca="1">IF(AND(ISNUMBER($AY$70),$B$51=1),$AY$70,HLOOKUP(INDIRECT(ADDRESS(2,COLUMN())),OFFSET($CL$2,0,0,ROW()-1,84),ROW()-1,FALSE))</f>
        <v>271868</v>
      </c>
      <c r="AZ29">
        <f ca="1">IF(AND(ISNUMBER($AZ$70),$B$51=1),$AZ$70,HLOOKUP(INDIRECT(ADDRESS(2,COLUMN())),OFFSET($CL$2,0,0,ROW()-1,84),ROW()-1,FALSE))</f>
        <v>257943</v>
      </c>
      <c r="BA29">
        <f ca="1">IF(AND(ISNUMBER($BA$70),$B$51=1),$BA$70,HLOOKUP(INDIRECT(ADDRESS(2,COLUMN())),OFFSET($CL$2,0,0,ROW()-1,84),ROW()-1,FALSE))</f>
        <v>272899</v>
      </c>
      <c r="BB29">
        <f ca="1">IF(AND(ISNUMBER($BB$70),$B$51=1),$BB$70,HLOOKUP(INDIRECT(ADDRESS(2,COLUMN())),OFFSET($CL$2,0,0,ROW()-1,84),ROW()-1,FALSE))</f>
        <v>303835</v>
      </c>
      <c r="BC29">
        <f ca="1">IF(AND(ISNUMBER($BC$70),$B$51=1),$BC$70,HLOOKUP(INDIRECT(ADDRESS(2,COLUMN())),OFFSET($CL$2,0,0,ROW()-1,84),ROW()-1,FALSE))</f>
        <v>295765</v>
      </c>
      <c r="BD29">
        <f ca="1">IF(AND(ISNUMBER($BD$70),$B$51=1),$BD$70,HLOOKUP(INDIRECT(ADDRESS(2,COLUMN())),OFFSET($CL$2,0,0,ROW()-1,84),ROW()-1,FALSE))</f>
        <v>301174</v>
      </c>
      <c r="BE29">
        <f ca="1">IF(AND(ISNUMBER($BE$70),$B$51=1),$BE$70,HLOOKUP(INDIRECT(ADDRESS(2,COLUMN())),OFFSET($CL$2,0,0,ROW()-1,84),ROW()-1,FALSE))</f>
        <v>285593</v>
      </c>
      <c r="BF29">
        <f ca="1">IF(AND(ISNUMBER($BF$70),$B$51=1),$BF$70,HLOOKUP(INDIRECT(ADDRESS(2,COLUMN())),OFFSET($CL$2,0,0,ROW()-1,84),ROW()-1,FALSE))</f>
        <v>276115</v>
      </c>
      <c r="BG29">
        <f ca="1">IF(AND(ISNUMBER($BG$70),$B$51=1),$BG$70,HLOOKUP(INDIRECT(ADDRESS(2,COLUMN())),OFFSET($CL$2,0,0,ROW()-1,84),ROW()-1,FALSE))</f>
        <v>290630</v>
      </c>
      <c r="BH29">
        <f ca="1">IF(AND(ISNUMBER($BH$70),$B$51=1),$BH$70,HLOOKUP(INDIRECT(ADDRESS(2,COLUMN())),OFFSET($CL$2,0,0,ROW()-1,84),ROW()-1,FALSE))</f>
        <v>269681</v>
      </c>
      <c r="BI29">
        <f ca="1">IF(AND(ISNUMBER($BI$70),$B$51=1),$BI$70,HLOOKUP(INDIRECT(ADDRESS(2,COLUMN())),OFFSET($CL$2,0,0,ROW()-1,84),ROW()-1,FALSE))</f>
        <v>259831</v>
      </c>
      <c r="BJ29">
        <f ca="1">IF(AND(ISNUMBER($BJ$70),$B$51=1),$BJ$70,HLOOKUP(INDIRECT(ADDRESS(2,COLUMN())),OFFSET($CL$2,0,0,ROW()-1,84),ROW()-1,FALSE))</f>
        <v>313527</v>
      </c>
      <c r="BK29">
        <f ca="1">IF(AND(ISNUMBER($BK$70),$B$51=1),$BK$70,HLOOKUP(INDIRECT(ADDRESS(2,COLUMN())),OFFSET($CL$2,0,0,ROW()-1,84),ROW()-1,FALSE))</f>
        <v>271715</v>
      </c>
      <c r="BL29">
        <f ca="1">IF(AND(ISNUMBER($BL$70),$B$51=1),$BL$70,HLOOKUP(INDIRECT(ADDRESS(2,COLUMN())),OFFSET($CL$2,0,0,ROW()-1,84),ROW()-1,FALSE))</f>
        <v>305325</v>
      </c>
      <c r="BM29">
        <f ca="1">IF(AND(ISNUMBER($BM$70),$B$51=1),$BM$70,HLOOKUP(INDIRECT(ADDRESS(2,COLUMN())),OFFSET($CL$2,0,0,ROW()-1,84),ROW()-1,FALSE))</f>
        <v>299258</v>
      </c>
      <c r="BN29">
        <f ca="1">IF(AND(ISNUMBER($BN$70),$B$51=1),$BN$70,HLOOKUP(INDIRECT(ADDRESS(2,COLUMN())),OFFSET($CL$2,0,0,ROW()-1,84),ROW()-1,FALSE))</f>
        <v>310982</v>
      </c>
      <c r="BO29">
        <f ca="1">IF(AND(ISNUMBER($BO$70),$B$51=1),$BO$70,HLOOKUP(INDIRECT(ADDRESS(2,COLUMN())),OFFSET($CL$2,0,0,ROW()-1,84),ROW()-1,FALSE))</f>
        <v>273638</v>
      </c>
      <c r="BP29">
        <f ca="1">IF(AND(ISNUMBER($BP$70),$B$51=1),$BP$70,HLOOKUP(INDIRECT(ADDRESS(2,COLUMN())),OFFSET($CL$2,0,0,ROW()-1,84),ROW()-1,FALSE))</f>
        <v>298093</v>
      </c>
      <c r="BQ29">
        <f ca="1">IF(AND(ISNUMBER($BQ$70),$B$51=1),$BQ$70,HLOOKUP(INDIRECT(ADDRESS(2,COLUMN())),OFFSET($CL$2,0,0,ROW()-1,84),ROW()-1,FALSE))</f>
        <v>285082</v>
      </c>
      <c r="BR29">
        <f ca="1">IF(AND(ISNUMBER($BR$70),$B$51=1),$BR$70,HLOOKUP(INDIRECT(ADDRESS(2,COLUMN())),OFFSET($CL$2,0,0,ROW()-1,84),ROW()-1,FALSE))</f>
        <v>292273</v>
      </c>
      <c r="BS29">
        <f ca="1">IF(AND(ISNUMBER($BS$70),$B$51=1),$BS$70,HLOOKUP(INDIRECT(ADDRESS(2,COLUMN())),OFFSET($CL$2,0,0,ROW()-1,84),ROW()-1,FALSE))</f>
        <v>258869</v>
      </c>
      <c r="BT29">
        <f ca="1">IF(AND(ISNUMBER($BT$70),$B$51=1),$BT$70,HLOOKUP(INDIRECT(ADDRESS(2,COLUMN())),OFFSET($CL$2,0,0,ROW()-1,84),ROW()-1,FALSE))</f>
        <v>286563</v>
      </c>
      <c r="BU29">
        <f ca="1">IF(AND(ISNUMBER($BU$70),$B$51=1),$BU$70,HLOOKUP(INDIRECT(ADDRESS(2,COLUMN())),OFFSET($CL$2,0,0,ROW()-1,84),ROW()-1,FALSE))</f>
        <v>248583</v>
      </c>
      <c r="BV29">
        <f ca="1">IF(AND(ISNUMBER($BV$70),$B$51=1),$BV$70,HLOOKUP(INDIRECT(ADDRESS(2,COLUMN())),OFFSET($CL$2,0,0,ROW()-1,84),ROW()-1,FALSE))</f>
        <v>266071</v>
      </c>
      <c r="BW29">
        <f ca="1">IF(AND(ISNUMBER($BW$70),$B$51=1),$BW$70,HLOOKUP(INDIRECT(ADDRESS(2,COLUMN())),OFFSET($CL$2,0,0,ROW()-1,84),ROW()-1,FALSE))</f>
        <v>270488</v>
      </c>
      <c r="BX29">
        <f ca="1">IF(AND(ISNUMBER($BX$70),$B$51=1),$BX$70,HLOOKUP(INDIRECT(ADDRESS(2,COLUMN())),OFFSET($CL$2,0,0,ROW()-1,84),ROW()-1,FALSE))</f>
        <v>289576</v>
      </c>
      <c r="BY29">
        <f ca="1">IF(AND(ISNUMBER($BY$70),$B$51=1),$BY$70,HLOOKUP(INDIRECT(ADDRESS(2,COLUMN())),OFFSET($CL$2,0,0,ROW()-1,84),ROW()-1,FALSE))</f>
        <v>277257</v>
      </c>
      <c r="BZ29">
        <f ca="1">IF(AND(ISNUMBER($BZ$70),$B$51=1),$BZ$70,HLOOKUP(INDIRECT(ADDRESS(2,COLUMN())),OFFSET($CL$2,0,0,ROW()-1,84),ROW()-1,FALSE))</f>
        <v>284965</v>
      </c>
      <c r="CA29">
        <f ca="1">IF(AND(ISNUMBER($CA$70),$B$51=1),$CA$70,HLOOKUP(INDIRECT(ADDRESS(2,COLUMN())),OFFSET($CL$2,0,0,ROW()-1,84),ROW()-1,FALSE))</f>
        <v>278538</v>
      </c>
      <c r="CB29">
        <f ca="1">IF(AND(ISNUMBER($CB$70),$B$51=1),$CB$70,HLOOKUP(INDIRECT(ADDRESS(2,COLUMN())),OFFSET($CL$2,0,0,ROW()-1,84),ROW()-1,FALSE))</f>
        <v>292867</v>
      </c>
      <c r="CC29">
        <f ca="1">IF(AND(ISNUMBER($CC$70),$B$51=1),$CC$70,HLOOKUP(INDIRECT(ADDRESS(2,COLUMN())),OFFSET($CL$2,0,0,ROW()-1,84),ROW()-1,FALSE))</f>
        <v>270895</v>
      </c>
      <c r="CD29">
        <f ca="1">IF(AND(ISNUMBER($CD$70),$B$51=1),$CD$70,HLOOKUP(INDIRECT(ADDRESS(2,COLUMN())),OFFSET($CL$2,0,0,ROW()-1,84),ROW()-1,FALSE))</f>
        <v>289948</v>
      </c>
      <c r="CE29">
        <f ca="1">IF(AND(ISNUMBER($CE$70),$B$51=1),$CE$70,HLOOKUP(INDIRECT(ADDRESS(2,COLUMN())),OFFSET($CL$2,0,0,ROW()-1,84),ROW()-1,FALSE))</f>
        <v>257451</v>
      </c>
      <c r="CF29">
        <f ca="1">IF(AND(ISNUMBER($CF$70),$B$51=1),$CF$70,HLOOKUP(INDIRECT(ADDRESS(2,COLUMN())),OFFSET($CL$2,0,0,ROW()-1,84),ROW()-1,FALSE))</f>
        <v>250204</v>
      </c>
      <c r="CG29">
        <f ca="1">IF(AND(ISNUMBER($CG$70),$B$51=1),$CG$70,HLOOKUP(INDIRECT(ADDRESS(2,COLUMN())),OFFSET($CL$2,0,0,ROW()-1,84),ROW()-1,FALSE))</f>
        <v>250514</v>
      </c>
      <c r="CH29">
        <f ca="1">IF(AND(ISNUMBER($CH$70),$B$51=1),$CH$70,HLOOKUP(INDIRECT(ADDRESS(2,COLUMN())),OFFSET($CL$2,0,0,ROW()-1,84),ROW()-1,FALSE))</f>
        <v>239522</v>
      </c>
      <c r="CI29">
        <f ca="1">IF(AND(ISNUMBER($CI$70),$B$51=1),$CI$70,HLOOKUP(INDIRECT(ADDRESS(2,COLUMN())),OFFSET($CL$2,0,0,ROW()-1,84),ROW()-1,FALSE))</f>
        <v>239090</v>
      </c>
      <c r="CJ29">
        <f ca="1">IF(AND(ISNUMBER($CJ$70),$B$51=1),$CJ$70,HLOOKUP(INDIRECT(ADDRESS(2,COLUMN())),OFFSET($CL$2,0,0,ROW()-1,84),ROW()-1,FALSE))</f>
        <v>245883</v>
      </c>
      <c r="CK29">
        <f ca="1">IF(AND(ISNUMBER($CK$70),$B$51=1),$CK$70,HLOOKUP(INDIRECT(ADDRESS(2,COLUMN())),OFFSET($CL$2,0,0,ROW()-1,84),ROW()-1,FALSE))</f>
        <v>258657</v>
      </c>
      <c r="CL29">
        <f>286241</f>
        <v>286241</v>
      </c>
      <c r="CM29">
        <f>253978</f>
        <v>253978</v>
      </c>
      <c r="CN29">
        <f>197511</f>
        <v>197511</v>
      </c>
      <c r="CO29">
        <f>285162</f>
        <v>285162</v>
      </c>
      <c r="CP29">
        <f>280296</f>
        <v>280296</v>
      </c>
      <c r="CQ29">
        <f>281171</f>
        <v>281171</v>
      </c>
      <c r="CR29">
        <f>226852</f>
        <v>226852</v>
      </c>
      <c r="CS29">
        <f>233950</f>
        <v>233950</v>
      </c>
      <c r="CT29">
        <f>247473</f>
        <v>247473</v>
      </c>
      <c r="CU29">
        <f>207013</f>
        <v>207013</v>
      </c>
      <c r="CV29">
        <f>275601</f>
        <v>275601</v>
      </c>
      <c r="CW29">
        <f>308542</f>
        <v>308542</v>
      </c>
      <c r="CX29">
        <f>325187</f>
        <v>325187</v>
      </c>
      <c r="CY29">
        <f>331874</f>
        <v>331874</v>
      </c>
      <c r="CZ29">
        <f>305600</f>
        <v>305600</v>
      </c>
      <c r="DA29">
        <f>319894</f>
        <v>319894</v>
      </c>
      <c r="DB29">
        <f>320182</f>
        <v>320182</v>
      </c>
      <c r="DC29">
        <f>327562</f>
        <v>327562</v>
      </c>
      <c r="DD29">
        <f>330693</f>
        <v>330693</v>
      </c>
      <c r="DE29">
        <f>252536</f>
        <v>252536</v>
      </c>
      <c r="DF29">
        <f>252612</f>
        <v>252612</v>
      </c>
      <c r="DG29">
        <f>254617</f>
        <v>254617</v>
      </c>
      <c r="DH29">
        <f>240583</f>
        <v>240583</v>
      </c>
      <c r="DI29">
        <f>327146</f>
        <v>327146</v>
      </c>
      <c r="DJ29">
        <f>311855</f>
        <v>311855</v>
      </c>
      <c r="DK29">
        <f>336695</f>
        <v>336695</v>
      </c>
      <c r="DL29">
        <f>265593</f>
        <v>265593</v>
      </c>
      <c r="DM29">
        <f>302003</f>
        <v>302003</v>
      </c>
      <c r="DN29">
        <f>371855</f>
        <v>371855</v>
      </c>
      <c r="DO29">
        <f>337271</f>
        <v>337271</v>
      </c>
      <c r="DP29">
        <f>332258</f>
        <v>332258</v>
      </c>
      <c r="DQ29">
        <f>280733</f>
        <v>280733</v>
      </c>
      <c r="DR29">
        <f>319972</f>
        <v>319972</v>
      </c>
      <c r="DS29">
        <f>321302</f>
        <v>321302</v>
      </c>
      <c r="DT29">
        <f>315721</f>
        <v>315721</v>
      </c>
      <c r="DU29">
        <f>359384</f>
        <v>359384</v>
      </c>
      <c r="DV29">
        <f>302737</f>
        <v>302737</v>
      </c>
      <c r="DW29">
        <f>300341</f>
        <v>300341</v>
      </c>
      <c r="DX29">
        <f>303559</f>
        <v>303559</v>
      </c>
      <c r="DY29">
        <f>275171</f>
        <v>275171</v>
      </c>
      <c r="DZ29">
        <f>276230</f>
        <v>276230</v>
      </c>
      <c r="EA29">
        <f>278223</f>
        <v>278223</v>
      </c>
      <c r="EB29">
        <f>237696</f>
        <v>237696</v>
      </c>
      <c r="EC29">
        <f>231560</f>
        <v>231560</v>
      </c>
      <c r="ED29">
        <f>265599</f>
        <v>265599</v>
      </c>
      <c r="EE29">
        <f>271868</f>
        <v>271868</v>
      </c>
      <c r="EF29">
        <f>257943</f>
        <v>257943</v>
      </c>
      <c r="EG29">
        <f>272899</f>
        <v>272899</v>
      </c>
      <c r="EH29">
        <f>303835</f>
        <v>303835</v>
      </c>
      <c r="EI29">
        <f>295765</f>
        <v>295765</v>
      </c>
      <c r="EJ29">
        <f>301174</f>
        <v>301174</v>
      </c>
      <c r="EK29">
        <f>285593</f>
        <v>285593</v>
      </c>
      <c r="EL29">
        <f>276115</f>
        <v>276115</v>
      </c>
      <c r="EM29">
        <f>290630</f>
        <v>290630</v>
      </c>
      <c r="EN29">
        <f>269681</f>
        <v>269681</v>
      </c>
      <c r="EO29">
        <f>259831</f>
        <v>259831</v>
      </c>
      <c r="EP29">
        <f>313527</f>
        <v>313527</v>
      </c>
      <c r="EQ29">
        <f>271715</f>
        <v>271715</v>
      </c>
      <c r="ER29">
        <f>305325</f>
        <v>305325</v>
      </c>
      <c r="ES29">
        <f>299258</f>
        <v>299258</v>
      </c>
      <c r="ET29">
        <f>310982</f>
        <v>310982</v>
      </c>
      <c r="EU29">
        <f>273638</f>
        <v>273638</v>
      </c>
      <c r="EV29">
        <f>298093</f>
        <v>298093</v>
      </c>
      <c r="EW29">
        <f>285082</f>
        <v>285082</v>
      </c>
      <c r="EX29">
        <f>292273</f>
        <v>292273</v>
      </c>
      <c r="EY29">
        <f>258869</f>
        <v>258869</v>
      </c>
      <c r="EZ29">
        <f>286563</f>
        <v>286563</v>
      </c>
      <c r="FA29">
        <f>248583</f>
        <v>248583</v>
      </c>
      <c r="FB29">
        <f>266071</f>
        <v>266071</v>
      </c>
      <c r="FC29">
        <f>270488</f>
        <v>270488</v>
      </c>
      <c r="FD29">
        <f>289576</f>
        <v>289576</v>
      </c>
      <c r="FE29">
        <f>277257</f>
        <v>277257</v>
      </c>
      <c r="FF29">
        <f>284965</f>
        <v>284965</v>
      </c>
      <c r="FG29">
        <f>278538</f>
        <v>278538</v>
      </c>
      <c r="FH29">
        <f>292867</f>
        <v>292867</v>
      </c>
      <c r="FI29">
        <f>270895</f>
        <v>270895</v>
      </c>
      <c r="FJ29">
        <f>289948</f>
        <v>289948</v>
      </c>
      <c r="FK29">
        <f>257451</f>
        <v>257451</v>
      </c>
      <c r="FL29">
        <f>250204</f>
        <v>250204</v>
      </c>
      <c r="FM29">
        <f>250514</f>
        <v>250514</v>
      </c>
      <c r="FN29">
        <f>239522</f>
        <v>239522</v>
      </c>
      <c r="FO29">
        <f>239090</f>
        <v>239090</v>
      </c>
      <c r="FP29">
        <f>245883</f>
        <v>245883</v>
      </c>
      <c r="FQ29">
        <f>258657</f>
        <v>258657</v>
      </c>
    </row>
    <row r="30" spans="1:173" x14ac:dyDescent="0.25">
      <c r="A30" t="str">
        <f>"    Ports of Seattle/Tacoma Seaport Alliance (TEU)"</f>
        <v xml:space="preserve">    Ports of Seattle/Tacoma Seaport Alliance (TEU)</v>
      </c>
      <c r="B30" t="str">
        <f>"SEAXTOTL Index"</f>
        <v>SEAXTOTL Index</v>
      </c>
      <c r="C30" t="str">
        <f t="shared" si="9"/>
        <v>PX385</v>
      </c>
      <c r="D30" t="str">
        <f t="shared" si="10"/>
        <v>INTERVAL_SUM</v>
      </c>
      <c r="E30" t="str">
        <f t="shared" si="11"/>
        <v>Dynamic</v>
      </c>
      <c r="F30">
        <f ca="1">IF(AND(ISNUMBER($F$71),$B$51=1),$F$71,HLOOKUP(INDIRECT(ADDRESS(2,COLUMN())),OFFSET($CL$2,0,0,ROW()-1,84),ROW()-1,FALSE))</f>
        <v>329609</v>
      </c>
      <c r="G30">
        <f ca="1">IF(AND(ISNUMBER($G$71),$B$51=1),$G$71,HLOOKUP(INDIRECT(ADDRESS(2,COLUMN())),OFFSET($CL$2,0,0,ROW()-1,84),ROW()-1,FALSE))</f>
        <v>242700</v>
      </c>
      <c r="H30">
        <f ca="1">IF(AND(ISNUMBER($H$71),$B$51=1),$H$71,HLOOKUP(INDIRECT(ADDRESS(2,COLUMN())),OFFSET($CL$2,0,0,ROW()-1,84),ROW()-1,FALSE))</f>
        <v>234875</v>
      </c>
      <c r="I30">
        <f ca="1">IF(AND(ISNUMBER($I$71),$B$51=1),$I$71,HLOOKUP(INDIRECT(ADDRESS(2,COLUMN())),OFFSET($CL$2,0,0,ROW()-1,84),ROW()-1,FALSE))</f>
        <v>254458</v>
      </c>
      <c r="J30">
        <f ca="1">IF(AND(ISNUMBER($J$71),$B$51=1),$J$71,HLOOKUP(INDIRECT(ADDRESS(2,COLUMN())),OFFSET($CL$2,0,0,ROW()-1,84),ROW()-1,FALSE))</f>
        <v>229974</v>
      </c>
      <c r="K30">
        <f ca="1">IF(AND(ISNUMBER($K$71),$B$51=1),$K$71,HLOOKUP(INDIRECT(ADDRESS(2,COLUMN())),OFFSET($CL$2,0,0,ROW()-1,84),ROW()-1,FALSE))</f>
        <v>232321</v>
      </c>
      <c r="L30">
        <f ca="1">IF(AND(ISNUMBER($L$71),$B$51=1),$L$71,HLOOKUP(INDIRECT(ADDRESS(2,COLUMN())),OFFSET($CL$2,0,0,ROW()-1,84),ROW()-1,FALSE))</f>
        <v>240979</v>
      </c>
      <c r="M30">
        <f ca="1">IF(AND(ISNUMBER($M$71),$B$51=1),$M$71,HLOOKUP(INDIRECT(ADDRESS(2,COLUMN())),OFFSET($CL$2,0,0,ROW()-1,84),ROW()-1,FALSE))</f>
        <v>225747</v>
      </c>
      <c r="N30">
        <f ca="1">IF(AND(ISNUMBER($N$71),$B$51=1),$N$71,HLOOKUP(INDIRECT(ADDRESS(2,COLUMN())),OFFSET($CL$2,0,0,ROW()-1,84),ROW()-1,FALSE))</f>
        <v>213095</v>
      </c>
      <c r="O30">
        <f ca="1">IF(AND(ISNUMBER($O$71),$B$51=1),$O$71,HLOOKUP(INDIRECT(ADDRESS(2,COLUMN())),OFFSET($CL$2,0,0,ROW()-1,84),ROW()-1,FALSE))</f>
        <v>231799</v>
      </c>
      <c r="P30">
        <f ca="1">IF(AND(ISNUMBER($P$71),$B$51=1),$P$71,HLOOKUP(INDIRECT(ADDRESS(2,COLUMN())),OFFSET($CL$2,0,0,ROW()-1,84),ROW()-1,FALSE))</f>
        <v>247037</v>
      </c>
      <c r="Q30">
        <f ca="1">IF(AND(ISNUMBER($Q$71),$B$51=1),$Q$71,HLOOKUP(INDIRECT(ADDRESS(2,COLUMN())),OFFSET($CL$2,0,0,ROW()-1,84),ROW()-1,FALSE))</f>
        <v>272129</v>
      </c>
      <c r="R30">
        <f ca="1">IF(AND(ISNUMBER($R$71),$B$51=1),$R$71,HLOOKUP(INDIRECT(ADDRESS(2,COLUMN())),OFFSET($CL$2,0,0,ROW()-1,84),ROW()-1,FALSE))</f>
        <v>285315</v>
      </c>
      <c r="S30">
        <f ca="1">IF(AND(ISNUMBER($S$71),$B$51=1),$S$71,HLOOKUP(INDIRECT(ADDRESS(2,COLUMN())),OFFSET($CL$2,0,0,ROW()-1,84),ROW()-1,FALSE))</f>
        <v>280436</v>
      </c>
      <c r="T30">
        <f ca="1">IF(AND(ISNUMBER($T$71),$B$51=1),$T$71,HLOOKUP(INDIRECT(ADDRESS(2,COLUMN())),OFFSET($CL$2,0,0,ROW()-1,84),ROW()-1,FALSE))</f>
        <v>260572</v>
      </c>
      <c r="U30">
        <f ca="1">IF(AND(ISNUMBER($U$71),$B$51=1),$U$71,HLOOKUP(INDIRECT(ADDRESS(2,COLUMN())),OFFSET($CL$2,0,0,ROW()-1,84),ROW()-1,FALSE))</f>
        <v>309123</v>
      </c>
      <c r="V30">
        <f ca="1">IF(AND(ISNUMBER($V$71),$B$51=1),$V$71,HLOOKUP(INDIRECT(ADDRESS(2,COLUMN())),OFFSET($CL$2,0,0,ROW()-1,84),ROW()-1,FALSE))</f>
        <v>329740</v>
      </c>
      <c r="W30">
        <f ca="1">IF(AND(ISNUMBER($W$71),$B$51=1),$W$71,HLOOKUP(INDIRECT(ADDRESS(2,COLUMN())),OFFSET($CL$2,0,0,ROW()-1,84),ROW()-1,FALSE))</f>
        <v>266635</v>
      </c>
      <c r="X30">
        <f ca="1">IF(AND(ISNUMBER($X$71),$B$51=1),$X$71,HLOOKUP(INDIRECT(ADDRESS(2,COLUMN())),OFFSET($CL$2,0,0,ROW()-1,84),ROW()-1,FALSE))</f>
        <v>330906</v>
      </c>
      <c r="Y30">
        <f ca="1">IF(AND(ISNUMBER($Y$71),$B$51=1),$Y$71,HLOOKUP(INDIRECT(ADDRESS(2,COLUMN())),OFFSET($CL$2,0,0,ROW()-1,84),ROW()-1,FALSE))</f>
        <v>298046</v>
      </c>
      <c r="Z30">
        <f ca="1">IF(AND(ISNUMBER($Z$71),$B$51=1),$Z$71,HLOOKUP(INDIRECT(ADDRESS(2,COLUMN())),OFFSET($CL$2,0,0,ROW()-1,84),ROW()-1,FALSE))</f>
        <v>272281</v>
      </c>
      <c r="AA30">
        <f ca="1">IF(AND(ISNUMBER($AA$71),$B$51=1),$AA$71,HLOOKUP(INDIRECT(ADDRESS(2,COLUMN())),OFFSET($CL$2,0,0,ROW()-1,84),ROW()-1,FALSE))</f>
        <v>254102</v>
      </c>
      <c r="AB30">
        <f ca="1">IF(AND(ISNUMBER($AB$71),$B$51=1),$AB$71,HLOOKUP(INDIRECT(ADDRESS(2,COLUMN())),OFFSET($CL$2,0,0,ROW()-1,84),ROW()-1,FALSE))</f>
        <v>325604</v>
      </c>
      <c r="AC30">
        <f ca="1">IF(AND(ISNUMBER($AC$71),$B$51=1),$AC$71,HLOOKUP(INDIRECT(ADDRESS(2,COLUMN())),OFFSET($CL$2,0,0,ROW()-1,84),ROW()-1,FALSE))</f>
        <v>314801</v>
      </c>
      <c r="AD30">
        <f ca="1">IF(AND(ISNUMBER($AD$71),$B$51=1),$AD$71,HLOOKUP(INDIRECT(ADDRESS(2,COLUMN())),OFFSET($CL$2,0,0,ROW()-1,84),ROW()-1,FALSE))</f>
        <v>337513</v>
      </c>
      <c r="AE30">
        <f ca="1">IF(AND(ISNUMBER($AE$71),$B$51=1),$AE$71,HLOOKUP(INDIRECT(ADDRESS(2,COLUMN())),OFFSET($CL$2,0,0,ROW()-1,84),ROW()-1,FALSE))</f>
        <v>313127</v>
      </c>
      <c r="AF30">
        <f ca="1">IF(AND(ISNUMBER($AF$71),$B$51=1),$AF$71,HLOOKUP(INDIRECT(ADDRESS(2,COLUMN())),OFFSET($CL$2,0,0,ROW()-1,84),ROW()-1,FALSE))</f>
        <v>309722</v>
      </c>
      <c r="AG30">
        <f ca="1">IF(AND(ISNUMBER($AG$71),$B$51=1),$AG$71,HLOOKUP(INDIRECT(ADDRESS(2,COLUMN())),OFFSET($CL$2,0,0,ROW()-1,84),ROW()-1,FALSE))</f>
        <v>344573</v>
      </c>
      <c r="AH30">
        <f ca="1">IF(AND(ISNUMBER($AH$71),$B$51=1),$AH$71,HLOOKUP(INDIRECT(ADDRESS(2,COLUMN())),OFFSET($CL$2,0,0,ROW()-1,84),ROW()-1,FALSE))</f>
        <v>336397</v>
      </c>
      <c r="AI30">
        <f ca="1">IF(AND(ISNUMBER($AI$71),$B$51=1),$AI$71,HLOOKUP(INDIRECT(ADDRESS(2,COLUMN())),OFFSET($CL$2,0,0,ROW()-1,84),ROW()-1,FALSE))</f>
        <v>303642</v>
      </c>
      <c r="AJ30">
        <f ca="1">IF(AND(ISNUMBER($AJ$71),$B$51=1),$AJ$71,HLOOKUP(INDIRECT(ADDRESS(2,COLUMN())),OFFSET($CL$2,0,0,ROW()-1,84),ROW()-1,FALSE))</f>
        <v>339322</v>
      </c>
      <c r="AK30">
        <f ca="1">IF(AND(ISNUMBER($AK$71),$B$51=1),$AK$71,HLOOKUP(INDIRECT(ADDRESS(2,COLUMN())),OFFSET($CL$2,0,0,ROW()-1,84),ROW()-1,FALSE))</f>
        <v>268216</v>
      </c>
      <c r="AL30">
        <f ca="1">IF(AND(ISNUMBER($AL$71),$B$51=1),$AL$71,HLOOKUP(INDIRECT(ADDRESS(2,COLUMN())),OFFSET($CL$2,0,0,ROW()-1,84),ROW()-1,FALSE))</f>
        <v>289187</v>
      </c>
      <c r="AM30">
        <f ca="1">IF(AND(ISNUMBER($AM$71),$B$51=1),$AM$71,HLOOKUP(INDIRECT(ADDRESS(2,COLUMN())),OFFSET($CL$2,0,0,ROW()-1,84),ROW()-1,FALSE))</f>
        <v>301814</v>
      </c>
      <c r="AN30">
        <f ca="1">IF(AND(ISNUMBER($AN$71),$B$51=1),$AN$71,HLOOKUP(INDIRECT(ADDRESS(2,COLUMN())),OFFSET($CL$2,0,0,ROW()-1,84),ROW()-1,FALSE))</f>
        <v>301932</v>
      </c>
      <c r="AO30">
        <f ca="1">IF(AND(ISNUMBER($AO$71),$B$51=1),$AO$71,HLOOKUP(INDIRECT(ADDRESS(2,COLUMN())),OFFSET($CL$2,0,0,ROW()-1,84),ROW()-1,FALSE))</f>
        <v>296892</v>
      </c>
      <c r="AP30">
        <f ca="1">IF(AND(ISNUMBER($AP$71),$B$51=1),$AP$71,HLOOKUP(INDIRECT(ADDRESS(2,COLUMN())),OFFSET($CL$2,0,0,ROW()-1,84),ROW()-1,FALSE))</f>
        <v>308682</v>
      </c>
      <c r="AQ30">
        <f ca="1">IF(AND(ISNUMBER($AQ$71),$B$51=1),$AQ$71,HLOOKUP(INDIRECT(ADDRESS(2,COLUMN())),OFFSET($CL$2,0,0,ROW()-1,84),ROW()-1,FALSE))</f>
        <v>276407</v>
      </c>
      <c r="AR30">
        <f ca="1">IF(AND(ISNUMBER($AR$71),$B$51=1),$AR$71,HLOOKUP(INDIRECT(ADDRESS(2,COLUMN())),OFFSET($CL$2,0,0,ROW()-1,84),ROW()-1,FALSE))</f>
        <v>270388</v>
      </c>
      <c r="AS30">
        <f ca="1">IF(AND(ISNUMBER($AS$71),$B$51=1),$AS$71,HLOOKUP(INDIRECT(ADDRESS(2,COLUMN())),OFFSET($CL$2,0,0,ROW()-1,84),ROW()-1,FALSE))</f>
        <v>287036</v>
      </c>
      <c r="AT30">
        <f ca="1">IF(AND(ISNUMBER($AT$71),$B$51=1),$AT$71,HLOOKUP(INDIRECT(ADDRESS(2,COLUMN())),OFFSET($CL$2,0,0,ROW()-1,84),ROW()-1,FALSE))</f>
        <v>240671</v>
      </c>
      <c r="AU30">
        <f ca="1">IF(AND(ISNUMBER($AU$71),$B$51=1),$AU$71,HLOOKUP(INDIRECT(ADDRESS(2,COLUMN())),OFFSET($CL$2,0,0,ROW()-1,84),ROW()-1,FALSE))</f>
        <v>247675</v>
      </c>
      <c r="AV30">
        <f ca="1">IF(AND(ISNUMBER($AV$71),$B$51=1),$AV$71,HLOOKUP(INDIRECT(ADDRESS(2,COLUMN())),OFFSET($CL$2,0,0,ROW()-1,84),ROW()-1,FALSE))</f>
        <v>264133</v>
      </c>
      <c r="AW30">
        <f ca="1">IF(AND(ISNUMBER($AW$71),$B$51=1),$AW$71,HLOOKUP(INDIRECT(ADDRESS(2,COLUMN())),OFFSET($CL$2,0,0,ROW()-1,84),ROW()-1,FALSE))</f>
        <v>260932</v>
      </c>
      <c r="AX30">
        <f ca="1">IF(AND(ISNUMBER($AX$71),$B$51=1),$AX$71,HLOOKUP(INDIRECT(ADDRESS(2,COLUMN())),OFFSET($CL$2,0,0,ROW()-1,84),ROW()-1,FALSE))</f>
        <v>263816</v>
      </c>
      <c r="AY30">
        <f ca="1">IF(AND(ISNUMBER($AY$71),$B$51=1),$AY$71,HLOOKUP(INDIRECT(ADDRESS(2,COLUMN())),OFFSET($CL$2,0,0,ROW()-1,84),ROW()-1,FALSE))</f>
        <v>284452</v>
      </c>
      <c r="AZ30">
        <f ca="1">IF(AND(ISNUMBER($AZ$71),$B$51=1),$AZ$71,HLOOKUP(INDIRECT(ADDRESS(2,COLUMN())),OFFSET($CL$2,0,0,ROW()-1,84),ROW()-1,FALSE))</f>
        <v>271178</v>
      </c>
      <c r="BA30">
        <f ca="1">IF(AND(ISNUMBER($BA$71),$B$51=1),$BA$71,HLOOKUP(INDIRECT(ADDRESS(2,COLUMN())),OFFSET($CL$2,0,0,ROW()-1,84),ROW()-1,FALSE))</f>
        <v>310066</v>
      </c>
      <c r="BB30">
        <f ca="1">IF(AND(ISNUMBER($BB$71),$B$51=1),$BB$71,HLOOKUP(INDIRECT(ADDRESS(2,COLUMN())),OFFSET($CL$2,0,0,ROW()-1,84),ROW()-1,FALSE))</f>
        <v>347278</v>
      </c>
      <c r="BC30">
        <f ca="1">IF(AND(ISNUMBER($BC$71),$B$51=1),$BC$71,HLOOKUP(INDIRECT(ADDRESS(2,COLUMN())),OFFSET($CL$2,0,0,ROW()-1,84),ROW()-1,FALSE))</f>
        <v>320564</v>
      </c>
      <c r="BD30">
        <f ca="1">IF(AND(ISNUMBER($BD$71),$B$51=1),$BD$71,HLOOKUP(INDIRECT(ADDRESS(2,COLUMN())),OFFSET($CL$2,0,0,ROW()-1,84),ROW()-1,FALSE))</f>
        <v>326515</v>
      </c>
      <c r="BE30">
        <f ca="1">IF(AND(ISNUMBER($BE$71),$B$51=1),$BE$71,HLOOKUP(INDIRECT(ADDRESS(2,COLUMN())),OFFSET($CL$2,0,0,ROW()-1,84),ROW()-1,FALSE))</f>
        <v>343221</v>
      </c>
      <c r="BF30">
        <f ca="1">IF(AND(ISNUMBER($BF$71),$B$51=1),$BF$71,HLOOKUP(INDIRECT(ADDRESS(2,COLUMN())),OFFSET($CL$2,0,0,ROW()-1,84),ROW()-1,FALSE))</f>
        <v>315792</v>
      </c>
      <c r="BG30">
        <f ca="1">IF(AND(ISNUMBER($BG$71),$B$51=1),$BG$71,HLOOKUP(INDIRECT(ADDRESS(2,COLUMN())),OFFSET($CL$2,0,0,ROW()-1,84),ROW()-1,FALSE))</f>
        <v>323948</v>
      </c>
      <c r="BH30">
        <f ca="1">IF(AND(ISNUMBER($BH$71),$B$51=1),$BH$71,HLOOKUP(INDIRECT(ADDRESS(2,COLUMN())),OFFSET($CL$2,0,0,ROW()-1,84),ROW()-1,FALSE))</f>
        <v>336828</v>
      </c>
      <c r="BI30">
        <f ca="1">IF(AND(ISNUMBER($BI$71),$B$51=1),$BI$71,HLOOKUP(INDIRECT(ADDRESS(2,COLUMN())),OFFSET($CL$2,0,0,ROW()-1,84),ROW()-1,FALSE))</f>
        <v>269233</v>
      </c>
      <c r="BJ30">
        <f ca="1">IF(AND(ISNUMBER($BJ$71),$B$51=1),$BJ$71,HLOOKUP(INDIRECT(ADDRESS(2,COLUMN())),OFFSET($CL$2,0,0,ROW()-1,84),ROW()-1,FALSE))</f>
        <v>326228</v>
      </c>
      <c r="BK30">
        <f ca="1">IF(AND(ISNUMBER($BK$71),$B$51=1),$BK$71,HLOOKUP(INDIRECT(ADDRESS(2,COLUMN())),OFFSET($CL$2,0,0,ROW()-1,84),ROW()-1,FALSE))</f>
        <v>349055</v>
      </c>
      <c r="BL30">
        <f ca="1">IF(AND(ISNUMBER($BL$71),$B$51=1),$BL$71,HLOOKUP(INDIRECT(ADDRESS(2,COLUMN())),OFFSET($CL$2,0,0,ROW()-1,84),ROW()-1,FALSE))</f>
        <v>319242</v>
      </c>
      <c r="BM30">
        <f ca="1">IF(AND(ISNUMBER($BM$71),$B$51=1),$BM$71,HLOOKUP(INDIRECT(ADDRESS(2,COLUMN())),OFFSET($CL$2,0,0,ROW()-1,84),ROW()-1,FALSE))</f>
        <v>333995</v>
      </c>
      <c r="BN30">
        <f ca="1">IF(AND(ISNUMBER($BN$71),$B$51=1),$BN$71,HLOOKUP(INDIRECT(ADDRESS(2,COLUMN())),OFFSET($CL$2,0,0,ROW()-1,84),ROW()-1,FALSE))</f>
        <v>373845</v>
      </c>
      <c r="BO30">
        <f ca="1">IF(AND(ISNUMBER($BO$71),$B$51=1),$BO$71,HLOOKUP(INDIRECT(ADDRESS(2,COLUMN())),OFFSET($CL$2,0,0,ROW()-1,84),ROW()-1,FALSE))</f>
        <v>314321</v>
      </c>
      <c r="BP30">
        <f ca="1">IF(AND(ISNUMBER($BP$71),$B$51=1),$BP$71,HLOOKUP(INDIRECT(ADDRESS(2,COLUMN())),OFFSET($CL$2,0,0,ROW()-1,84),ROW()-1,FALSE))</f>
        <v>327462</v>
      </c>
      <c r="BQ30">
        <f ca="1">IF(AND(ISNUMBER($BQ$71),$B$51=1),$BQ$71,HLOOKUP(INDIRECT(ADDRESS(2,COLUMN())),OFFSET($CL$2,0,0,ROW()-1,84),ROW()-1,FALSE))</f>
        <v>351284</v>
      </c>
      <c r="BR30">
        <f ca="1">IF(AND(ISNUMBER($BR$71),$B$51=1),$BR$71,HLOOKUP(INDIRECT(ADDRESS(2,COLUMN())),OFFSET($CL$2,0,0,ROW()-1,84),ROW()-1,FALSE))</f>
        <v>309243</v>
      </c>
      <c r="BS30">
        <f ca="1">IF(AND(ISNUMBER($BS$71),$B$51=1),$BS$71,HLOOKUP(INDIRECT(ADDRESS(2,COLUMN())),OFFSET($CL$2,0,0,ROW()-1,84),ROW()-1,FALSE))</f>
        <v>279715</v>
      </c>
      <c r="BT30">
        <f ca="1">IF(AND(ISNUMBER($BT$71),$B$51=1),$BT$71,HLOOKUP(INDIRECT(ADDRESS(2,COLUMN())),OFFSET($CL$2,0,0,ROW()-1,84),ROW()-1,FALSE))</f>
        <v>302516</v>
      </c>
      <c r="BU30">
        <f ca="1">IF(AND(ISNUMBER($BU$71),$B$51=1),$BU$71,HLOOKUP(INDIRECT(ADDRESS(2,COLUMN())),OFFSET($CL$2,0,0,ROW()-1,84),ROW()-1,FALSE))</f>
        <v>280737</v>
      </c>
      <c r="BV30">
        <f ca="1">IF(AND(ISNUMBER($BV$71),$B$51=1),$BV$71,HLOOKUP(INDIRECT(ADDRESS(2,COLUMN())),OFFSET($CL$2,0,0,ROW()-1,84),ROW()-1,FALSE))</f>
        <v>256212</v>
      </c>
      <c r="BW30">
        <f ca="1">IF(AND(ISNUMBER($BW$71),$B$51=1),$BW$71,HLOOKUP(INDIRECT(ADDRESS(2,COLUMN())),OFFSET($CL$2,0,0,ROW()-1,84),ROW()-1,FALSE))</f>
        <v>312782</v>
      </c>
      <c r="BX30">
        <f ca="1">IF(AND(ISNUMBER($BX$71),$B$51=1),$BX$71,HLOOKUP(INDIRECT(ADDRESS(2,COLUMN())),OFFSET($CL$2,0,0,ROW()-1,84),ROW()-1,FALSE))</f>
        <v>299150</v>
      </c>
      <c r="BY30">
        <f ca="1">IF(AND(ISNUMBER($BY$71),$B$51=1),$BY$71,HLOOKUP(INDIRECT(ADDRESS(2,COLUMN())),OFFSET($CL$2,0,0,ROW()-1,84),ROW()-1,FALSE))</f>
        <v>303951</v>
      </c>
      <c r="BZ30">
        <f ca="1">IF(AND(ISNUMBER($BZ$71),$B$51=1),$BZ$71,HLOOKUP(INDIRECT(ADDRESS(2,COLUMN())),OFFSET($CL$2,0,0,ROW()-1,84),ROW()-1,FALSE))</f>
        <v>323477</v>
      </c>
      <c r="CA30">
        <f ca="1">IF(AND(ISNUMBER($CA$71),$B$51=1),$CA$71,HLOOKUP(INDIRECT(ADDRESS(2,COLUMN())),OFFSET($CL$2,0,0,ROW()-1,84),ROW()-1,FALSE))</f>
        <v>337719</v>
      </c>
      <c r="CB30">
        <f ca="1">IF(AND(ISNUMBER($CB$71),$B$51=1),$CB$71,HLOOKUP(INDIRECT(ADDRESS(2,COLUMN())),OFFSET($CL$2,0,0,ROW()-1,84),ROW()-1,FALSE))</f>
        <v>295968</v>
      </c>
      <c r="CC30">
        <f ca="1">IF(AND(ISNUMBER($CC$71),$B$51=1),$CC$71,HLOOKUP(INDIRECT(ADDRESS(2,COLUMN())),OFFSET($CL$2,0,0,ROW()-1,84),ROW()-1,FALSE))</f>
        <v>323409</v>
      </c>
      <c r="CD30">
        <f ca="1">IF(AND(ISNUMBER($CD$71),$B$51=1),$CD$71,HLOOKUP(INDIRECT(ADDRESS(2,COLUMN())),OFFSET($CL$2,0,0,ROW()-1,84),ROW()-1,FALSE))</f>
        <v>323581</v>
      </c>
      <c r="CE30">
        <f ca="1">IF(AND(ISNUMBER($CE$71),$B$51=1),$CE$71,HLOOKUP(INDIRECT(ADDRESS(2,COLUMN())),OFFSET($CL$2,0,0,ROW()-1,84),ROW()-1,FALSE))</f>
        <v>282772</v>
      </c>
      <c r="CF30">
        <f ca="1">IF(AND(ISNUMBER($CF$71),$B$51=1),$CF$71,HLOOKUP(INDIRECT(ADDRESS(2,COLUMN())),OFFSET($CL$2,0,0,ROW()-1,84),ROW()-1,FALSE))</f>
        <v>334473</v>
      </c>
      <c r="CG30">
        <f ca="1">IF(AND(ISNUMBER($CG$71),$B$51=1),$CG$71,HLOOKUP(INDIRECT(ADDRESS(2,COLUMN())),OFFSET($CL$2,0,0,ROW()-1,84),ROW()-1,FALSE))</f>
        <v>263718</v>
      </c>
      <c r="CH30">
        <f ca="1">IF(AND(ISNUMBER($CH$71),$B$51=1),$CH$71,HLOOKUP(INDIRECT(ADDRESS(2,COLUMN())),OFFSET($CL$2,0,0,ROW()-1,84),ROW()-1,FALSE))</f>
        <v>301174</v>
      </c>
      <c r="CI30">
        <f ca="1">IF(AND(ISNUMBER($CI$71),$B$51=1),$CI$71,HLOOKUP(INDIRECT(ADDRESS(2,COLUMN())),OFFSET($CL$2,0,0,ROW()-1,84),ROW()-1,FALSE))</f>
        <v>316217</v>
      </c>
      <c r="CJ30">
        <f ca="1">IF(AND(ISNUMBER($CJ$71),$B$51=1),$CJ$71,HLOOKUP(INDIRECT(ADDRESS(2,COLUMN())),OFFSET($CL$2,0,0,ROW()-1,84),ROW()-1,FALSE))</f>
        <v>336379</v>
      </c>
      <c r="CK30">
        <f ca="1">IF(AND(ISNUMBER($CK$71),$B$51=1),$CK$71,HLOOKUP(INDIRECT(ADDRESS(2,COLUMN())),OFFSET($CL$2,0,0,ROW()-1,84),ROW()-1,FALSE))</f>
        <v>304702</v>
      </c>
      <c r="CL30">
        <f>329609</f>
        <v>329609</v>
      </c>
      <c r="CM30">
        <f>242700</f>
        <v>242700</v>
      </c>
      <c r="CN30">
        <f>234875</f>
        <v>234875</v>
      </c>
      <c r="CO30">
        <f>254458</f>
        <v>254458</v>
      </c>
      <c r="CP30">
        <f>229974</f>
        <v>229974</v>
      </c>
      <c r="CQ30">
        <f>232321</f>
        <v>232321</v>
      </c>
      <c r="CR30">
        <f>240979</f>
        <v>240979</v>
      </c>
      <c r="CS30">
        <f>225747</f>
        <v>225747</v>
      </c>
      <c r="CT30">
        <f>213095</f>
        <v>213095</v>
      </c>
      <c r="CU30">
        <f>231799</f>
        <v>231799</v>
      </c>
      <c r="CV30">
        <f>247037</f>
        <v>247037</v>
      </c>
      <c r="CW30">
        <f>272129</f>
        <v>272129</v>
      </c>
      <c r="CX30">
        <f>285315</f>
        <v>285315</v>
      </c>
      <c r="CY30">
        <f>280436</f>
        <v>280436</v>
      </c>
      <c r="CZ30">
        <f>260572</f>
        <v>260572</v>
      </c>
      <c r="DA30">
        <f>309123</f>
        <v>309123</v>
      </c>
      <c r="DB30">
        <f>329740</f>
        <v>329740</v>
      </c>
      <c r="DC30">
        <f>266635</f>
        <v>266635</v>
      </c>
      <c r="DD30">
        <f>330906</f>
        <v>330906</v>
      </c>
      <c r="DE30">
        <f>298046</f>
        <v>298046</v>
      </c>
      <c r="DF30">
        <f>272281</f>
        <v>272281</v>
      </c>
      <c r="DG30">
        <f>254102</f>
        <v>254102</v>
      </c>
      <c r="DH30">
        <f>325604</f>
        <v>325604</v>
      </c>
      <c r="DI30">
        <f>314801</f>
        <v>314801</v>
      </c>
      <c r="DJ30">
        <f>337513</f>
        <v>337513</v>
      </c>
      <c r="DK30">
        <f>313127</f>
        <v>313127</v>
      </c>
      <c r="DL30">
        <f>309722</f>
        <v>309722</v>
      </c>
      <c r="DM30">
        <f>344573</f>
        <v>344573</v>
      </c>
      <c r="DN30">
        <f>336397</f>
        <v>336397</v>
      </c>
      <c r="DO30">
        <f>303642</f>
        <v>303642</v>
      </c>
      <c r="DP30">
        <f>339322</f>
        <v>339322</v>
      </c>
      <c r="DQ30">
        <f>268216</f>
        <v>268216</v>
      </c>
      <c r="DR30">
        <f>289187</f>
        <v>289187</v>
      </c>
      <c r="DS30">
        <f>301814</f>
        <v>301814</v>
      </c>
      <c r="DT30">
        <f>301932</f>
        <v>301932</v>
      </c>
      <c r="DU30">
        <f>296892</f>
        <v>296892</v>
      </c>
      <c r="DV30">
        <f>308682</f>
        <v>308682</v>
      </c>
      <c r="DW30">
        <f>276407</f>
        <v>276407</v>
      </c>
      <c r="DX30">
        <f>270388</f>
        <v>270388</v>
      </c>
      <c r="DY30">
        <f>287036</f>
        <v>287036</v>
      </c>
      <c r="DZ30">
        <f>240671</f>
        <v>240671</v>
      </c>
      <c r="EA30">
        <f>247675</f>
        <v>247675</v>
      </c>
      <c r="EB30">
        <f>264133</f>
        <v>264133</v>
      </c>
      <c r="EC30">
        <f>260932</f>
        <v>260932</v>
      </c>
      <c r="ED30">
        <f>263816</f>
        <v>263816</v>
      </c>
      <c r="EE30">
        <f>284452</f>
        <v>284452</v>
      </c>
      <c r="EF30">
        <f>271178</f>
        <v>271178</v>
      </c>
      <c r="EG30">
        <f>310066</f>
        <v>310066</v>
      </c>
      <c r="EH30">
        <f>347278</f>
        <v>347278</v>
      </c>
      <c r="EI30">
        <f>320564</f>
        <v>320564</v>
      </c>
      <c r="EJ30">
        <f>326515</f>
        <v>326515</v>
      </c>
      <c r="EK30">
        <f>343221</f>
        <v>343221</v>
      </c>
      <c r="EL30">
        <f>315792</f>
        <v>315792</v>
      </c>
      <c r="EM30">
        <f>323948</f>
        <v>323948</v>
      </c>
      <c r="EN30">
        <f>336828</f>
        <v>336828</v>
      </c>
      <c r="EO30">
        <f>269233</f>
        <v>269233</v>
      </c>
      <c r="EP30">
        <f>326228</f>
        <v>326228</v>
      </c>
      <c r="EQ30">
        <f>349055</f>
        <v>349055</v>
      </c>
      <c r="ER30">
        <f>319242</f>
        <v>319242</v>
      </c>
      <c r="ES30">
        <f>333995</f>
        <v>333995</v>
      </c>
      <c r="ET30">
        <f>373845</f>
        <v>373845</v>
      </c>
      <c r="EU30">
        <f>314321</f>
        <v>314321</v>
      </c>
      <c r="EV30">
        <f>327462</f>
        <v>327462</v>
      </c>
      <c r="EW30">
        <f>351284</f>
        <v>351284</v>
      </c>
      <c r="EX30">
        <f>309243</f>
        <v>309243</v>
      </c>
      <c r="EY30">
        <f>279715</f>
        <v>279715</v>
      </c>
      <c r="EZ30">
        <f>302516</f>
        <v>302516</v>
      </c>
      <c r="FA30">
        <f>280737</f>
        <v>280737</v>
      </c>
      <c r="FB30">
        <f>256212</f>
        <v>256212</v>
      </c>
      <c r="FC30">
        <f>312782</f>
        <v>312782</v>
      </c>
      <c r="FD30">
        <f>299150</f>
        <v>299150</v>
      </c>
      <c r="FE30">
        <f>303951</f>
        <v>303951</v>
      </c>
      <c r="FF30">
        <f>323477</f>
        <v>323477</v>
      </c>
      <c r="FG30">
        <f>337719</f>
        <v>337719</v>
      </c>
      <c r="FH30">
        <f>295968</f>
        <v>295968</v>
      </c>
      <c r="FI30">
        <f>323409</f>
        <v>323409</v>
      </c>
      <c r="FJ30">
        <f>323581</f>
        <v>323581</v>
      </c>
      <c r="FK30">
        <f>282772</f>
        <v>282772</v>
      </c>
      <c r="FL30">
        <f>334473</f>
        <v>334473</v>
      </c>
      <c r="FM30">
        <f>263718</f>
        <v>263718</v>
      </c>
      <c r="FN30">
        <f>301174</f>
        <v>301174</v>
      </c>
      <c r="FO30">
        <f>316217</f>
        <v>316217</v>
      </c>
      <c r="FP30">
        <f>336379</f>
        <v>336379</v>
      </c>
      <c r="FQ30">
        <f>304702</f>
        <v>304702</v>
      </c>
    </row>
    <row r="31" spans="1:173" x14ac:dyDescent="0.25">
      <c r="A31" t="str">
        <f>"    Port of Oakland (TEU)"</f>
        <v xml:space="preserve">    Port of Oakland (TEU)</v>
      </c>
      <c r="B31" t="str">
        <f>"POOKTOTL Index"</f>
        <v>POOKTOTL Index</v>
      </c>
      <c r="C31" t="str">
        <f t="shared" si="9"/>
        <v>PX385</v>
      </c>
      <c r="D31" t="str">
        <f t="shared" si="10"/>
        <v>INTERVAL_SUM</v>
      </c>
      <c r="E31" t="str">
        <f t="shared" si="11"/>
        <v>Dynamic</v>
      </c>
      <c r="F31">
        <f ca="1">IF(AND(ISNUMBER($F$72),$B$51=1),$F$72,HLOOKUP(INDIRECT(ADDRESS(2,COLUMN())),OFFSET($CL$2,0,0,ROW()-1,84),ROW()-1,FALSE))</f>
        <v>171822</v>
      </c>
      <c r="G31">
        <f ca="1">IF(AND(ISNUMBER($G$72),$B$51=1),$G$72,HLOOKUP(INDIRECT(ADDRESS(2,COLUMN())),OFFSET($CL$2,0,0,ROW()-1,84),ROW()-1,FALSE))</f>
        <v>179160.5</v>
      </c>
      <c r="H31">
        <f ca="1">IF(AND(ISNUMBER($H$72),$B$51=1),$H$72,HLOOKUP(INDIRECT(ADDRESS(2,COLUMN())),OFFSET($CL$2,0,0,ROW()-1,84),ROW()-1,FALSE))</f>
        <v>181555.25</v>
      </c>
      <c r="I31">
        <f ca="1">IF(AND(ISNUMBER($I$72),$B$51=1),$I$72,HLOOKUP(INDIRECT(ADDRESS(2,COLUMN())),OFFSET($CL$2,0,0,ROW()-1,84),ROW()-1,FALSE))</f>
        <v>155827.25</v>
      </c>
      <c r="J31">
        <f ca="1">IF(AND(ISNUMBER($J$72),$B$51=1),$J$72,HLOOKUP(INDIRECT(ADDRESS(2,COLUMN())),OFFSET($CL$2,0,0,ROW()-1,84),ROW()-1,FALSE))</f>
        <v>178513.25</v>
      </c>
      <c r="K31">
        <f ca="1">IF(AND(ISNUMBER($K$72),$B$51=1),$K$72,HLOOKUP(INDIRECT(ADDRESS(2,COLUMN())),OFFSET($CL$2,0,0,ROW()-1,84),ROW()-1,FALSE))</f>
        <v>174481.5</v>
      </c>
      <c r="L31">
        <f ca="1">IF(AND(ISNUMBER($L$72),$B$51=1),$L$72,HLOOKUP(INDIRECT(ADDRESS(2,COLUMN())),OFFSET($CL$2,0,0,ROW()-1,84),ROW()-1,FALSE))</f>
        <v>170267.5</v>
      </c>
      <c r="M31">
        <f ca="1">IF(AND(ISNUMBER($M$72),$B$51=1),$M$72,HLOOKUP(INDIRECT(ADDRESS(2,COLUMN())),OFFSET($CL$2,0,0,ROW()-1,84),ROW()-1,FALSE))</f>
        <v>153836.75</v>
      </c>
      <c r="N31">
        <f ca="1">IF(AND(ISNUMBER($N$72),$B$51=1),$N$72,HLOOKUP(INDIRECT(ADDRESS(2,COLUMN())),OFFSET($CL$2,0,0,ROW()-1,84),ROW()-1,FALSE))</f>
        <v>179227.75</v>
      </c>
      <c r="O31">
        <f ca="1">IF(AND(ISNUMBER($O$72),$B$51=1),$O$72,HLOOKUP(INDIRECT(ADDRESS(2,COLUMN())),OFFSET($CL$2,0,0,ROW()-1,84),ROW()-1,FALSE))</f>
        <v>163027.25</v>
      </c>
      <c r="P31">
        <f ca="1">IF(AND(ISNUMBER($P$72),$B$51=1),$P$72,HLOOKUP(INDIRECT(ADDRESS(2,COLUMN())),OFFSET($CL$2,0,0,ROW()-1,84),ROW()-1,FALSE))</f>
        <v>184606.25</v>
      </c>
      <c r="Q31">
        <f ca="1">IF(AND(ISNUMBER($Q$72),$B$51=1),$Q$72,HLOOKUP(INDIRECT(ADDRESS(2,COLUMN())),OFFSET($CL$2,0,0,ROW()-1,84),ROW()-1,FALSE))</f>
        <v>202487</v>
      </c>
      <c r="R31">
        <f ca="1">IF(AND(ISNUMBER($R$72),$B$51=1),$R$72,HLOOKUP(INDIRECT(ADDRESS(2,COLUMN())),OFFSET($CL$2,0,0,ROW()-1,84),ROW()-1,FALSE))</f>
        <v>184729.45</v>
      </c>
      <c r="S31">
        <f ca="1">IF(AND(ISNUMBER($S$72),$B$51=1),$S$72,HLOOKUP(INDIRECT(ADDRESS(2,COLUMN())),OFFSET($CL$2,0,0,ROW()-1,84),ROW()-1,FALSE))</f>
        <v>211122.5</v>
      </c>
      <c r="T31">
        <f ca="1">IF(AND(ISNUMBER($T$72),$B$51=1),$T$72,HLOOKUP(INDIRECT(ADDRESS(2,COLUMN())),OFFSET($CL$2,0,0,ROW()-1,84),ROW()-1,FALSE))</f>
        <v>160356</v>
      </c>
      <c r="U31">
        <f ca="1">IF(AND(ISNUMBER($U$72),$B$51=1),$U$72,HLOOKUP(INDIRECT(ADDRESS(2,COLUMN())),OFFSET($CL$2,0,0,ROW()-1,84),ROW()-1,FALSE))</f>
        <v>216096</v>
      </c>
      <c r="V31">
        <f ca="1">IF(AND(ISNUMBER($V$72),$B$51=1),$V$72,HLOOKUP(INDIRECT(ADDRESS(2,COLUMN())),OFFSET($CL$2,0,0,ROW()-1,84),ROW()-1,FALSE))</f>
        <v>224301.5</v>
      </c>
      <c r="W31">
        <f ca="1">IF(AND(ISNUMBER($W$72),$B$51=1),$W$72,HLOOKUP(INDIRECT(ADDRESS(2,COLUMN())),OFFSET($CL$2,0,0,ROW()-1,84),ROW()-1,FALSE))</f>
        <v>188442</v>
      </c>
      <c r="X31">
        <f ca="1">IF(AND(ISNUMBER($X$72),$B$51=1),$X$72,HLOOKUP(INDIRECT(ADDRESS(2,COLUMN())),OFFSET($CL$2,0,0,ROW()-1,84),ROW()-1,FALSE))</f>
        <v>214460.5</v>
      </c>
      <c r="Y31">
        <f ca="1">IF(AND(ISNUMBER($Y$72),$B$51=1),$Y$72,HLOOKUP(INDIRECT(ADDRESS(2,COLUMN())),OFFSET($CL$2,0,0,ROW()-1,84),ROW()-1,FALSE))</f>
        <v>194784</v>
      </c>
      <c r="Z31">
        <f ca="1">IF(AND(ISNUMBER($Z$72),$B$51=1),$Z$72,HLOOKUP(INDIRECT(ADDRESS(2,COLUMN())),OFFSET($CL$2,0,0,ROW()-1,84),ROW()-1,FALSE))</f>
        <v>193194.75</v>
      </c>
      <c r="AA31">
        <f ca="1">IF(AND(ISNUMBER($AA$72),$B$51=1),$AA$72,HLOOKUP(INDIRECT(ADDRESS(2,COLUMN())),OFFSET($CL$2,0,0,ROW()-1,84),ROW()-1,FALSE))</f>
        <v>169650</v>
      </c>
      <c r="AB31">
        <f ca="1">IF(AND(ISNUMBER($AB$72),$B$51=1),$AB$72,HLOOKUP(INDIRECT(ADDRESS(2,COLUMN())),OFFSET($CL$2,0,0,ROW()-1,84),ROW()-1,FALSE))</f>
        <v>189096.1</v>
      </c>
      <c r="AC31">
        <f ca="1">IF(AND(ISNUMBER($AC$72),$B$51=1),$AC$72,HLOOKUP(INDIRECT(ADDRESS(2,COLUMN())),OFFSET($CL$2,0,0,ROW()-1,84),ROW()-1,FALSE))</f>
        <v>173307.85</v>
      </c>
      <c r="AD31">
        <f ca="1">IF(AND(ISNUMBER($AD$72),$B$51=1),$AD$72,HLOOKUP(INDIRECT(ADDRESS(2,COLUMN())),OFFSET($CL$2,0,0,ROW()-1,84),ROW()-1,FALSE))</f>
        <v>183272.75</v>
      </c>
      <c r="AE31">
        <f ca="1">IF(AND(ISNUMBER($AE$72),$B$51=1),$AE$72,HLOOKUP(INDIRECT(ADDRESS(2,COLUMN())),OFFSET($CL$2,0,0,ROW()-1,84),ROW()-1,FALSE))</f>
        <v>220050.3</v>
      </c>
      <c r="AF31">
        <f ca="1">IF(AND(ISNUMBER($AF$72),$B$51=1),$AF$72,HLOOKUP(INDIRECT(ADDRESS(2,COLUMN())),OFFSET($CL$2,0,0,ROW()-1,84),ROW()-1,FALSE))</f>
        <v>211394.35</v>
      </c>
      <c r="AG31">
        <f ca="1">IF(AND(ISNUMBER($AG$72),$B$51=1),$AG$72,HLOOKUP(INDIRECT(ADDRESS(2,COLUMN())),OFFSET($CL$2,0,0,ROW()-1,84),ROW()-1,FALSE))</f>
        <v>222482.9</v>
      </c>
      <c r="AH31">
        <f ca="1">IF(AND(ISNUMBER($AH$72),$B$51=1),$AH$72,HLOOKUP(INDIRECT(ADDRESS(2,COLUMN())),OFFSET($CL$2,0,0,ROW()-1,84),ROW()-1,FALSE))</f>
        <v>226407.9</v>
      </c>
      <c r="AI31">
        <f ca="1">IF(AND(ISNUMBER($AI$72),$B$51=1),$AI$72,HLOOKUP(INDIRECT(ADDRESS(2,COLUMN())),OFFSET($CL$2,0,0,ROW()-1,84),ROW()-1,FALSE))</f>
        <v>221837.5</v>
      </c>
      <c r="AJ31">
        <f ca="1">IF(AND(ISNUMBER($AJ$72),$B$51=1),$AJ$72,HLOOKUP(INDIRECT(ADDRESS(2,COLUMN())),OFFSET($CL$2,0,0,ROW()-1,84),ROW()-1,FALSE))</f>
        <v>241467.15</v>
      </c>
      <c r="AK31">
        <f ca="1">IF(AND(ISNUMBER($AK$72),$B$51=1),$AK$72,HLOOKUP(INDIRECT(ADDRESS(2,COLUMN())),OFFSET($CL$2,0,0,ROW()-1,84),ROW()-1,FALSE))</f>
        <v>190488.5</v>
      </c>
      <c r="AL31">
        <f ca="1">IF(AND(ISNUMBER($AL$72),$B$51=1),$AL$72,HLOOKUP(INDIRECT(ADDRESS(2,COLUMN())),OFFSET($CL$2,0,0,ROW()-1,84),ROW()-1,FALSE))</f>
        <v>199097.7</v>
      </c>
      <c r="AM31">
        <f ca="1">IF(AND(ISNUMBER($AM$72),$B$51=1),$AM$72,HLOOKUP(INDIRECT(ADDRESS(2,COLUMN())),OFFSET($CL$2,0,0,ROW()-1,84),ROW()-1,FALSE))</f>
        <v>208339.25</v>
      </c>
      <c r="AN31">
        <f ca="1">IF(AND(ISNUMBER($AN$72),$B$51=1),$AN$72,HLOOKUP(INDIRECT(ADDRESS(2,COLUMN())),OFFSET($CL$2,0,0,ROW()-1,84),ROW()-1,FALSE))</f>
        <v>197694.7</v>
      </c>
      <c r="AO31">
        <f ca="1">IF(AND(ISNUMBER($AO$72),$B$51=1),$AO$72,HLOOKUP(INDIRECT(ADDRESS(2,COLUMN())),OFFSET($CL$2,0,0,ROW()-1,84),ROW()-1,FALSE))</f>
        <v>216664</v>
      </c>
      <c r="AP31">
        <f ca="1">IF(AND(ISNUMBER($AP$72),$B$51=1),$AP$72,HLOOKUP(INDIRECT(ADDRESS(2,COLUMN())),OFFSET($CL$2,0,0,ROW()-1,84),ROW()-1,FALSE))</f>
        <v>225806.5</v>
      </c>
      <c r="AQ31">
        <f ca="1">IF(AND(ISNUMBER($AQ$72),$B$51=1),$AQ$72,HLOOKUP(INDIRECT(ADDRESS(2,COLUMN())),OFFSET($CL$2,0,0,ROW()-1,84),ROW()-1,FALSE))</f>
        <v>225489.15</v>
      </c>
      <c r="AR31">
        <f ca="1">IF(AND(ISNUMBER($AR$72),$B$51=1),$AR$72,HLOOKUP(INDIRECT(ADDRESS(2,COLUMN())),OFFSET($CL$2,0,0,ROW()-1,84),ROW()-1,FALSE))</f>
        <v>219080.3</v>
      </c>
      <c r="AS31">
        <f ca="1">IF(AND(ISNUMBER($AS$72),$B$51=1),$AS$72,HLOOKUP(INDIRECT(ADDRESS(2,COLUMN())),OFFSET($CL$2,0,0,ROW()-1,84),ROW()-1,FALSE))</f>
        <v>199011.45</v>
      </c>
      <c r="AT31">
        <f ca="1">IF(AND(ISNUMBER($AT$72),$B$51=1),$AT$72,HLOOKUP(INDIRECT(ADDRESS(2,COLUMN())),OFFSET($CL$2,0,0,ROW()-1,84),ROW()-1,FALSE))</f>
        <v>185594.7</v>
      </c>
      <c r="AU31">
        <f ca="1">IF(AND(ISNUMBER($AU$72),$B$51=1),$AU$72,HLOOKUP(INDIRECT(ADDRESS(2,COLUMN())),OFFSET($CL$2,0,0,ROW()-1,84),ROW()-1,FALSE))</f>
        <v>201918.4</v>
      </c>
      <c r="AV31">
        <f ca="1">IF(AND(ISNUMBER($AV$72),$B$51=1),$AV$72,HLOOKUP(INDIRECT(ADDRESS(2,COLUMN())),OFFSET($CL$2,0,0,ROW()-1,84),ROW()-1,FALSE))</f>
        <v>190187.7</v>
      </c>
      <c r="AW31">
        <f ca="1">IF(AND(ISNUMBER($AW$72),$B$51=1),$AW$72,HLOOKUP(INDIRECT(ADDRESS(2,COLUMN())),OFFSET($CL$2,0,0,ROW()-1,84),ROW()-1,FALSE))</f>
        <v>180874.9</v>
      </c>
      <c r="AX31">
        <f ca="1">IF(AND(ISNUMBER($AX$72),$B$51=1),$AX$72,HLOOKUP(INDIRECT(ADDRESS(2,COLUMN())),OFFSET($CL$2,0,0,ROW()-1,84),ROW()-1,FALSE))</f>
        <v>211227.95</v>
      </c>
      <c r="AY31">
        <f ca="1">IF(AND(ISNUMBER($AY$72),$B$51=1),$AY$72,HLOOKUP(INDIRECT(ADDRESS(2,COLUMN())),OFFSET($CL$2,0,0,ROW()-1,84),ROW()-1,FALSE))</f>
        <v>193963.3</v>
      </c>
      <c r="AZ31">
        <f ca="1">IF(AND(ISNUMBER($AZ$72),$B$51=1),$AZ$72,HLOOKUP(INDIRECT(ADDRESS(2,COLUMN())),OFFSET($CL$2,0,0,ROW()-1,84),ROW()-1,FALSE))</f>
        <v>197360.35</v>
      </c>
      <c r="BA31">
        <f ca="1">IF(AND(ISNUMBER($BA$72),$B$51=1),$BA$72,HLOOKUP(INDIRECT(ADDRESS(2,COLUMN())),OFFSET($CL$2,0,0,ROW()-1,84),ROW()-1,FALSE))</f>
        <v>204879.8</v>
      </c>
      <c r="BB31">
        <f ca="1">IF(AND(ISNUMBER($BB$72),$B$51=1),$BB$72,HLOOKUP(INDIRECT(ADDRESS(2,COLUMN())),OFFSET($CL$2,0,0,ROW()-1,84),ROW()-1,FALSE))</f>
        <v>206544.2</v>
      </c>
      <c r="BC31">
        <f ca="1">IF(AND(ISNUMBER($BC$72),$B$51=1),$BC$72,HLOOKUP(INDIRECT(ADDRESS(2,COLUMN())),OFFSET($CL$2,0,0,ROW()-1,84),ROW()-1,FALSE))</f>
        <v>224537</v>
      </c>
      <c r="BD31">
        <f ca="1">IF(AND(ISNUMBER($BD$72),$B$51=1),$BD$72,HLOOKUP(INDIRECT(ADDRESS(2,COLUMN())),OFFSET($CL$2,0,0,ROW()-1,84),ROW()-1,FALSE))</f>
        <v>218191.45</v>
      </c>
      <c r="BE31">
        <f ca="1">IF(AND(ISNUMBER($BE$72),$B$51=1),$BE$72,HLOOKUP(INDIRECT(ADDRESS(2,COLUMN())),OFFSET($CL$2,0,0,ROW()-1,84),ROW()-1,FALSE))</f>
        <v>203730.15</v>
      </c>
      <c r="BF31">
        <f ca="1">IF(AND(ISNUMBER($BF$72),$B$51=1),$BF$72,HLOOKUP(INDIRECT(ADDRESS(2,COLUMN())),OFFSET($CL$2,0,0,ROW()-1,84),ROW()-1,FALSE))</f>
        <v>223101.15</v>
      </c>
      <c r="BG31">
        <f ca="1">IF(AND(ISNUMBER($BG$72),$B$51=1),$BG$72,HLOOKUP(INDIRECT(ADDRESS(2,COLUMN())),OFFSET($CL$2,0,0,ROW()-1,84),ROW()-1,FALSE))</f>
        <v>216002.8</v>
      </c>
      <c r="BH31">
        <f ca="1">IF(AND(ISNUMBER($BH$72),$B$51=1),$BH$72,HLOOKUP(INDIRECT(ADDRESS(2,COLUMN())),OFFSET($CL$2,0,0,ROW()-1,84),ROW()-1,FALSE))</f>
        <v>213972.45</v>
      </c>
      <c r="BI31">
        <f ca="1">IF(AND(ISNUMBER($BI$72),$B$51=1),$BI$72,HLOOKUP(INDIRECT(ADDRESS(2,COLUMN())),OFFSET($CL$2,0,0,ROW()-1,84),ROW()-1,FALSE))</f>
        <v>185684.75</v>
      </c>
      <c r="BJ31">
        <f ca="1">IF(AND(ISNUMBER($BJ$72),$B$51=1),$BJ$72,HLOOKUP(INDIRECT(ADDRESS(2,COLUMN())),OFFSET($CL$2,0,0,ROW()-1,84),ROW()-1,FALSE))</f>
        <v>212493.3</v>
      </c>
      <c r="BK31">
        <f ca="1">IF(AND(ISNUMBER($BK$72),$B$51=1),$BK$72,HLOOKUP(INDIRECT(ADDRESS(2,COLUMN())),OFFSET($CL$2,0,0,ROW()-1,84),ROW()-1,FALSE))</f>
        <v>220922.3</v>
      </c>
      <c r="BL31">
        <f ca="1">IF(AND(ISNUMBER($BL$72),$B$51=1),$BL$72,HLOOKUP(INDIRECT(ADDRESS(2,COLUMN())),OFFSET($CL$2,0,0,ROW()-1,84),ROW()-1,FALSE))</f>
        <v>219124.6</v>
      </c>
      <c r="BM31">
        <f ca="1">IF(AND(ISNUMBER($BM$72),$B$51=1),$BM$72,HLOOKUP(INDIRECT(ADDRESS(2,COLUMN())),OFFSET($CL$2,0,0,ROW()-1,84),ROW()-1,FALSE))</f>
        <v>226052.4</v>
      </c>
      <c r="BN31">
        <f ca="1">IF(AND(ISNUMBER($BN$72),$B$51=1),$BN$72,HLOOKUP(INDIRECT(ADDRESS(2,COLUMN())),OFFSET($CL$2,0,0,ROW()-1,84),ROW()-1,FALSE))</f>
        <v>220068.2</v>
      </c>
      <c r="BO31">
        <f ca="1">IF(AND(ISNUMBER($BO$72),$B$51=1),$BO$72,HLOOKUP(INDIRECT(ADDRESS(2,COLUMN())),OFFSET($CL$2,0,0,ROW()-1,84),ROW()-1,FALSE))</f>
        <v>231188.3</v>
      </c>
      <c r="BP31">
        <f ca="1">IF(AND(ISNUMBER($BP$72),$B$51=1),$BP$72,HLOOKUP(INDIRECT(ADDRESS(2,COLUMN())),OFFSET($CL$2,0,0,ROW()-1,84),ROW()-1,FALSE))</f>
        <v>217407.35</v>
      </c>
      <c r="BQ31">
        <f ca="1">IF(AND(ISNUMBER($BQ$72),$B$51=1),$BQ$72,HLOOKUP(INDIRECT(ADDRESS(2,COLUMN())),OFFSET($CL$2,0,0,ROW()-1,84),ROW()-1,FALSE))</f>
        <v>215496</v>
      </c>
      <c r="BR31">
        <f ca="1">IF(AND(ISNUMBER($BR$72),$B$51=1),$BR$72,HLOOKUP(INDIRECT(ADDRESS(2,COLUMN())),OFFSET($CL$2,0,0,ROW()-1,84),ROW()-1,FALSE))</f>
        <v>204766.6</v>
      </c>
      <c r="BS31">
        <f ca="1">IF(AND(ISNUMBER($BS$72),$B$51=1),$BS$72,HLOOKUP(INDIRECT(ADDRESS(2,COLUMN())),OFFSET($CL$2,0,0,ROW()-1,84),ROW()-1,FALSE))</f>
        <v>204017.05</v>
      </c>
      <c r="BT31">
        <f ca="1">IF(AND(ISNUMBER($BT$72),$B$51=1),$BT$72,HLOOKUP(INDIRECT(ADDRESS(2,COLUMN())),OFFSET($CL$2,0,0,ROW()-1,84),ROW()-1,FALSE))</f>
        <v>193340.9</v>
      </c>
      <c r="BU31">
        <f ca="1">IF(AND(ISNUMBER($BU$72),$B$51=1),$BU$72,HLOOKUP(INDIRECT(ADDRESS(2,COLUMN())),OFFSET($CL$2,0,0,ROW()-1,84),ROW()-1,FALSE))</f>
        <v>188174.7</v>
      </c>
      <c r="BV31">
        <f ca="1">IF(AND(ISNUMBER($BV$72),$B$51=1),$BV$72,HLOOKUP(INDIRECT(ADDRESS(2,COLUMN())),OFFSET($CL$2,0,0,ROW()-1,84),ROW()-1,FALSE))</f>
        <v>205840.25</v>
      </c>
      <c r="BW31">
        <f ca="1">IF(AND(ISNUMBER($BW$72),$B$51=1),$BW$72,HLOOKUP(INDIRECT(ADDRESS(2,COLUMN())),OFFSET($CL$2,0,0,ROW()-1,84),ROW()-1,FALSE))</f>
        <v>206835.75</v>
      </c>
      <c r="BX31">
        <f ca="1">IF(AND(ISNUMBER($BX$72),$B$51=1),$BX$72,HLOOKUP(INDIRECT(ADDRESS(2,COLUMN())),OFFSET($CL$2,0,0,ROW()-1,84),ROW()-1,FALSE))</f>
        <v>186068.85</v>
      </c>
      <c r="BY31">
        <f ca="1">IF(AND(ISNUMBER($BY$72),$B$51=1),$BY$72,HLOOKUP(INDIRECT(ADDRESS(2,COLUMN())),OFFSET($CL$2,0,0,ROW()-1,84),ROW()-1,FALSE))</f>
        <v>209913.55</v>
      </c>
      <c r="BZ31">
        <f ca="1">IF(AND(ISNUMBER($BZ$72),$B$51=1),$BZ$72,HLOOKUP(INDIRECT(ADDRESS(2,COLUMN())),OFFSET($CL$2,0,0,ROW()-1,84),ROW()-1,FALSE))</f>
        <v>211470.15</v>
      </c>
      <c r="CA31">
        <f ca="1">IF(AND(ISNUMBER($CA$72),$B$51=1),$CA$72,HLOOKUP(INDIRECT(ADDRESS(2,COLUMN())),OFFSET($CL$2,0,0,ROW()-1,84),ROW()-1,FALSE))</f>
        <v>212655.1</v>
      </c>
      <c r="CB31">
        <f ca="1">IF(AND(ISNUMBER($CB$72),$B$51=1),$CB$72,HLOOKUP(INDIRECT(ADDRESS(2,COLUMN())),OFFSET($CL$2,0,0,ROW()-1,84),ROW()-1,FALSE))</f>
        <v>209889.5</v>
      </c>
      <c r="CC31">
        <f ca="1">IF(AND(ISNUMBER($CC$72),$B$51=1),$CC$72,HLOOKUP(INDIRECT(ADDRESS(2,COLUMN())),OFFSET($CL$2,0,0,ROW()-1,84),ROW()-1,FALSE))</f>
        <v>204255.1</v>
      </c>
      <c r="CD31">
        <f ca="1">IF(AND(ISNUMBER($CD$72),$B$51=1),$CD$72,HLOOKUP(INDIRECT(ADDRESS(2,COLUMN())),OFFSET($CL$2,0,0,ROW()-1,84),ROW()-1,FALSE))</f>
        <v>210959.95</v>
      </c>
      <c r="CE31">
        <f ca="1">IF(AND(ISNUMBER($CE$72),$B$51=1),$CE$72,HLOOKUP(INDIRECT(ADDRESS(2,COLUMN())),OFFSET($CL$2,0,0,ROW()-1,84),ROW()-1,FALSE))</f>
        <v>197500.75</v>
      </c>
      <c r="CF31">
        <f ca="1">IF(AND(ISNUMBER($CF$72),$B$51=1),$CF$72,HLOOKUP(INDIRECT(ADDRESS(2,COLUMN())),OFFSET($CL$2,0,0,ROW()-1,84),ROW()-1,FALSE))</f>
        <v>199076.55</v>
      </c>
      <c r="CG31">
        <f ca="1">IF(AND(ISNUMBER($CG$72),$B$51=1),$CG$72,HLOOKUP(INDIRECT(ADDRESS(2,COLUMN())),OFFSET($CL$2,0,0,ROW()-1,84),ROW()-1,FALSE))</f>
        <v>174901.7</v>
      </c>
      <c r="CH31">
        <f ca="1">IF(AND(ISNUMBER($CH$72),$B$51=1),$CH$72,HLOOKUP(INDIRECT(ADDRESS(2,COLUMN())),OFFSET($CL$2,0,0,ROW()-1,84),ROW()-1,FALSE))</f>
        <v>197309.6</v>
      </c>
      <c r="CI31">
        <f ca="1">IF(AND(ISNUMBER($CI$72),$B$51=1),$CI$72,HLOOKUP(INDIRECT(ADDRESS(2,COLUMN())),OFFSET($CL$2,0,0,ROW()-1,84),ROW()-1,FALSE))</f>
        <v>199155</v>
      </c>
      <c r="CJ31">
        <f ca="1">IF(AND(ISNUMBER($CJ$72),$B$51=1),$CJ$72,HLOOKUP(INDIRECT(ADDRESS(2,COLUMN())),OFFSET($CL$2,0,0,ROW()-1,84),ROW()-1,FALSE))</f>
        <v>196980</v>
      </c>
      <c r="CK31">
        <f ca="1">IF(AND(ISNUMBER($CK$72),$B$51=1),$CK$72,HLOOKUP(INDIRECT(ADDRESS(2,COLUMN())),OFFSET($CL$2,0,0,ROW()-1,84),ROW()-1,FALSE))</f>
        <v>206169</v>
      </c>
      <c r="CL31">
        <f>171822</f>
        <v>171822</v>
      </c>
      <c r="CM31">
        <f>179160.5</f>
        <v>179160.5</v>
      </c>
      <c r="CN31">
        <f>181555.25</f>
        <v>181555.25</v>
      </c>
      <c r="CO31">
        <f>155827.25</f>
        <v>155827.25</v>
      </c>
      <c r="CP31">
        <f>178513.25</f>
        <v>178513.25</v>
      </c>
      <c r="CQ31">
        <f>174481.5</f>
        <v>174481.5</v>
      </c>
      <c r="CR31">
        <f>170267.5</f>
        <v>170267.5</v>
      </c>
      <c r="CS31">
        <f>153836.75</f>
        <v>153836.75</v>
      </c>
      <c r="CT31">
        <f>179227.75</f>
        <v>179227.75</v>
      </c>
      <c r="CU31">
        <f>163027.25</f>
        <v>163027.25</v>
      </c>
      <c r="CV31">
        <f>184606.25</f>
        <v>184606.25</v>
      </c>
      <c r="CW31">
        <f>202487</f>
        <v>202487</v>
      </c>
      <c r="CX31">
        <f>184729.45</f>
        <v>184729.45</v>
      </c>
      <c r="CY31">
        <f>211122.5</f>
        <v>211122.5</v>
      </c>
      <c r="CZ31">
        <f>160356</f>
        <v>160356</v>
      </c>
      <c r="DA31">
        <f>216096</f>
        <v>216096</v>
      </c>
      <c r="DB31">
        <f>224301.5</f>
        <v>224301.5</v>
      </c>
      <c r="DC31">
        <f>188442</f>
        <v>188442</v>
      </c>
      <c r="DD31">
        <f>214460.5</f>
        <v>214460.5</v>
      </c>
      <c r="DE31">
        <f>194784</f>
        <v>194784</v>
      </c>
      <c r="DF31">
        <f>193194.75</f>
        <v>193194.75</v>
      </c>
      <c r="DG31">
        <f>169650</f>
        <v>169650</v>
      </c>
      <c r="DH31">
        <f>189096.1</f>
        <v>189096.1</v>
      </c>
      <c r="DI31">
        <f>173307.85</f>
        <v>173307.85</v>
      </c>
      <c r="DJ31">
        <f>183272.75</f>
        <v>183272.75</v>
      </c>
      <c r="DK31">
        <f>220050.3</f>
        <v>220050.3</v>
      </c>
      <c r="DL31">
        <f>211394.35</f>
        <v>211394.35</v>
      </c>
      <c r="DM31">
        <f>222482.9</f>
        <v>222482.9</v>
      </c>
      <c r="DN31">
        <f>226407.9</f>
        <v>226407.9</v>
      </c>
      <c r="DO31">
        <f>221837.5</f>
        <v>221837.5</v>
      </c>
      <c r="DP31">
        <f>241467.15</f>
        <v>241467.15</v>
      </c>
      <c r="DQ31">
        <f>190488.5</f>
        <v>190488.5</v>
      </c>
      <c r="DR31">
        <f>199097.7</f>
        <v>199097.7</v>
      </c>
      <c r="DS31">
        <f>208339.25</f>
        <v>208339.25</v>
      </c>
      <c r="DT31">
        <f>197694.7</f>
        <v>197694.7</v>
      </c>
      <c r="DU31">
        <f>216664</f>
        <v>216664</v>
      </c>
      <c r="DV31">
        <f>225806.5</f>
        <v>225806.5</v>
      </c>
      <c r="DW31">
        <f>225489.15</f>
        <v>225489.15</v>
      </c>
      <c r="DX31">
        <f>219080.3</f>
        <v>219080.3</v>
      </c>
      <c r="DY31">
        <f>199011.45</f>
        <v>199011.45</v>
      </c>
      <c r="DZ31">
        <f>185594.7</f>
        <v>185594.7</v>
      </c>
      <c r="EA31">
        <f>201918.4</f>
        <v>201918.4</v>
      </c>
      <c r="EB31">
        <f>190187.7</f>
        <v>190187.7</v>
      </c>
      <c r="EC31">
        <f>180874.9</f>
        <v>180874.9</v>
      </c>
      <c r="ED31">
        <f>211227.95</f>
        <v>211227.95</v>
      </c>
      <c r="EE31">
        <f>193963.3</f>
        <v>193963.3</v>
      </c>
      <c r="EF31">
        <f>197360.35</f>
        <v>197360.35</v>
      </c>
      <c r="EG31">
        <f>204879.8</f>
        <v>204879.8</v>
      </c>
      <c r="EH31">
        <f>206544.2</f>
        <v>206544.2</v>
      </c>
      <c r="EI31">
        <f>224537</f>
        <v>224537</v>
      </c>
      <c r="EJ31">
        <f>218191.45</f>
        <v>218191.45</v>
      </c>
      <c r="EK31">
        <f>203730.15</f>
        <v>203730.15</v>
      </c>
      <c r="EL31">
        <f>223101.15</f>
        <v>223101.15</v>
      </c>
      <c r="EM31">
        <f>216002.8</f>
        <v>216002.8</v>
      </c>
      <c r="EN31">
        <f>213972.45</f>
        <v>213972.45</v>
      </c>
      <c r="EO31">
        <f>185684.75</f>
        <v>185684.75</v>
      </c>
      <c r="EP31">
        <f>212493.3</f>
        <v>212493.3</v>
      </c>
      <c r="EQ31">
        <f>220922.3</f>
        <v>220922.3</v>
      </c>
      <c r="ER31">
        <f>219124.6</f>
        <v>219124.6</v>
      </c>
      <c r="ES31">
        <f>226052.4</f>
        <v>226052.4</v>
      </c>
      <c r="ET31">
        <f>220068.2</f>
        <v>220068.2</v>
      </c>
      <c r="EU31">
        <f>231188.3</f>
        <v>231188.3</v>
      </c>
      <c r="EV31">
        <f>217407.35</f>
        <v>217407.35</v>
      </c>
      <c r="EW31">
        <f>215496</f>
        <v>215496</v>
      </c>
      <c r="EX31">
        <f>204766.6</f>
        <v>204766.6</v>
      </c>
      <c r="EY31">
        <f>204017.05</f>
        <v>204017.05</v>
      </c>
      <c r="EZ31">
        <f>193340.9</f>
        <v>193340.9</v>
      </c>
      <c r="FA31">
        <f>188174.7</f>
        <v>188174.7</v>
      </c>
      <c r="FB31">
        <f>205840.25</f>
        <v>205840.25</v>
      </c>
      <c r="FC31">
        <f>206835.75</f>
        <v>206835.75</v>
      </c>
      <c r="FD31">
        <f>186068.85</f>
        <v>186068.85</v>
      </c>
      <c r="FE31">
        <f>209913.55</f>
        <v>209913.55</v>
      </c>
      <c r="FF31">
        <f>211470.15</f>
        <v>211470.15</v>
      </c>
      <c r="FG31">
        <f>212655.1</f>
        <v>212655.1</v>
      </c>
      <c r="FH31">
        <f>209889.5</f>
        <v>209889.5</v>
      </c>
      <c r="FI31">
        <f>204255.1</f>
        <v>204255.1</v>
      </c>
      <c r="FJ31">
        <f>210959.95</f>
        <v>210959.95</v>
      </c>
      <c r="FK31">
        <f>197500.75</f>
        <v>197500.75</v>
      </c>
      <c r="FL31">
        <f>199076.55</f>
        <v>199076.55</v>
      </c>
      <c r="FM31">
        <f>174901.7</f>
        <v>174901.7</v>
      </c>
      <c r="FN31">
        <f>197309.6</f>
        <v>197309.6</v>
      </c>
      <c r="FO31">
        <f>199155</f>
        <v>199155</v>
      </c>
      <c r="FP31">
        <f>196980</f>
        <v>196980</v>
      </c>
      <c r="FQ31">
        <f>206169</f>
        <v>206169</v>
      </c>
    </row>
    <row r="32" spans="1:173" x14ac:dyDescent="0.25">
      <c r="A32" t="str">
        <f>"    Port of Virginia (TEU)"</f>
        <v xml:space="preserve">    Port of Virginia (TEU)</v>
      </c>
      <c r="B32" t="str">
        <f>"POVATOTL Index"</f>
        <v>POVATOTL Index</v>
      </c>
      <c r="C32" t="str">
        <f t="shared" si="9"/>
        <v>PX385</v>
      </c>
      <c r="D32" t="str">
        <f t="shared" si="10"/>
        <v>INTERVAL_SUM</v>
      </c>
      <c r="E32" t="str">
        <f t="shared" si="11"/>
        <v>Dynamic</v>
      </c>
      <c r="F32" t="str">
        <f ca="1">IF(AND(ISNUMBER($F$73),$B$51=1),$F$73,HLOOKUP(INDIRECT(ADDRESS(2,COLUMN())),OFFSET($CL$2,0,0,ROW()-1,84),ROW()-1,FALSE))</f>
        <v/>
      </c>
      <c r="G32">
        <f ca="1">IF(AND(ISNUMBER($G$73),$B$51=1),$G$73,HLOOKUP(INDIRECT(ADDRESS(2,COLUMN())),OFFSET($CL$2,0,0,ROW()-1,84),ROW()-1,FALSE))</f>
        <v>287232.25</v>
      </c>
      <c r="H32">
        <f ca="1">IF(AND(ISNUMBER($H$73),$B$51=1),$H$73,HLOOKUP(INDIRECT(ADDRESS(2,COLUMN())),OFFSET($CL$2,0,0,ROW()-1,84),ROW()-1,FALSE))</f>
        <v>298202.25</v>
      </c>
      <c r="I32">
        <f ca="1">IF(AND(ISNUMBER($I$73),$B$51=1),$I$73,HLOOKUP(INDIRECT(ADDRESS(2,COLUMN())),OFFSET($CL$2,0,0,ROW()-1,84),ROW()-1,FALSE))</f>
        <v>263997.5</v>
      </c>
      <c r="J32">
        <f ca="1">IF(AND(ISNUMBER($J$73),$B$51=1),$J$73,HLOOKUP(INDIRECT(ADDRESS(2,COLUMN())),OFFSET($CL$2,0,0,ROW()-1,84),ROW()-1,FALSE))</f>
        <v>265874.5</v>
      </c>
      <c r="K32">
        <f ca="1">IF(AND(ISNUMBER($K$73),$B$51=1),$K$73,HLOOKUP(INDIRECT(ADDRESS(2,COLUMN())),OFFSET($CL$2,0,0,ROW()-1,84),ROW()-1,FALSE))</f>
        <v>256414.25</v>
      </c>
      <c r="L32">
        <f ca="1">IF(AND(ISNUMBER($L$73),$B$51=1),$L$73,HLOOKUP(INDIRECT(ADDRESS(2,COLUMN())),OFFSET($CL$2,0,0,ROW()-1,84),ROW()-1,FALSE))</f>
        <v>248814.5</v>
      </c>
      <c r="M32">
        <f ca="1">IF(AND(ISNUMBER($M$73),$B$51=1),$M$73,HLOOKUP(INDIRECT(ADDRESS(2,COLUMN())),OFFSET($CL$2,0,0,ROW()-1,84),ROW()-1,FALSE))</f>
        <v>256966.75</v>
      </c>
      <c r="N32">
        <f ca="1">IF(AND(ISNUMBER($N$73),$B$51=1),$N$73,HLOOKUP(INDIRECT(ADDRESS(2,COLUMN())),OFFSET($CL$2,0,0,ROW()-1,84),ROW()-1,FALSE))</f>
        <v>288379.5</v>
      </c>
      <c r="O32">
        <f ca="1">IF(AND(ISNUMBER($O$73),$B$51=1),$O$73,HLOOKUP(INDIRECT(ADDRESS(2,COLUMN())),OFFSET($CL$2,0,0,ROW()-1,84),ROW()-1,FALSE))</f>
        <v>273964.75</v>
      </c>
      <c r="P32">
        <f ca="1">IF(AND(ISNUMBER($P$73),$B$51=1),$P$73,HLOOKUP(INDIRECT(ADDRESS(2,COLUMN())),OFFSET($CL$2,0,0,ROW()-1,84),ROW()-1,FALSE))</f>
        <v>285943.25</v>
      </c>
      <c r="Q32">
        <f ca="1">IF(AND(ISNUMBER($Q$73),$B$51=1),$Q$73,HLOOKUP(INDIRECT(ADDRESS(2,COLUMN())),OFFSET($CL$2,0,0,ROW()-1,84),ROW()-1,FALSE))</f>
        <v>318452.25</v>
      </c>
      <c r="R32">
        <f ca="1">IF(AND(ISNUMBER($R$73),$B$51=1),$R$73,HLOOKUP(INDIRECT(ADDRESS(2,COLUMN())),OFFSET($CL$2,0,0,ROW()-1,84),ROW()-1,FALSE))</f>
        <v>312230.25</v>
      </c>
      <c r="S32">
        <f ca="1">IF(AND(ISNUMBER($S$73),$B$51=1),$S$73,HLOOKUP(INDIRECT(ADDRESS(2,COLUMN())),OFFSET($CL$2,0,0,ROW()-1,84),ROW()-1,FALSE))</f>
        <v>340925.5</v>
      </c>
      <c r="T32">
        <f ca="1">IF(AND(ISNUMBER($T$73),$B$51=1),$T$73,HLOOKUP(INDIRECT(ADDRESS(2,COLUMN())),OFFSET($CL$2,0,0,ROW()-1,84),ROW()-1,FALSE))</f>
        <v>317690.5</v>
      </c>
      <c r="U32">
        <f ca="1">IF(AND(ISNUMBER($U$73),$B$51=1),$U$73,HLOOKUP(INDIRECT(ADDRESS(2,COLUMN())),OFFSET($CL$2,0,0,ROW()-1,84),ROW()-1,FALSE))</f>
        <v>316249.5</v>
      </c>
      <c r="V32">
        <f ca="1">IF(AND(ISNUMBER($V$73),$B$51=1),$V$73,HLOOKUP(INDIRECT(ADDRESS(2,COLUMN())),OFFSET($CL$2,0,0,ROW()-1,84),ROW()-1,FALSE))</f>
        <v>341611</v>
      </c>
      <c r="W32">
        <f ca="1">IF(AND(ISNUMBER($W$73),$B$51=1),$W$73,HLOOKUP(INDIRECT(ADDRESS(2,COLUMN())),OFFSET($CL$2,0,0,ROW()-1,84),ROW()-1,FALSE))</f>
        <v>323244</v>
      </c>
      <c r="X32">
        <f ca="1">IF(AND(ISNUMBER($X$73),$B$51=1),$X$73,HLOOKUP(INDIRECT(ADDRESS(2,COLUMN())),OFFSET($CL$2,0,0,ROW()-1,84),ROW()-1,FALSE))</f>
        <v>314698</v>
      </c>
      <c r="Y32">
        <f ca="1">IF(AND(ISNUMBER($Y$73),$B$51=1),$Y$73,HLOOKUP(INDIRECT(ADDRESS(2,COLUMN())),OFFSET($CL$2,0,0,ROW()-1,84),ROW()-1,FALSE))</f>
        <v>296201</v>
      </c>
      <c r="Z32">
        <f ca="1">IF(AND(ISNUMBER($Z$73),$B$51=1),$Z$73,HLOOKUP(INDIRECT(ADDRESS(2,COLUMN())),OFFSET($CL$2,0,0,ROW()-1,84),ROW()-1,FALSE))</f>
        <v>262019.75</v>
      </c>
      <c r="AA32">
        <f ca="1">IF(AND(ISNUMBER($AA$73),$B$51=1),$AA$73,HLOOKUP(INDIRECT(ADDRESS(2,COLUMN())),OFFSET($CL$2,0,0,ROW()-1,84),ROW()-1,FALSE))</f>
        <v>325527</v>
      </c>
      <c r="AB32">
        <f ca="1">IF(AND(ISNUMBER($AB$73),$B$51=1),$AB$73,HLOOKUP(INDIRECT(ADDRESS(2,COLUMN())),OFFSET($CL$2,0,0,ROW()-1,84),ROW()-1,FALSE))</f>
        <v>290759</v>
      </c>
      <c r="AC32">
        <f ca="1">IF(AND(ISNUMBER($AC$73),$B$51=1),$AC$73,HLOOKUP(INDIRECT(ADDRESS(2,COLUMN())),OFFSET($CL$2,0,0,ROW()-1,84),ROW()-1,FALSE))</f>
        <v>318481.5</v>
      </c>
      <c r="AD32">
        <f ca="1">IF(AND(ISNUMBER($AD$73),$B$51=1),$AD$73,HLOOKUP(INDIRECT(ADDRESS(2,COLUMN())),OFFSET($CL$2,0,0,ROW()-1,84),ROW()-1,FALSE))</f>
        <v>306215.75</v>
      </c>
      <c r="AE32">
        <f ca="1">IF(AND(ISNUMBER($AE$73),$B$51=1),$AE$73,HLOOKUP(INDIRECT(ADDRESS(2,COLUMN())),OFFSET($CL$2,0,0,ROW()-1,84),ROW()-1,FALSE))</f>
        <v>307023.25</v>
      </c>
      <c r="AF32">
        <f ca="1">IF(AND(ISNUMBER($AF$73),$B$51=1),$AF$73,HLOOKUP(INDIRECT(ADDRESS(2,COLUMN())),OFFSET($CL$2,0,0,ROW()-1,84),ROW()-1,FALSE))</f>
        <v>293126.25</v>
      </c>
      <c r="AG32">
        <f ca="1">IF(AND(ISNUMBER($AG$73),$B$51=1),$AG$73,HLOOKUP(INDIRECT(ADDRESS(2,COLUMN())),OFFSET($CL$2,0,0,ROW()-1,84),ROW()-1,FALSE))</f>
        <v>281346</v>
      </c>
      <c r="AH32">
        <f ca="1">IF(AND(ISNUMBER($AH$73),$B$51=1),$AH$73,HLOOKUP(INDIRECT(ADDRESS(2,COLUMN())),OFFSET($CL$2,0,0,ROW()-1,84),ROW()-1,FALSE))</f>
        <v>314941.5</v>
      </c>
      <c r="AI32">
        <f ca="1">IF(AND(ISNUMBER($AI$73),$B$51=1),$AI$73,HLOOKUP(INDIRECT(ADDRESS(2,COLUMN())),OFFSET($CL$2,0,0,ROW()-1,84),ROW()-1,FALSE))</f>
        <v>286405.25</v>
      </c>
      <c r="AJ32">
        <f ca="1">IF(AND(ISNUMBER($AJ$73),$B$51=1),$AJ$73,HLOOKUP(INDIRECT(ADDRESS(2,COLUMN())),OFFSET($CL$2,0,0,ROW()-1,84),ROW()-1,FALSE))</f>
        <v>279514</v>
      </c>
      <c r="AK32">
        <f ca="1">IF(AND(ISNUMBER($AK$73),$B$51=1),$AK$73,HLOOKUP(INDIRECT(ADDRESS(2,COLUMN())),OFFSET($CL$2,0,0,ROW()-1,84),ROW()-1,FALSE))</f>
        <v>248525.5</v>
      </c>
      <c r="AL32">
        <f ca="1">IF(AND(ISNUMBER($AL$73),$B$51=1),$AL$73,HLOOKUP(INDIRECT(ADDRESS(2,COLUMN())),OFFSET($CL$2,0,0,ROW()-1,84),ROW()-1,FALSE))</f>
        <v>270968.75</v>
      </c>
      <c r="AM32">
        <f ca="1">IF(AND(ISNUMBER($AM$73),$B$51=1),$AM$73,HLOOKUP(INDIRECT(ADDRESS(2,COLUMN())),OFFSET($CL$2,0,0,ROW()-1,84),ROW()-1,FALSE))</f>
        <v>260401</v>
      </c>
      <c r="AN32">
        <f ca="1">IF(AND(ISNUMBER($AN$73),$B$51=1),$AN$73,HLOOKUP(INDIRECT(ADDRESS(2,COLUMN())),OFFSET($CL$2,0,0,ROW()-1,84),ROW()-1,FALSE))</f>
        <v>279868.25</v>
      </c>
      <c r="AO32">
        <f ca="1">IF(AND(ISNUMBER($AO$73),$B$51=1),$AO$73,HLOOKUP(INDIRECT(ADDRESS(2,COLUMN())),OFFSET($CL$2,0,0,ROW()-1,84),ROW()-1,FALSE))</f>
        <v>274215</v>
      </c>
      <c r="AP32">
        <f ca="1">IF(AND(ISNUMBER($AP$73),$B$51=1),$AP$73,HLOOKUP(INDIRECT(ADDRESS(2,COLUMN())),OFFSET($CL$2,0,0,ROW()-1,84),ROW()-1,FALSE))</f>
        <v>256438.5</v>
      </c>
      <c r="AQ32">
        <f ca="1">IF(AND(ISNUMBER($AQ$73),$B$51=1),$AQ$73,HLOOKUP(INDIRECT(ADDRESS(2,COLUMN())),OFFSET($CL$2,0,0,ROW()-1,84),ROW()-1,FALSE))</f>
        <v>247348.5</v>
      </c>
      <c r="AR32">
        <f ca="1">IF(AND(ISNUMBER($AR$73),$B$51=1),$AR$73,HLOOKUP(INDIRECT(ADDRESS(2,COLUMN())),OFFSET($CL$2,0,0,ROW()-1,84),ROW()-1,FALSE))</f>
        <v>221028</v>
      </c>
      <c r="AS32">
        <f ca="1">IF(AND(ISNUMBER($AS$73),$B$51=1),$AS$73,HLOOKUP(INDIRECT(ADDRESS(2,COLUMN())),OFFSET($CL$2,0,0,ROW()-1,84),ROW()-1,FALSE))</f>
        <v>210669.25</v>
      </c>
      <c r="AT32">
        <f ca="1">IF(AND(ISNUMBER($AT$73),$B$51=1),$AT$73,HLOOKUP(INDIRECT(ADDRESS(2,COLUMN())),OFFSET($CL$2,0,0,ROW()-1,84),ROW()-1,FALSE))</f>
        <v>201837.25</v>
      </c>
      <c r="AU32">
        <f ca="1">IF(AND(ISNUMBER($AU$73),$B$51=1),$AU$73,HLOOKUP(INDIRECT(ADDRESS(2,COLUMN())),OFFSET($CL$2,0,0,ROW()-1,84),ROW()-1,FALSE))</f>
        <v>207244.25</v>
      </c>
      <c r="AV32">
        <f ca="1">IF(AND(ISNUMBER($AV$73),$B$51=1),$AV$73,HLOOKUP(INDIRECT(ADDRESS(2,COLUMN())),OFFSET($CL$2,0,0,ROW()-1,84),ROW()-1,FALSE))</f>
        <v>219315.25</v>
      </c>
      <c r="AW32">
        <f ca="1">IF(AND(ISNUMBER($AW$73),$B$51=1),$AW$73,HLOOKUP(INDIRECT(ADDRESS(2,COLUMN())),OFFSET($CL$2,0,0,ROW()-1,84),ROW()-1,FALSE))</f>
        <v>207815.75</v>
      </c>
      <c r="AX32">
        <f ca="1">IF(AND(ISNUMBER($AX$73),$B$51=1),$AX$73,HLOOKUP(INDIRECT(ADDRESS(2,COLUMN())),OFFSET($CL$2,0,0,ROW()-1,84),ROW()-1,FALSE))</f>
        <v>227233.5</v>
      </c>
      <c r="AY32">
        <f ca="1">IF(AND(ISNUMBER($AY$73),$B$51=1),$AY$73,HLOOKUP(INDIRECT(ADDRESS(2,COLUMN())),OFFSET($CL$2,0,0,ROW()-1,84),ROW()-1,FALSE))</f>
        <v>224901.75</v>
      </c>
      <c r="AZ32">
        <f ca="1">IF(AND(ISNUMBER($AZ$73),$B$51=1),$AZ$73,HLOOKUP(INDIRECT(ADDRESS(2,COLUMN())),OFFSET($CL$2,0,0,ROW()-1,84),ROW()-1,FALSE))</f>
        <v>226981.5</v>
      </c>
      <c r="BA32">
        <f ca="1">IF(AND(ISNUMBER($BA$73),$B$51=1),$BA$73,HLOOKUP(INDIRECT(ADDRESS(2,COLUMN())),OFFSET($CL$2,0,0,ROW()-1,84),ROW()-1,FALSE))</f>
        <v>266976</v>
      </c>
      <c r="BB32">
        <f ca="1">IF(AND(ISNUMBER($BB$73),$B$51=1),$BB$73,HLOOKUP(INDIRECT(ADDRESS(2,COLUMN())),OFFSET($CL$2,0,0,ROW()-1,84),ROW()-1,FALSE))</f>
        <v>241415.5</v>
      </c>
      <c r="BC32">
        <f ca="1">IF(AND(ISNUMBER($BC$73),$B$51=1),$BC$73,HLOOKUP(INDIRECT(ADDRESS(2,COLUMN())),OFFSET($CL$2,0,0,ROW()-1,84),ROW()-1,FALSE))</f>
        <v>257675.25</v>
      </c>
      <c r="BD32">
        <f ca="1">IF(AND(ISNUMBER($BD$73),$B$51=1),$BD$73,HLOOKUP(INDIRECT(ADDRESS(2,COLUMN())),OFFSET($CL$2,0,0,ROW()-1,84),ROW()-1,FALSE))</f>
        <v>265559.25</v>
      </c>
      <c r="BE32">
        <f ca="1">IF(AND(ISNUMBER($BE$73),$B$51=1),$BE$73,HLOOKUP(INDIRECT(ADDRESS(2,COLUMN())),OFFSET($CL$2,0,0,ROW()-1,84),ROW()-1,FALSE))</f>
        <v>239329</v>
      </c>
      <c r="BF32">
        <f ca="1">IF(AND(ISNUMBER($BF$73),$B$51=1),$BF$73,HLOOKUP(INDIRECT(ADDRESS(2,COLUMN())),OFFSET($CL$2,0,0,ROW()-1,84),ROW()-1,FALSE))</f>
        <v>260893.5</v>
      </c>
      <c r="BG32">
        <f ca="1">IF(AND(ISNUMBER($BG$73),$B$51=1),$BG$73,HLOOKUP(INDIRECT(ADDRESS(2,COLUMN())),OFFSET($CL$2,0,0,ROW()-1,84),ROW()-1,FALSE))</f>
        <v>245933.25</v>
      </c>
      <c r="BH32">
        <f ca="1">IF(AND(ISNUMBER($BH$73),$B$51=1),$BH$73,HLOOKUP(INDIRECT(ADDRESS(2,COLUMN())),OFFSET($CL$2,0,0,ROW()-1,84),ROW()-1,FALSE))</f>
        <v>240035.25</v>
      </c>
      <c r="BI32">
        <f ca="1">IF(AND(ISNUMBER($BI$73),$B$51=1),$BI$73,HLOOKUP(INDIRECT(ADDRESS(2,COLUMN())),OFFSET($CL$2,0,0,ROW()-1,84),ROW()-1,FALSE))</f>
        <v>228151.25</v>
      </c>
      <c r="BJ32">
        <f ca="1">IF(AND(ISNUMBER($BJ$73),$B$51=1),$BJ$73,HLOOKUP(INDIRECT(ADDRESS(2,COLUMN())),OFFSET($CL$2,0,0,ROW()-1,84),ROW()-1,FALSE))</f>
        <v>240110.5</v>
      </c>
      <c r="BK32">
        <f ca="1">IF(AND(ISNUMBER($BK$73),$B$51=1),$BK$73,HLOOKUP(INDIRECT(ADDRESS(2,COLUMN())),OFFSET($CL$2,0,0,ROW()-1,84),ROW()-1,FALSE))</f>
        <v>241120.5</v>
      </c>
      <c r="BL32">
        <f ca="1">IF(AND(ISNUMBER($BL$73),$B$51=1),$BL$73,HLOOKUP(INDIRECT(ADDRESS(2,COLUMN())),OFFSET($CL$2,0,0,ROW()-1,84),ROW()-1,FALSE))</f>
        <v>239890</v>
      </c>
      <c r="BM32">
        <f ca="1">IF(AND(ISNUMBER($BM$73),$B$51=1),$BM$73,HLOOKUP(INDIRECT(ADDRESS(2,COLUMN())),OFFSET($CL$2,0,0,ROW()-1,84),ROW()-1,FALSE))</f>
        <v>270538</v>
      </c>
      <c r="BN32">
        <f ca="1">IF(AND(ISNUMBER($BN$73),$B$51=1),$BN$73,HLOOKUP(INDIRECT(ADDRESS(2,COLUMN())),OFFSET($CL$2,0,0,ROW()-1,84),ROW()-1,FALSE))</f>
        <v>221354.75</v>
      </c>
      <c r="BO32">
        <f ca="1">IF(AND(ISNUMBER($BO$73),$B$51=1),$BO$73,HLOOKUP(INDIRECT(ADDRESS(2,COLUMN())),OFFSET($CL$2,0,0,ROW()-1,84),ROW()-1,FALSE))</f>
        <v>258820.5</v>
      </c>
      <c r="BP32">
        <f ca="1">IF(AND(ISNUMBER($BP$73),$B$51=1),$BP$73,HLOOKUP(INDIRECT(ADDRESS(2,COLUMN())),OFFSET($CL$2,0,0,ROW()-1,84),ROW()-1,FALSE))</f>
        <v>252679</v>
      </c>
      <c r="BQ32">
        <f ca="1">IF(AND(ISNUMBER($BQ$73),$B$51=1),$BQ$73,HLOOKUP(INDIRECT(ADDRESS(2,COLUMN())),OFFSET($CL$2,0,0,ROW()-1,84),ROW()-1,FALSE))</f>
        <v>223839.5</v>
      </c>
      <c r="BR32">
        <f ca="1">IF(AND(ISNUMBER($BR$73),$B$51=1),$BR$73,HLOOKUP(INDIRECT(ADDRESS(2,COLUMN())),OFFSET($CL$2,0,0,ROW()-1,84),ROW()-1,FALSE))</f>
        <v>236890.5</v>
      </c>
      <c r="BS32">
        <f ca="1">IF(AND(ISNUMBER($BS$73),$B$51=1),$BS$73,HLOOKUP(INDIRECT(ADDRESS(2,COLUMN())),OFFSET($CL$2,0,0,ROW()-1,84),ROW()-1,FALSE))</f>
        <v>219281</v>
      </c>
      <c r="BT32">
        <f ca="1">IF(AND(ISNUMBER($BT$73),$B$51=1),$BT$73,HLOOKUP(INDIRECT(ADDRESS(2,COLUMN())),OFFSET($CL$2,0,0,ROW()-1,84),ROW()-1,FALSE))</f>
        <v>252230.25</v>
      </c>
      <c r="BU32">
        <f ca="1">IF(AND(ISNUMBER($BU$73),$B$51=1),$BU$73,HLOOKUP(INDIRECT(ADDRESS(2,COLUMN())),OFFSET($CL$2,0,0,ROW()-1,84),ROW()-1,FALSE))</f>
        <v>218726.5</v>
      </c>
      <c r="BV32">
        <f ca="1">IF(AND(ISNUMBER($BV$73),$B$51=1),$BV$73,HLOOKUP(INDIRECT(ADDRESS(2,COLUMN())),OFFSET($CL$2,0,0,ROW()-1,84),ROW()-1,FALSE))</f>
        <v>220533.75</v>
      </c>
      <c r="BW32">
        <f ca="1">IF(AND(ISNUMBER($BW$73),$B$51=1),$BW$73,HLOOKUP(INDIRECT(ADDRESS(2,COLUMN())),OFFSET($CL$2,0,0,ROW()-1,84),ROW()-1,FALSE))</f>
        <v>237524.5</v>
      </c>
      <c r="BX32">
        <f ca="1">IF(AND(ISNUMBER($BX$73),$B$51=1),$BX$73,HLOOKUP(INDIRECT(ADDRESS(2,COLUMN())),OFFSET($CL$2,0,0,ROW()-1,84),ROW()-1,FALSE))</f>
        <v>240570</v>
      </c>
      <c r="BY32">
        <f ca="1">IF(AND(ISNUMBER($BY$73),$B$51=1),$BY$73,HLOOKUP(INDIRECT(ADDRESS(2,COLUMN())),OFFSET($CL$2,0,0,ROW()-1,84),ROW()-1,FALSE))</f>
        <v>265489.75</v>
      </c>
      <c r="BZ32">
        <f ca="1">IF(AND(ISNUMBER($BZ$73),$B$51=1),$BZ$73,HLOOKUP(INDIRECT(ADDRESS(2,COLUMN())),OFFSET($CL$2,0,0,ROW()-1,84),ROW()-1,FALSE))</f>
        <v>237815.5</v>
      </c>
      <c r="CA32">
        <f ca="1">IF(AND(ISNUMBER($CA$73),$B$51=1),$CA$73,HLOOKUP(INDIRECT(ADDRESS(2,COLUMN())),OFFSET($CL$2,0,0,ROW()-1,84),ROW()-1,FALSE))</f>
        <v>240604.5</v>
      </c>
      <c r="CB32">
        <f ca="1">IF(AND(ISNUMBER($CB$73),$B$51=1),$CB$73,HLOOKUP(INDIRECT(ADDRESS(2,COLUMN())),OFFSET($CL$2,0,0,ROW()-1,84),ROW()-1,FALSE))</f>
        <v>234230</v>
      </c>
      <c r="CC32">
        <f ca="1">IF(AND(ISNUMBER($CC$73),$B$51=1),$CC$73,HLOOKUP(INDIRECT(ADDRESS(2,COLUMN())),OFFSET($CL$2,0,0,ROW()-1,84),ROW()-1,FALSE))</f>
        <v>231674.75</v>
      </c>
      <c r="CD32">
        <f ca="1">IF(AND(ISNUMBER($CD$73),$B$51=1),$CD$73,HLOOKUP(INDIRECT(ADDRESS(2,COLUMN())),OFFSET($CL$2,0,0,ROW()-1,84),ROW()-1,FALSE))</f>
        <v>246871.25</v>
      </c>
      <c r="CE32">
        <f ca="1">IF(AND(ISNUMBER($CE$73),$B$51=1),$CE$73,HLOOKUP(INDIRECT(ADDRESS(2,COLUMN())),OFFSET($CL$2,0,0,ROW()-1,84),ROW()-1,FALSE))</f>
        <v>225196.25</v>
      </c>
      <c r="CF32">
        <f ca="1">IF(AND(ISNUMBER($CF$73),$B$51=1),$CF$73,HLOOKUP(INDIRECT(ADDRESS(2,COLUMN())),OFFSET($CL$2,0,0,ROW()-1,84),ROW()-1,FALSE))</f>
        <v>232148.25</v>
      </c>
      <c r="CG32">
        <f ca="1">IF(AND(ISNUMBER($CG$73),$B$51=1),$CG$73,HLOOKUP(INDIRECT(ADDRESS(2,COLUMN())),OFFSET($CL$2,0,0,ROW()-1,84),ROW()-1,FALSE))</f>
        <v>220375.5</v>
      </c>
      <c r="CH32">
        <f ca="1">IF(AND(ISNUMBER($CH$73),$B$51=1),$CH$73,HLOOKUP(INDIRECT(ADDRESS(2,COLUMN())),OFFSET($CL$2,0,0,ROW()-1,84),ROW()-1,FALSE))</f>
        <v>228516</v>
      </c>
      <c r="CI32">
        <f ca="1">IF(AND(ISNUMBER($CI$73),$B$51=1),$CI$73,HLOOKUP(INDIRECT(ADDRESS(2,COLUMN())),OFFSET($CL$2,0,0,ROW()-1,84),ROW()-1,FALSE))</f>
        <v>229624.25</v>
      </c>
      <c r="CJ32">
        <f ca="1">IF(AND(ISNUMBER($CJ$73),$B$51=1),$CJ$73,HLOOKUP(INDIRECT(ADDRESS(2,COLUMN())),OFFSET($CL$2,0,0,ROW()-1,84),ROW()-1,FALSE))</f>
        <v>236155.25</v>
      </c>
      <c r="CK32">
        <f ca="1">IF(AND(ISNUMBER($CK$73),$B$51=1),$CK$73,HLOOKUP(INDIRECT(ADDRESS(2,COLUMN())),OFFSET($CL$2,0,0,ROW()-1,84),ROW()-1,FALSE))</f>
        <v>238567.25</v>
      </c>
      <c r="CL32" t="str">
        <f>""</f>
        <v/>
      </c>
      <c r="CM32">
        <f>287232.25</f>
        <v>287232.25</v>
      </c>
      <c r="CN32">
        <f>298202.25</f>
        <v>298202.25</v>
      </c>
      <c r="CO32">
        <f>263997.5</f>
        <v>263997.5</v>
      </c>
      <c r="CP32">
        <f>265874.5</f>
        <v>265874.5</v>
      </c>
      <c r="CQ32">
        <f>256414.25</f>
        <v>256414.25</v>
      </c>
      <c r="CR32">
        <f>248814.5</f>
        <v>248814.5</v>
      </c>
      <c r="CS32">
        <f>256966.75</f>
        <v>256966.75</v>
      </c>
      <c r="CT32">
        <f>288379.5</f>
        <v>288379.5</v>
      </c>
      <c r="CU32">
        <f>273964.75</f>
        <v>273964.75</v>
      </c>
      <c r="CV32">
        <f>285943.25</f>
        <v>285943.25</v>
      </c>
      <c r="CW32">
        <f>318452.25</f>
        <v>318452.25</v>
      </c>
      <c r="CX32">
        <f>312230.25</f>
        <v>312230.25</v>
      </c>
      <c r="CY32">
        <f>340925.5</f>
        <v>340925.5</v>
      </c>
      <c r="CZ32">
        <f>317690.5</f>
        <v>317690.5</v>
      </c>
      <c r="DA32">
        <f>316249.5</f>
        <v>316249.5</v>
      </c>
      <c r="DB32">
        <f>341611</f>
        <v>341611</v>
      </c>
      <c r="DC32">
        <f>323244</f>
        <v>323244</v>
      </c>
      <c r="DD32">
        <f>314698</f>
        <v>314698</v>
      </c>
      <c r="DE32">
        <f>296201</f>
        <v>296201</v>
      </c>
      <c r="DF32">
        <f>262019.75</f>
        <v>262019.75</v>
      </c>
      <c r="DG32">
        <f>325527</f>
        <v>325527</v>
      </c>
      <c r="DH32">
        <f>290759</f>
        <v>290759</v>
      </c>
      <c r="DI32">
        <f>318481.5</f>
        <v>318481.5</v>
      </c>
      <c r="DJ32">
        <f>306215.75</f>
        <v>306215.75</v>
      </c>
      <c r="DK32">
        <f>307023.25</f>
        <v>307023.25</v>
      </c>
      <c r="DL32">
        <f>293126.25</f>
        <v>293126.25</v>
      </c>
      <c r="DM32">
        <f>281346</f>
        <v>281346</v>
      </c>
      <c r="DN32">
        <f>314941.5</f>
        <v>314941.5</v>
      </c>
      <c r="DO32">
        <f>286405.25</f>
        <v>286405.25</v>
      </c>
      <c r="DP32">
        <f>279514</f>
        <v>279514</v>
      </c>
      <c r="DQ32">
        <f>248525.5</f>
        <v>248525.5</v>
      </c>
      <c r="DR32">
        <f>270968.75</f>
        <v>270968.75</v>
      </c>
      <c r="DS32">
        <f>260401</f>
        <v>260401</v>
      </c>
      <c r="DT32">
        <f>279868.25</f>
        <v>279868.25</v>
      </c>
      <c r="DU32">
        <f>274215</f>
        <v>274215</v>
      </c>
      <c r="DV32">
        <f>256438.5</f>
        <v>256438.5</v>
      </c>
      <c r="DW32">
        <f>247348.5</f>
        <v>247348.5</v>
      </c>
      <c r="DX32">
        <f>221028</f>
        <v>221028</v>
      </c>
      <c r="DY32">
        <f>210669.25</f>
        <v>210669.25</v>
      </c>
      <c r="DZ32">
        <f>201837.25</f>
        <v>201837.25</v>
      </c>
      <c r="EA32">
        <f>207244.25</f>
        <v>207244.25</v>
      </c>
      <c r="EB32">
        <f>219315.25</f>
        <v>219315.25</v>
      </c>
      <c r="EC32">
        <f>207815.75</f>
        <v>207815.75</v>
      </c>
      <c r="ED32">
        <f>227233.5</f>
        <v>227233.5</v>
      </c>
      <c r="EE32">
        <f>224901.75</f>
        <v>224901.75</v>
      </c>
      <c r="EF32">
        <f>226981.5</f>
        <v>226981.5</v>
      </c>
      <c r="EG32">
        <f>266976</f>
        <v>266976</v>
      </c>
      <c r="EH32">
        <f>241415.5</f>
        <v>241415.5</v>
      </c>
      <c r="EI32">
        <f>257675.25</f>
        <v>257675.25</v>
      </c>
      <c r="EJ32">
        <f>265559.25</f>
        <v>265559.25</v>
      </c>
      <c r="EK32">
        <f>239329</f>
        <v>239329</v>
      </c>
      <c r="EL32">
        <f>260893.5</f>
        <v>260893.5</v>
      </c>
      <c r="EM32">
        <f>245933.25</f>
        <v>245933.25</v>
      </c>
      <c r="EN32">
        <f>240035.25</f>
        <v>240035.25</v>
      </c>
      <c r="EO32">
        <f>228151.25</f>
        <v>228151.25</v>
      </c>
      <c r="EP32">
        <f>240110.5</f>
        <v>240110.5</v>
      </c>
      <c r="EQ32">
        <f>241120.5</f>
        <v>241120.5</v>
      </c>
      <c r="ER32">
        <f>239890</f>
        <v>239890</v>
      </c>
      <c r="ES32">
        <f>270538</f>
        <v>270538</v>
      </c>
      <c r="ET32">
        <f>221354.75</f>
        <v>221354.75</v>
      </c>
      <c r="EU32">
        <f>258820.5</f>
        <v>258820.5</v>
      </c>
      <c r="EV32">
        <f>252679</f>
        <v>252679</v>
      </c>
      <c r="EW32">
        <f>223839.5</f>
        <v>223839.5</v>
      </c>
      <c r="EX32">
        <f>236890.5</f>
        <v>236890.5</v>
      </c>
      <c r="EY32">
        <f>219281</f>
        <v>219281</v>
      </c>
      <c r="EZ32">
        <f>252230.25</f>
        <v>252230.25</v>
      </c>
      <c r="FA32">
        <f>218726.5</f>
        <v>218726.5</v>
      </c>
      <c r="FB32">
        <f>220533.75</f>
        <v>220533.75</v>
      </c>
      <c r="FC32">
        <f>237524.5</f>
        <v>237524.5</v>
      </c>
      <c r="FD32">
        <f>240570</f>
        <v>240570</v>
      </c>
      <c r="FE32">
        <f>265489.75</f>
        <v>265489.75</v>
      </c>
      <c r="FF32">
        <f>237815.5</f>
        <v>237815.5</v>
      </c>
      <c r="FG32">
        <f>240604.5</f>
        <v>240604.5</v>
      </c>
      <c r="FH32">
        <f>234230</f>
        <v>234230</v>
      </c>
      <c r="FI32">
        <f>231674.75</f>
        <v>231674.75</v>
      </c>
      <c r="FJ32">
        <f>246871.25</f>
        <v>246871.25</v>
      </c>
      <c r="FK32">
        <f>225196.25</f>
        <v>225196.25</v>
      </c>
      <c r="FL32">
        <f>232148.25</f>
        <v>232148.25</v>
      </c>
      <c r="FM32">
        <f>220375.5</f>
        <v>220375.5</v>
      </c>
      <c r="FN32">
        <f>228516</f>
        <v>228516</v>
      </c>
      <c r="FO32">
        <f>229624.25</f>
        <v>229624.25</v>
      </c>
      <c r="FP32">
        <f>236155.25</f>
        <v>236155.25</v>
      </c>
      <c r="FQ32">
        <f>238567.25</f>
        <v>238567.25</v>
      </c>
    </row>
    <row r="33" spans="1:173" x14ac:dyDescent="0.25">
      <c r="A33" t="str">
        <f>"    Port of Houston (TEU)"</f>
        <v xml:space="preserve">    Port of Houston (TEU)</v>
      </c>
      <c r="B33" t="str">
        <f>"TEUHTOTL Index"</f>
        <v>TEUHTOTL Index</v>
      </c>
      <c r="C33" t="str">
        <f t="shared" si="9"/>
        <v>PX385</v>
      </c>
      <c r="D33" t="str">
        <f t="shared" si="10"/>
        <v>INTERVAL_SUM</v>
      </c>
      <c r="E33" t="str">
        <f t="shared" si="11"/>
        <v>Dynamic</v>
      </c>
      <c r="F33">
        <f ca="1">IF(AND(ISNUMBER($F$74),$B$51=1),$F$74,HLOOKUP(INDIRECT(ADDRESS(2,COLUMN())),OFFSET($CL$2,0,0,ROW()-1,84),ROW()-1,FALSE))</f>
        <v>325588</v>
      </c>
      <c r="G33">
        <f ca="1">IF(AND(ISNUMBER($G$74),$B$51=1),$G$74,HLOOKUP(INDIRECT(ADDRESS(2,COLUMN())),OFFSET($CL$2,0,0,ROW()-1,84),ROW()-1,FALSE))</f>
        <v>307624</v>
      </c>
      <c r="H33">
        <f ca="1">IF(AND(ISNUMBER($H$74),$B$51=1),$H$74,HLOOKUP(INDIRECT(ADDRESS(2,COLUMN())),OFFSET($CL$2,0,0,ROW()-1,84),ROW()-1,FALSE))</f>
        <v>344163</v>
      </c>
      <c r="I33">
        <f ca="1">IF(AND(ISNUMBER($I$74),$B$51=1),$I$74,HLOOKUP(INDIRECT(ADDRESS(2,COLUMN())),OFFSET($CL$2,0,0,ROW()-1,84),ROW()-1,FALSE))</f>
        <v>315983</v>
      </c>
      <c r="J33">
        <f ca="1">IF(AND(ISNUMBER($J$74),$B$51=1),$J$74,HLOOKUP(INDIRECT(ADDRESS(2,COLUMN())),OFFSET($CL$2,0,0,ROW()-1,84),ROW()-1,FALSE))</f>
        <v>300482</v>
      </c>
      <c r="K33">
        <f ca="1">IF(AND(ISNUMBER($K$74),$B$51=1),$K$74,HLOOKUP(INDIRECT(ADDRESS(2,COLUMN())),OFFSET($CL$2,0,0,ROW()-1,84),ROW()-1,FALSE))</f>
        <v>307879</v>
      </c>
      <c r="L33">
        <f ca="1">IF(AND(ISNUMBER($L$74),$B$51=1),$L$74,HLOOKUP(INDIRECT(ADDRESS(2,COLUMN())),OFFSET($CL$2,0,0,ROW()-1,84),ROW()-1,FALSE))</f>
        <v>300589</v>
      </c>
      <c r="M33">
        <f ca="1">IF(AND(ISNUMBER($M$74),$B$51=1),$M$74,HLOOKUP(INDIRECT(ADDRESS(2,COLUMN())),OFFSET($CL$2,0,0,ROW()-1,84),ROW()-1,FALSE))</f>
        <v>313452</v>
      </c>
      <c r="N33">
        <f ca="1">IF(AND(ISNUMBER($N$74),$B$51=1),$N$74,HLOOKUP(INDIRECT(ADDRESS(2,COLUMN())),OFFSET($CL$2,0,0,ROW()-1,84),ROW()-1,FALSE))</f>
        <v>319990</v>
      </c>
      <c r="O33">
        <f ca="1">IF(AND(ISNUMBER($O$74),$B$51=1),$O$74,HLOOKUP(INDIRECT(ADDRESS(2,COLUMN())),OFFSET($CL$2,0,0,ROW()-1,84),ROW()-1,FALSE))</f>
        <v>292027</v>
      </c>
      <c r="P33">
        <f ca="1">IF(AND(ISNUMBER($P$74),$B$51=1),$P$74,HLOOKUP(INDIRECT(ADDRESS(2,COLUMN())),OFFSET($CL$2,0,0,ROW()-1,84),ROW()-1,FALSE))</f>
        <v>348950</v>
      </c>
      <c r="Q33">
        <f ca="1">IF(AND(ISNUMBER($Q$74),$B$51=1),$Q$74,HLOOKUP(INDIRECT(ADDRESS(2,COLUMN())),OFFSET($CL$2,0,0,ROW()-1,84),ROW()-1,FALSE))</f>
        <v>371994</v>
      </c>
      <c r="R33">
        <f ca="1">IF(AND(ISNUMBER($R$74),$B$51=1),$R$74,HLOOKUP(INDIRECT(ADDRESS(2,COLUMN())),OFFSET($CL$2,0,0,ROW()-1,84),ROW()-1,FALSE))</f>
        <v>353524</v>
      </c>
      <c r="S33">
        <f ca="1">IF(AND(ISNUMBER($S$74),$B$51=1),$S$74,HLOOKUP(INDIRECT(ADDRESS(2,COLUMN())),OFFSET($CL$2,0,0,ROW()-1,84),ROW()-1,FALSE))</f>
        <v>382842</v>
      </c>
      <c r="T33">
        <f ca="1">IF(AND(ISNUMBER($T$74),$B$51=1),$T$74,HLOOKUP(INDIRECT(ADDRESS(2,COLUMN())),OFFSET($CL$2,0,0,ROW()-1,84),ROW()-1,FALSE))</f>
        <v>328498</v>
      </c>
      <c r="U33">
        <f ca="1">IF(AND(ISNUMBER($U$74),$B$51=1),$U$74,HLOOKUP(INDIRECT(ADDRESS(2,COLUMN())),OFFSET($CL$2,0,0,ROW()-1,84),ROW()-1,FALSE))</f>
        <v>323823</v>
      </c>
      <c r="V33">
        <f ca="1">IF(AND(ISNUMBER($V$74),$B$51=1),$V$74,HLOOKUP(INDIRECT(ADDRESS(2,COLUMN())),OFFSET($CL$2,0,0,ROW()-1,84),ROW()-1,FALSE))</f>
        <v>335366</v>
      </c>
      <c r="W33">
        <f ca="1">IF(AND(ISNUMBER($W$74),$B$51=1),$W$74,HLOOKUP(INDIRECT(ADDRESS(2,COLUMN())),OFFSET($CL$2,0,0,ROW()-1,84),ROW()-1,FALSE))</f>
        <v>334493</v>
      </c>
      <c r="X33">
        <f ca="1">IF(AND(ISNUMBER($X$74),$B$51=1),$X$74,HLOOKUP(INDIRECT(ADDRESS(2,COLUMN())),OFFSET($CL$2,0,0,ROW()-1,84),ROW()-1,FALSE))</f>
        <v>308557</v>
      </c>
      <c r="Y33">
        <f ca="1">IF(AND(ISNUMBER($Y$74),$B$51=1),$Y$74,HLOOKUP(INDIRECT(ADDRESS(2,COLUMN())),OFFSET($CL$2,0,0,ROW()-1,84),ROW()-1,FALSE))</f>
        <v>271399</v>
      </c>
      <c r="Z33">
        <f ca="1">IF(AND(ISNUMBER($Z$74),$B$51=1),$Z$74,HLOOKUP(INDIRECT(ADDRESS(2,COLUMN())),OFFSET($CL$2,0,0,ROW()-1,84),ROW()-1,FALSE))</f>
        <v>323427</v>
      </c>
      <c r="AA33">
        <f ca="1">IF(AND(ISNUMBER($AA$74),$B$51=1),$AA$74,HLOOKUP(INDIRECT(ADDRESS(2,COLUMN())),OFFSET($CL$2,0,0,ROW()-1,84),ROW()-1,FALSE))</f>
        <v>303204</v>
      </c>
      <c r="AB33">
        <f ca="1">IF(AND(ISNUMBER($AB$74),$B$51=1),$AB$74,HLOOKUP(INDIRECT(ADDRESS(2,COLUMN())),OFFSET($CL$2,0,0,ROW()-1,84),ROW()-1,FALSE))</f>
        <v>314576</v>
      </c>
      <c r="AC33">
        <f ca="1">IF(AND(ISNUMBER($AC$74),$B$51=1),$AC$74,HLOOKUP(INDIRECT(ADDRESS(2,COLUMN())),OFFSET($CL$2,0,0,ROW()-1,84),ROW()-1,FALSE))</f>
        <v>328486</v>
      </c>
      <c r="AD33">
        <f ca="1">IF(AND(ISNUMBER($AD$74),$B$51=1),$AD$74,HLOOKUP(INDIRECT(ADDRESS(2,COLUMN())),OFFSET($CL$2,0,0,ROW()-1,84),ROW()-1,FALSE))</f>
        <v>281500</v>
      </c>
      <c r="AE33">
        <f ca="1">IF(AND(ISNUMBER($AE$74),$B$51=1),$AE$74,HLOOKUP(INDIRECT(ADDRESS(2,COLUMN())),OFFSET($CL$2,0,0,ROW()-1,84),ROW()-1,FALSE))</f>
        <v>320086</v>
      </c>
      <c r="AF33">
        <f ca="1">IF(AND(ISNUMBER($AF$74),$B$51=1),$AF$74,HLOOKUP(INDIRECT(ADDRESS(2,COLUMN())),OFFSET($CL$2,0,0,ROW()-1,84),ROW()-1,FALSE))</f>
        <v>297621</v>
      </c>
      <c r="AG33">
        <f ca="1">IF(AND(ISNUMBER($AG$74),$B$51=1),$AG$74,HLOOKUP(INDIRECT(ADDRESS(2,COLUMN())),OFFSET($CL$2,0,0,ROW()-1,84),ROW()-1,FALSE))</f>
        <v>292587</v>
      </c>
      <c r="AH33">
        <f ca="1">IF(AND(ISNUMBER($AH$74),$B$51=1),$AH$74,HLOOKUP(INDIRECT(ADDRESS(2,COLUMN())),OFFSET($CL$2,0,0,ROW()-1,84),ROW()-1,FALSE))</f>
        <v>288127</v>
      </c>
      <c r="AI33">
        <f ca="1">IF(AND(ISNUMBER($AI$74),$B$51=1),$AI$74,HLOOKUP(INDIRECT(ADDRESS(2,COLUMN())),OFFSET($CL$2,0,0,ROW()-1,84),ROW()-1,FALSE))</f>
        <v>275840</v>
      </c>
      <c r="AJ33">
        <f ca="1">IF(AND(ISNUMBER($AJ$74),$B$51=1),$AJ$74,HLOOKUP(INDIRECT(ADDRESS(2,COLUMN())),OFFSET($CL$2,0,0,ROW()-1,84),ROW()-1,FALSE))</f>
        <v>297397</v>
      </c>
      <c r="AK33">
        <f ca="1">IF(AND(ISNUMBER($AK$74),$B$51=1),$AK$74,HLOOKUP(INDIRECT(ADDRESS(2,COLUMN())),OFFSET($CL$2,0,0,ROW()-1,84),ROW()-1,FALSE))</f>
        <v>198763</v>
      </c>
      <c r="AL33">
        <f ca="1">IF(AND(ISNUMBER($AL$74),$B$51=1),$AL$74,HLOOKUP(INDIRECT(ADDRESS(2,COLUMN())),OFFSET($CL$2,0,0,ROW()-1,84),ROW()-1,FALSE))</f>
        <v>255039</v>
      </c>
      <c r="AM33">
        <f ca="1">IF(AND(ISNUMBER($AM$74),$B$51=1),$AM$74,HLOOKUP(INDIRECT(ADDRESS(2,COLUMN())),OFFSET($CL$2,0,0,ROW()-1,84),ROW()-1,FALSE))</f>
        <v>264626</v>
      </c>
      <c r="AN33">
        <f ca="1">IF(AND(ISNUMBER($AN$74),$B$51=1),$AN$74,HLOOKUP(INDIRECT(ADDRESS(2,COLUMN())),OFFSET($CL$2,0,0,ROW()-1,84),ROW()-1,FALSE))</f>
        <v>262930</v>
      </c>
      <c r="AO33">
        <f ca="1">IF(AND(ISNUMBER($AO$74),$B$51=1),$AO$74,HLOOKUP(INDIRECT(ADDRESS(2,COLUMN())),OFFSET($CL$2,0,0,ROW()-1,84),ROW()-1,FALSE))</f>
        <v>296210</v>
      </c>
      <c r="AP33">
        <f ca="1">IF(AND(ISNUMBER($AP$74),$B$51=1),$AP$74,HLOOKUP(INDIRECT(ADDRESS(2,COLUMN())),OFFSET($CL$2,0,0,ROW()-1,84),ROW()-1,FALSE))</f>
        <v>254405</v>
      </c>
      <c r="AQ33">
        <f ca="1">IF(AND(ISNUMBER($AQ$74),$B$51=1),$AQ$74,HLOOKUP(INDIRECT(ADDRESS(2,COLUMN())),OFFSET($CL$2,0,0,ROW()-1,84),ROW()-1,FALSE))</f>
        <v>248630</v>
      </c>
      <c r="AR33">
        <f ca="1">IF(AND(ISNUMBER($AR$74),$B$51=1),$AR$74,HLOOKUP(INDIRECT(ADDRESS(2,COLUMN())),OFFSET($CL$2,0,0,ROW()-1,84),ROW()-1,FALSE))</f>
        <v>234737</v>
      </c>
      <c r="AS33">
        <f ca="1">IF(AND(ISNUMBER($AS$74),$B$51=1),$AS$74,HLOOKUP(INDIRECT(ADDRESS(2,COLUMN())),OFFSET($CL$2,0,0,ROW()-1,84),ROW()-1,FALSE))</f>
        <v>210932</v>
      </c>
      <c r="AT33">
        <f ca="1">IF(AND(ISNUMBER($AT$74),$B$51=1),$AT$74,HLOOKUP(INDIRECT(ADDRESS(2,COLUMN())),OFFSET($CL$2,0,0,ROW()-1,84),ROW()-1,FALSE))</f>
        <v>222250</v>
      </c>
      <c r="AU33">
        <f ca="1">IF(AND(ISNUMBER($AU$74),$B$51=1),$AU$74,HLOOKUP(INDIRECT(ADDRESS(2,COLUMN())),OFFSET($CL$2,0,0,ROW()-1,84),ROW()-1,FALSE))</f>
        <v>221540</v>
      </c>
      <c r="AV33">
        <f ca="1">IF(AND(ISNUMBER($AV$74),$B$51=1),$AV$74,HLOOKUP(INDIRECT(ADDRESS(2,COLUMN())),OFFSET($CL$2,0,0,ROW()-1,84),ROW()-1,FALSE))</f>
        <v>248840</v>
      </c>
      <c r="AW33">
        <f ca="1">IF(AND(ISNUMBER($AW$74),$B$51=1),$AW$74,HLOOKUP(INDIRECT(ADDRESS(2,COLUMN())),OFFSET($CL$2,0,0,ROW()-1,84),ROW()-1,FALSE))</f>
        <v>255474</v>
      </c>
      <c r="AX33">
        <f ca="1">IF(AND(ISNUMBER($AX$74),$B$51=1),$AX$74,HLOOKUP(INDIRECT(ADDRESS(2,COLUMN())),OFFSET($CL$2,0,0,ROW()-1,84),ROW()-1,FALSE))</f>
        <v>268773</v>
      </c>
      <c r="AY33">
        <f ca="1">IF(AND(ISNUMBER($AY$74),$B$51=1),$AY$74,HLOOKUP(INDIRECT(ADDRESS(2,COLUMN())),OFFSET($CL$2,0,0,ROW()-1,84),ROW()-1,FALSE))</f>
        <v>250946</v>
      </c>
      <c r="AZ33">
        <f ca="1">IF(AND(ISNUMBER($AZ$74),$B$51=1),$AZ$74,HLOOKUP(INDIRECT(ADDRESS(2,COLUMN())),OFFSET($CL$2,0,0,ROW()-1,84),ROW()-1,FALSE))</f>
        <v>245738</v>
      </c>
      <c r="BA33">
        <f ca="1">IF(AND(ISNUMBER($BA$74),$B$51=1),$BA$74,HLOOKUP(INDIRECT(ADDRESS(2,COLUMN())),OFFSET($CL$2,0,0,ROW()-1,84),ROW()-1,FALSE))</f>
        <v>258571</v>
      </c>
      <c r="BB33">
        <f ca="1">IF(AND(ISNUMBER($BB$74),$B$51=1),$BB$74,HLOOKUP(INDIRECT(ADDRESS(2,COLUMN())),OFFSET($CL$2,0,0,ROW()-1,84),ROW()-1,FALSE))</f>
        <v>251524</v>
      </c>
      <c r="BC33">
        <f ca="1">IF(AND(ISNUMBER($BC$74),$B$51=1),$BC$74,HLOOKUP(INDIRECT(ADDRESS(2,COLUMN())),OFFSET($CL$2,0,0,ROW()-1,84),ROW()-1,FALSE))</f>
        <v>259110</v>
      </c>
      <c r="BD33">
        <f ca="1">IF(AND(ISNUMBER($BD$74),$B$51=1),$BD$74,HLOOKUP(INDIRECT(ADDRESS(2,COLUMN())),OFFSET($CL$2,0,0,ROW()-1,84),ROW()-1,FALSE))</f>
        <v>259993</v>
      </c>
      <c r="BE33">
        <f ca="1">IF(AND(ISNUMBER($BE$74),$B$51=1),$BE$74,HLOOKUP(INDIRECT(ADDRESS(2,COLUMN())),OFFSET($CL$2,0,0,ROW()-1,84),ROW()-1,FALSE))</f>
        <v>251488</v>
      </c>
      <c r="BF33">
        <f ca="1">IF(AND(ISNUMBER($BF$74),$B$51=1),$BF$74,HLOOKUP(INDIRECT(ADDRESS(2,COLUMN())),OFFSET($CL$2,0,0,ROW()-1,84),ROW()-1,FALSE))</f>
        <v>263061</v>
      </c>
      <c r="BG33">
        <f ca="1">IF(AND(ISNUMBER($BG$74),$B$51=1),$BG$74,HLOOKUP(INDIRECT(ADDRESS(2,COLUMN())),OFFSET($CL$2,0,0,ROW()-1,84),ROW()-1,FALSE))</f>
        <v>252693</v>
      </c>
      <c r="BH33">
        <f ca="1">IF(AND(ISNUMBER($BH$74),$B$51=1),$BH$74,HLOOKUP(INDIRECT(ADDRESS(2,COLUMN())),OFFSET($CL$2,0,0,ROW()-1,84),ROW()-1,FALSE))</f>
        <v>280721</v>
      </c>
      <c r="BI33">
        <f ca="1">IF(AND(ISNUMBER($BI$74),$B$51=1),$BI$74,HLOOKUP(INDIRECT(ADDRESS(2,COLUMN())),OFFSET($CL$2,0,0,ROW()-1,84),ROW()-1,FALSE))</f>
        <v>198494</v>
      </c>
      <c r="BJ33">
        <f ca="1">IF(AND(ISNUMBER($BJ$74),$B$51=1),$BJ$74,HLOOKUP(INDIRECT(ADDRESS(2,COLUMN())),OFFSET($CL$2,0,0,ROW()-1,84),ROW()-1,FALSE))</f>
        <v>214952</v>
      </c>
      <c r="BK33">
        <f ca="1">IF(AND(ISNUMBER($BK$74),$B$51=1),$BK$74,HLOOKUP(INDIRECT(ADDRESS(2,COLUMN())),OFFSET($CL$2,0,0,ROW()-1,84),ROW()-1,FALSE))</f>
        <v>221358</v>
      </c>
      <c r="BL33">
        <f ca="1">IF(AND(ISNUMBER($BL$74),$B$51=1),$BL$74,HLOOKUP(INDIRECT(ADDRESS(2,COLUMN())),OFFSET($CL$2,0,0,ROW()-1,84),ROW()-1,FALSE))</f>
        <v>226343</v>
      </c>
      <c r="BM33">
        <f ca="1">IF(AND(ISNUMBER($BM$74),$B$51=1),$BM$74,HLOOKUP(INDIRECT(ADDRESS(2,COLUMN())),OFFSET($CL$2,0,0,ROW()-1,84),ROW()-1,FALSE))</f>
        <v>240982</v>
      </c>
      <c r="BN33">
        <f ca="1">IF(AND(ISNUMBER($BN$74),$B$51=1),$BN$74,HLOOKUP(INDIRECT(ADDRESS(2,COLUMN())),OFFSET($CL$2,0,0,ROW()-1,84),ROW()-1,FALSE))</f>
        <v>230331</v>
      </c>
      <c r="BO33">
        <f ca="1">IF(AND(ISNUMBER($BO$74),$B$51=1),$BO$74,HLOOKUP(INDIRECT(ADDRESS(2,COLUMN())),OFFSET($CL$2,0,0,ROW()-1,84),ROW()-1,FALSE))</f>
        <v>238644</v>
      </c>
      <c r="BP33">
        <f ca="1">IF(AND(ISNUMBER($BP$74),$B$51=1),$BP$74,HLOOKUP(INDIRECT(ADDRESS(2,COLUMN())),OFFSET($CL$2,0,0,ROW()-1,84),ROW()-1,FALSE))</f>
        <v>236032</v>
      </c>
      <c r="BQ33">
        <f ca="1">IF(AND(ISNUMBER($BQ$74),$B$51=1),$BQ$74,HLOOKUP(INDIRECT(ADDRESS(2,COLUMN())),OFFSET($CL$2,0,0,ROW()-1,84),ROW()-1,FALSE))</f>
        <v>223890</v>
      </c>
      <c r="BR33">
        <f ca="1">IF(AND(ISNUMBER($BR$74),$B$51=1),$BR$74,HLOOKUP(INDIRECT(ADDRESS(2,COLUMN())),OFFSET($CL$2,0,0,ROW()-1,84),ROW()-1,FALSE))</f>
        <v>245996</v>
      </c>
      <c r="BS33">
        <f ca="1">IF(AND(ISNUMBER($BS$74),$B$51=1),$BS$74,HLOOKUP(INDIRECT(ADDRESS(2,COLUMN())),OFFSET($CL$2,0,0,ROW()-1,84),ROW()-1,FALSE))</f>
        <v>218799</v>
      </c>
      <c r="BT33">
        <f ca="1">IF(AND(ISNUMBER($BT$74),$B$51=1),$BT$74,HLOOKUP(INDIRECT(ADDRESS(2,COLUMN())),OFFSET($CL$2,0,0,ROW()-1,84),ROW()-1,FALSE))</f>
        <v>229158</v>
      </c>
      <c r="BU33">
        <f ca="1">IF(AND(ISNUMBER($BU$74),$B$51=1),$BU$74,HLOOKUP(INDIRECT(ADDRESS(2,COLUMN())),OFFSET($CL$2,0,0,ROW()-1,84),ROW()-1,FALSE))</f>
        <v>198621</v>
      </c>
      <c r="BV33">
        <f ca="1">IF(AND(ISNUMBER($BV$74),$B$51=1),$BV$74,HLOOKUP(INDIRECT(ADDRESS(2,COLUMN())),OFFSET($CL$2,0,0,ROW()-1,84),ROW()-1,FALSE))</f>
        <v>189696</v>
      </c>
      <c r="BW33">
        <f ca="1">IF(AND(ISNUMBER($BW$74),$B$51=1),$BW$74,HLOOKUP(INDIRECT(ADDRESS(2,COLUMN())),OFFSET($CL$2,0,0,ROW()-1,84),ROW()-1,FALSE))</f>
        <v>208257</v>
      </c>
      <c r="BX33">
        <f ca="1">IF(AND(ISNUMBER($BX$74),$B$51=1),$BX$74,HLOOKUP(INDIRECT(ADDRESS(2,COLUMN())),OFFSET($CL$2,0,0,ROW()-1,84),ROW()-1,FALSE))</f>
        <v>195875</v>
      </c>
      <c r="BY33">
        <f ca="1">IF(AND(ISNUMBER($BY$74),$B$51=1),$BY$74,HLOOKUP(INDIRECT(ADDRESS(2,COLUMN())),OFFSET($CL$2,0,0,ROW()-1,84),ROW()-1,FALSE))</f>
        <v>223127</v>
      </c>
      <c r="BZ33">
        <f ca="1">IF(AND(ISNUMBER($BZ$74),$B$51=1),$BZ$74,HLOOKUP(INDIRECT(ADDRESS(2,COLUMN())),OFFSET($CL$2,0,0,ROW()-1,84),ROW()-1,FALSE))</f>
        <v>226483</v>
      </c>
      <c r="CA33">
        <f ca="1">IF(AND(ISNUMBER($CA$74),$B$51=1),$CA$74,HLOOKUP(INDIRECT(ADDRESS(2,COLUMN())),OFFSET($CL$2,0,0,ROW()-1,84),ROW()-1,FALSE))</f>
        <v>166353</v>
      </c>
      <c r="CB33">
        <f ca="1">IF(AND(ISNUMBER($CB$74),$B$51=1),$CB$74,HLOOKUP(INDIRECT(ADDRESS(2,COLUMN())),OFFSET($CL$2,0,0,ROW()-1,84),ROW()-1,FALSE))</f>
        <v>203010</v>
      </c>
      <c r="CC33">
        <f ca="1">IF(AND(ISNUMBER($CC$74),$B$51=1),$CC$74,HLOOKUP(INDIRECT(ADDRESS(2,COLUMN())),OFFSET($CL$2,0,0,ROW()-1,84),ROW()-1,FALSE))</f>
        <v>212843</v>
      </c>
      <c r="CD33">
        <f ca="1">IF(AND(ISNUMBER($CD$74),$B$51=1),$CD$74,HLOOKUP(INDIRECT(ADDRESS(2,COLUMN())),OFFSET($CL$2,0,0,ROW()-1,84),ROW()-1,FALSE))</f>
        <v>213893</v>
      </c>
      <c r="CE33">
        <f ca="1">IF(AND(ISNUMBER($CE$74),$B$51=1),$CE$74,HLOOKUP(INDIRECT(ADDRESS(2,COLUMN())),OFFSET($CL$2,0,0,ROW()-1,84),ROW()-1,FALSE))</f>
        <v>201804</v>
      </c>
      <c r="CF33">
        <f ca="1">IF(AND(ISNUMBER($CF$74),$B$51=1),$CF$74,HLOOKUP(INDIRECT(ADDRESS(2,COLUMN())),OFFSET($CL$2,0,0,ROW()-1,84),ROW()-1,FALSE))</f>
        <v>221661</v>
      </c>
      <c r="CG33">
        <f ca="1">IF(AND(ISNUMBER($CG$74),$B$51=1),$CG$74,HLOOKUP(INDIRECT(ADDRESS(2,COLUMN())),OFFSET($CL$2,0,0,ROW()-1,84),ROW()-1,FALSE))</f>
        <v>188861</v>
      </c>
      <c r="CH33">
        <f ca="1">IF(AND(ISNUMBER($CH$74),$B$51=1),$CH$74,HLOOKUP(INDIRECT(ADDRESS(2,COLUMN())),OFFSET($CL$2,0,0,ROW()-1,84),ROW()-1,FALSE))</f>
        <v>196940</v>
      </c>
      <c r="CI33">
        <f ca="1">IF(AND(ISNUMBER($CI$74),$B$51=1),$CI$74,HLOOKUP(INDIRECT(ADDRESS(2,COLUMN())),OFFSET($CL$2,0,0,ROW()-1,84),ROW()-1,FALSE))</f>
        <v>173256</v>
      </c>
      <c r="CJ33">
        <f ca="1">IF(AND(ISNUMBER($CJ$74),$B$51=1),$CJ$74,HLOOKUP(INDIRECT(ADDRESS(2,COLUMN())),OFFSET($CL$2,0,0,ROW()-1,84),ROW()-1,FALSE))</f>
        <v>178693</v>
      </c>
      <c r="CK33">
        <f ca="1">IF(AND(ISNUMBER($CK$74),$B$51=1),$CK$74,HLOOKUP(INDIRECT(ADDRESS(2,COLUMN())),OFFSET($CL$2,0,0,ROW()-1,84),ROW()-1,FALSE))</f>
        <v>184255</v>
      </c>
      <c r="CL33">
        <f>325588</f>
        <v>325588</v>
      </c>
      <c r="CM33">
        <f>307624</f>
        <v>307624</v>
      </c>
      <c r="CN33">
        <f>344163</f>
        <v>344163</v>
      </c>
      <c r="CO33">
        <f>315983</f>
        <v>315983</v>
      </c>
      <c r="CP33">
        <f>300482</f>
        <v>300482</v>
      </c>
      <c r="CQ33">
        <f>307879</f>
        <v>307879</v>
      </c>
      <c r="CR33">
        <f>300589</f>
        <v>300589</v>
      </c>
      <c r="CS33">
        <f>313452</f>
        <v>313452</v>
      </c>
      <c r="CT33">
        <f>319990</f>
        <v>319990</v>
      </c>
      <c r="CU33">
        <f>292027</f>
        <v>292027</v>
      </c>
      <c r="CV33">
        <f>348950</f>
        <v>348950</v>
      </c>
      <c r="CW33">
        <f>371994</f>
        <v>371994</v>
      </c>
      <c r="CX33">
        <f>353524</f>
        <v>353524</v>
      </c>
      <c r="CY33">
        <f>382842</f>
        <v>382842</v>
      </c>
      <c r="CZ33">
        <f>328498</f>
        <v>328498</v>
      </c>
      <c r="DA33">
        <f>323823</f>
        <v>323823</v>
      </c>
      <c r="DB33">
        <f>335366</f>
        <v>335366</v>
      </c>
      <c r="DC33">
        <f>334493</f>
        <v>334493</v>
      </c>
      <c r="DD33">
        <f>308557</f>
        <v>308557</v>
      </c>
      <c r="DE33">
        <f>271399</f>
        <v>271399</v>
      </c>
      <c r="DF33">
        <f>323427</f>
        <v>323427</v>
      </c>
      <c r="DG33">
        <f>303204</f>
        <v>303204</v>
      </c>
      <c r="DH33">
        <f>314576</f>
        <v>314576</v>
      </c>
      <c r="DI33">
        <f>328486</f>
        <v>328486</v>
      </c>
      <c r="DJ33">
        <f>281500</f>
        <v>281500</v>
      </c>
      <c r="DK33">
        <f>320086</f>
        <v>320086</v>
      </c>
      <c r="DL33">
        <f>297621</f>
        <v>297621</v>
      </c>
      <c r="DM33">
        <f>292587</f>
        <v>292587</v>
      </c>
      <c r="DN33">
        <f>288127</f>
        <v>288127</v>
      </c>
      <c r="DO33">
        <f>275840</f>
        <v>275840</v>
      </c>
      <c r="DP33">
        <f>297397</f>
        <v>297397</v>
      </c>
      <c r="DQ33">
        <f>198763</f>
        <v>198763</v>
      </c>
      <c r="DR33">
        <f>255039</f>
        <v>255039</v>
      </c>
      <c r="DS33">
        <f>264626</f>
        <v>264626</v>
      </c>
      <c r="DT33">
        <f>262930</f>
        <v>262930</v>
      </c>
      <c r="DU33">
        <f>296210</f>
        <v>296210</v>
      </c>
      <c r="DV33">
        <f>254405</f>
        <v>254405</v>
      </c>
      <c r="DW33">
        <f>248630</f>
        <v>248630</v>
      </c>
      <c r="DX33">
        <f>234737</f>
        <v>234737</v>
      </c>
      <c r="DY33">
        <f>210932</f>
        <v>210932</v>
      </c>
      <c r="DZ33">
        <f>222250</f>
        <v>222250</v>
      </c>
      <c r="EA33">
        <f>221540</f>
        <v>221540</v>
      </c>
      <c r="EB33">
        <f>248840</f>
        <v>248840</v>
      </c>
      <c r="EC33">
        <f>255474</f>
        <v>255474</v>
      </c>
      <c r="ED33">
        <f>268773</f>
        <v>268773</v>
      </c>
      <c r="EE33">
        <f>250946</f>
        <v>250946</v>
      </c>
      <c r="EF33">
        <f>245738</f>
        <v>245738</v>
      </c>
      <c r="EG33">
        <f>258571</f>
        <v>258571</v>
      </c>
      <c r="EH33">
        <f>251524</f>
        <v>251524</v>
      </c>
      <c r="EI33">
        <f>259110</f>
        <v>259110</v>
      </c>
      <c r="EJ33">
        <f>259993</f>
        <v>259993</v>
      </c>
      <c r="EK33">
        <f>251488</f>
        <v>251488</v>
      </c>
      <c r="EL33">
        <f>263061</f>
        <v>263061</v>
      </c>
      <c r="EM33">
        <f>252693</f>
        <v>252693</v>
      </c>
      <c r="EN33">
        <f>280721</f>
        <v>280721</v>
      </c>
      <c r="EO33">
        <f>198494</f>
        <v>198494</v>
      </c>
      <c r="EP33">
        <f>214952</f>
        <v>214952</v>
      </c>
      <c r="EQ33">
        <f>221358</f>
        <v>221358</v>
      </c>
      <c r="ER33">
        <f>226343</f>
        <v>226343</v>
      </c>
      <c r="ES33">
        <f>240982</f>
        <v>240982</v>
      </c>
      <c r="ET33">
        <f>230331</f>
        <v>230331</v>
      </c>
      <c r="EU33">
        <f>238644</f>
        <v>238644</v>
      </c>
      <c r="EV33">
        <f>236032</f>
        <v>236032</v>
      </c>
      <c r="EW33">
        <f>223890</f>
        <v>223890</v>
      </c>
      <c r="EX33">
        <f>245996</f>
        <v>245996</v>
      </c>
      <c r="EY33">
        <f>218799</f>
        <v>218799</v>
      </c>
      <c r="EZ33">
        <f>229158</f>
        <v>229158</v>
      </c>
      <c r="FA33">
        <f>198621</f>
        <v>198621</v>
      </c>
      <c r="FB33">
        <f>189696</f>
        <v>189696</v>
      </c>
      <c r="FC33">
        <f>208257</f>
        <v>208257</v>
      </c>
      <c r="FD33">
        <f>195875</f>
        <v>195875</v>
      </c>
      <c r="FE33">
        <f>223127</f>
        <v>223127</v>
      </c>
      <c r="FF33">
        <f>226483</f>
        <v>226483</v>
      </c>
      <c r="FG33">
        <f>166353</f>
        <v>166353</v>
      </c>
      <c r="FH33">
        <f>203010</f>
        <v>203010</v>
      </c>
      <c r="FI33">
        <f>212843</f>
        <v>212843</v>
      </c>
      <c r="FJ33">
        <f>213893</f>
        <v>213893</v>
      </c>
      <c r="FK33">
        <f>201804</f>
        <v>201804</v>
      </c>
      <c r="FL33">
        <f>221661</f>
        <v>221661</v>
      </c>
      <c r="FM33">
        <f>188861</f>
        <v>188861</v>
      </c>
      <c r="FN33">
        <f>196940</f>
        <v>196940</v>
      </c>
      <c r="FO33">
        <f>173256</f>
        <v>173256</v>
      </c>
      <c r="FP33">
        <f>178693</f>
        <v>178693</v>
      </c>
      <c r="FQ33">
        <f>184255</f>
        <v>184255</v>
      </c>
    </row>
    <row r="34" spans="1:173" x14ac:dyDescent="0.25">
      <c r="A34" t="str">
        <f>"    Port of Charleston (TEU)"</f>
        <v xml:space="preserve">    Port of Charleston (TEU)</v>
      </c>
      <c r="B34" t="str">
        <f>"POCHTOTL Index"</f>
        <v>POCHTOTL Index</v>
      </c>
      <c r="C34" t="str">
        <f t="shared" si="9"/>
        <v>PX385</v>
      </c>
      <c r="D34" t="str">
        <f t="shared" si="10"/>
        <v>INTERVAL_SUM</v>
      </c>
      <c r="E34" t="str">
        <f t="shared" si="11"/>
        <v>Dynamic</v>
      </c>
      <c r="F34">
        <f ca="1">IF(AND(ISNUMBER($F$75),$B$51=1),$F$75,HLOOKUP(INDIRECT(ADDRESS(2,COLUMN())),OFFSET($CL$2,0,0,ROW()-1,84),ROW()-1,FALSE))</f>
        <v>199208</v>
      </c>
      <c r="G34">
        <f ca="1">IF(AND(ISNUMBER($G$75),$B$51=1),$G$75,HLOOKUP(INDIRECT(ADDRESS(2,COLUMN())),OFFSET($CL$2,0,0,ROW()-1,84),ROW()-1,FALSE))</f>
        <v>203169</v>
      </c>
      <c r="H34">
        <f ca="1">IF(AND(ISNUMBER($H$75),$B$51=1),$H$75,HLOOKUP(INDIRECT(ADDRESS(2,COLUMN())),OFFSET($CL$2,0,0,ROW()-1,84),ROW()-1,FALSE))</f>
        <v>208134</v>
      </c>
      <c r="I34">
        <f ca="1">IF(AND(ISNUMBER($I$75),$B$51=1),$I$75,HLOOKUP(INDIRECT(ADDRESS(2,COLUMN())),OFFSET($CL$2,0,0,ROW()-1,84),ROW()-1,FALSE))</f>
        <v>203091</v>
      </c>
      <c r="J34">
        <f ca="1">IF(AND(ISNUMBER($J$75),$B$51=1),$J$75,HLOOKUP(INDIRECT(ADDRESS(2,COLUMN())),OFFSET($CL$2,0,0,ROW()-1,84),ROW()-1,FALSE))</f>
        <v>198824</v>
      </c>
      <c r="K34">
        <f ca="1">IF(AND(ISNUMBER($K$75),$B$51=1),$K$75,HLOOKUP(INDIRECT(ADDRESS(2,COLUMN())),OFFSET($CL$2,0,0,ROW()-1,84),ROW()-1,FALSE))</f>
        <v>214101</v>
      </c>
      <c r="L34">
        <f ca="1">IF(AND(ISNUMBER($L$75),$B$51=1),$L$75,HLOOKUP(INDIRECT(ADDRESS(2,COLUMN())),OFFSET($CL$2,0,0,ROW()-1,84),ROW()-1,FALSE))</f>
        <v>193085</v>
      </c>
      <c r="M34">
        <f ca="1">IF(AND(ISNUMBER($M$75),$B$51=1),$M$75,HLOOKUP(INDIRECT(ADDRESS(2,COLUMN())),OFFSET($CL$2,0,0,ROW()-1,84),ROW()-1,FALSE))</f>
        <v>201418</v>
      </c>
      <c r="N34">
        <f ca="1">IF(AND(ISNUMBER($N$75),$B$51=1),$N$75,HLOOKUP(INDIRECT(ADDRESS(2,COLUMN())),OFFSET($CL$2,0,0,ROW()-1,84),ROW()-1,FALSE))</f>
        <v>215238</v>
      </c>
      <c r="O34">
        <f ca="1">IF(AND(ISNUMBER($O$75),$B$51=1),$O$75,HLOOKUP(INDIRECT(ADDRESS(2,COLUMN())),OFFSET($CL$2,0,0,ROW()-1,84),ROW()-1,FALSE))</f>
        <v>219351</v>
      </c>
      <c r="P34">
        <f ca="1">IF(AND(ISNUMBER($P$75),$B$51=1),$P$75,HLOOKUP(INDIRECT(ADDRESS(2,COLUMN())),OFFSET($CL$2,0,0,ROW()-1,84),ROW()-1,FALSE))</f>
        <v>213073</v>
      </c>
      <c r="Q34">
        <f ca="1">IF(AND(ISNUMBER($Q$75),$B$51=1),$Q$75,HLOOKUP(INDIRECT(ADDRESS(2,COLUMN())),OFFSET($CL$2,0,0,ROW()-1,84),ROW()-1,FALSE))</f>
        <v>256879</v>
      </c>
      <c r="R34">
        <f ca="1">IF(AND(ISNUMBER($R$75),$B$51=1),$R$75,HLOOKUP(INDIRECT(ADDRESS(2,COLUMN())),OFFSET($CL$2,0,0,ROW()-1,84),ROW()-1,FALSE))</f>
        <v>226807</v>
      </c>
      <c r="S34">
        <f ca="1">IF(AND(ISNUMBER($S$75),$B$51=1),$S$75,HLOOKUP(INDIRECT(ADDRESS(2,COLUMN())),OFFSET($CL$2,0,0,ROW()-1,84),ROW()-1,FALSE))</f>
        <v>223411</v>
      </c>
      <c r="T34">
        <f ca="1">IF(AND(ISNUMBER($T$75),$B$51=1),$T$75,HLOOKUP(INDIRECT(ADDRESS(2,COLUMN())),OFFSET($CL$2,0,0,ROW()-1,84),ROW()-1,FALSE))</f>
        <v>216097</v>
      </c>
      <c r="U34">
        <f ca="1">IF(AND(ISNUMBER($U$75),$B$51=1),$U$75,HLOOKUP(INDIRECT(ADDRESS(2,COLUMN())),OFFSET($CL$2,0,0,ROW()-1,84),ROW()-1,FALSE))</f>
        <v>196225</v>
      </c>
      <c r="V34">
        <f ca="1">IF(AND(ISNUMBER($V$75),$B$51=1),$V$75,HLOOKUP(INDIRECT(ADDRESS(2,COLUMN())),OFFSET($CL$2,0,0,ROW()-1,84),ROW()-1,FALSE))</f>
        <v>255104</v>
      </c>
      <c r="W34">
        <f ca="1">IF(AND(ISNUMBER($W$75),$B$51=1),$W$75,HLOOKUP(INDIRECT(ADDRESS(2,COLUMN())),OFFSET($CL$2,0,0,ROW()-1,84),ROW()-1,FALSE))</f>
        <v>264099</v>
      </c>
      <c r="X34">
        <f ca="1">IF(AND(ISNUMBER($X$75),$B$51=1),$X$75,HLOOKUP(INDIRECT(ADDRESS(2,COLUMN())),OFFSET($CL$2,0,0,ROW()-1,84),ROW()-1,FALSE))</f>
        <v>264334</v>
      </c>
      <c r="Y34">
        <f ca="1">IF(AND(ISNUMBER($Y$75),$B$51=1),$Y$75,HLOOKUP(INDIRECT(ADDRESS(2,COLUMN())),OFFSET($CL$2,0,0,ROW()-1,84),ROW()-1,FALSE))</f>
        <v>230420</v>
      </c>
      <c r="Z34">
        <f ca="1">IF(AND(ISNUMBER($Z$75),$B$51=1),$Z$75,HLOOKUP(INDIRECT(ADDRESS(2,COLUMN())),OFFSET($CL$2,0,0,ROW()-1,84),ROW()-1,FALSE))</f>
        <v>226515</v>
      </c>
      <c r="AA34">
        <f ca="1">IF(AND(ISNUMBER($AA$75),$B$51=1),$AA$75,HLOOKUP(INDIRECT(ADDRESS(2,COLUMN())),OFFSET($CL$2,0,0,ROW()-1,84),ROW()-1,FALSE))</f>
        <v>246198</v>
      </c>
      <c r="AB34">
        <f ca="1">IF(AND(ISNUMBER($AB$75),$B$51=1),$AB$75,HLOOKUP(INDIRECT(ADDRESS(2,COLUMN())),OFFSET($CL$2,0,0,ROW()-1,84),ROW()-1,FALSE))</f>
        <v>250711</v>
      </c>
      <c r="AC34">
        <f ca="1">IF(AND(ISNUMBER($AC$75),$B$51=1),$AC$75,HLOOKUP(INDIRECT(ADDRESS(2,COLUMN())),OFFSET($CL$2,0,0,ROW()-1,84),ROW()-1,FALSE))</f>
        <v>234923</v>
      </c>
      <c r="AD34">
        <f ca="1">IF(AND(ISNUMBER($AD$75),$B$51=1),$AD$75,HLOOKUP(INDIRECT(ADDRESS(2,COLUMN())),OFFSET($CL$2,0,0,ROW()-1,84),ROW()-1,FALSE))</f>
        <v>205008</v>
      </c>
      <c r="AE34">
        <f ca="1">IF(AND(ISNUMBER($AE$75),$B$51=1),$AE$75,HLOOKUP(INDIRECT(ADDRESS(2,COLUMN())),OFFSET($CL$2,0,0,ROW()-1,84),ROW()-1,FALSE))</f>
        <v>234688</v>
      </c>
      <c r="AF34">
        <f ca="1">IF(AND(ISNUMBER($AF$75),$B$51=1),$AF$75,HLOOKUP(INDIRECT(ADDRESS(2,COLUMN())),OFFSET($CL$2,0,0,ROW()-1,84),ROW()-1,FALSE))</f>
        <v>244821</v>
      </c>
      <c r="AG34">
        <f ca="1">IF(AND(ISNUMBER($AG$75),$B$51=1),$AG$75,HLOOKUP(INDIRECT(ADDRESS(2,COLUMN())),OFFSET($CL$2,0,0,ROW()-1,84),ROW()-1,FALSE))</f>
        <v>231758</v>
      </c>
      <c r="AH34">
        <f ca="1">IF(AND(ISNUMBER($AH$75),$B$51=1),$AH$75,HLOOKUP(INDIRECT(ADDRESS(2,COLUMN())),OFFSET($CL$2,0,0,ROW()-1,84),ROW()-1,FALSE))</f>
        <v>230870</v>
      </c>
      <c r="AI34">
        <f ca="1">IF(AND(ISNUMBER($AI$75),$B$51=1),$AI$75,HLOOKUP(INDIRECT(ADDRESS(2,COLUMN())),OFFSET($CL$2,0,0,ROW()-1,84),ROW()-1,FALSE))</f>
        <v>225136</v>
      </c>
      <c r="AJ34">
        <f ca="1">IF(AND(ISNUMBER($AJ$75),$B$51=1),$AJ$75,HLOOKUP(INDIRECT(ADDRESS(2,COLUMN())),OFFSET($CL$2,0,0,ROW()-1,84),ROW()-1,FALSE))</f>
        <v>248796</v>
      </c>
      <c r="AK34">
        <f ca="1">IF(AND(ISNUMBER($AK$75),$B$51=1),$AK$75,HLOOKUP(INDIRECT(ADDRESS(2,COLUMN())),OFFSET($CL$2,0,0,ROW()-1,84),ROW()-1,FALSE))</f>
        <v>182269</v>
      </c>
      <c r="AL34">
        <f ca="1">IF(AND(ISNUMBER($AL$75),$B$51=1),$AL$75,HLOOKUP(INDIRECT(ADDRESS(2,COLUMN())),OFFSET($CL$2,0,0,ROW()-1,84),ROW()-1,FALSE))</f>
        <v>216265</v>
      </c>
      <c r="AM34">
        <f ca="1">IF(AND(ISNUMBER($AM$75),$B$51=1),$AM$75,HLOOKUP(INDIRECT(ADDRESS(2,COLUMN())),OFFSET($CL$2,0,0,ROW()-1,84),ROW()-1,FALSE))</f>
        <v>209606</v>
      </c>
      <c r="AN34">
        <f ca="1">IF(AND(ISNUMBER($AN$75),$B$51=1),$AN$75,HLOOKUP(INDIRECT(ADDRESS(2,COLUMN())),OFFSET($CL$2,0,0,ROW()-1,84),ROW()-1,FALSE))</f>
        <v>207066</v>
      </c>
      <c r="AO34">
        <f ca="1">IF(AND(ISNUMBER($AO$75),$B$51=1),$AO$75,HLOOKUP(INDIRECT(ADDRESS(2,COLUMN())),OFFSET($CL$2,0,0,ROW()-1,84),ROW()-1,FALSE))</f>
        <v>216196</v>
      </c>
      <c r="AP34">
        <f ca="1">IF(AND(ISNUMBER($AP$75),$B$51=1),$AP$75,HLOOKUP(INDIRECT(ADDRESS(2,COLUMN())),OFFSET($CL$2,0,0,ROW()-1,84),ROW()-1,FALSE))</f>
        <v>195101</v>
      </c>
      <c r="AQ34">
        <f ca="1">IF(AND(ISNUMBER($AQ$75),$B$51=1),$AQ$75,HLOOKUP(INDIRECT(ADDRESS(2,COLUMN())),OFFSET($CL$2,0,0,ROW()-1,84),ROW()-1,FALSE))</f>
        <v>208837</v>
      </c>
      <c r="AR34">
        <f ca="1">IF(AND(ISNUMBER($AR$75),$B$51=1),$AR$75,HLOOKUP(INDIRECT(ADDRESS(2,COLUMN())),OFFSET($CL$2,0,0,ROW()-1,84),ROW()-1,FALSE))</f>
        <v>176974</v>
      </c>
      <c r="AS34">
        <f ca="1">IF(AND(ISNUMBER($AS$75),$B$51=1),$AS$75,HLOOKUP(INDIRECT(ADDRESS(2,COLUMN())),OFFSET($CL$2,0,0,ROW()-1,84),ROW()-1,FALSE))</f>
        <v>156494</v>
      </c>
      <c r="AT34">
        <f ca="1">IF(AND(ISNUMBER($AT$75),$B$51=1),$AT$75,HLOOKUP(INDIRECT(ADDRESS(2,COLUMN())),OFFSET($CL$2,0,0,ROW()-1,84),ROW()-1,FALSE))</f>
        <v>169705</v>
      </c>
      <c r="AU34">
        <f ca="1">IF(AND(ISNUMBER($AU$75),$B$51=1),$AU$75,HLOOKUP(INDIRECT(ADDRESS(2,COLUMN())),OFFSET($CL$2,0,0,ROW()-1,84),ROW()-1,FALSE))</f>
        <v>176152</v>
      </c>
      <c r="AV34">
        <f ca="1">IF(AND(ISNUMBER($AV$75),$B$51=1),$AV$75,HLOOKUP(INDIRECT(ADDRESS(2,COLUMN())),OFFSET($CL$2,0,0,ROW()-1,84),ROW()-1,FALSE))</f>
        <v>185631</v>
      </c>
      <c r="AW34">
        <f ca="1">IF(AND(ISNUMBER($AW$75),$B$51=1),$AW$75,HLOOKUP(INDIRECT(ADDRESS(2,COLUMN())),OFFSET($CL$2,0,0,ROW()-1,84),ROW()-1,FALSE))</f>
        <v>197214</v>
      </c>
      <c r="AX34">
        <f ca="1">IF(AND(ISNUMBER($AX$75),$B$51=1),$AX$75,HLOOKUP(INDIRECT(ADDRESS(2,COLUMN())),OFFSET($CL$2,0,0,ROW()-1,84),ROW()-1,FALSE))</f>
        <v>211020</v>
      </c>
      <c r="AY34">
        <f ca="1">IF(AND(ISNUMBER($AY$75),$B$51=1),$AY$75,HLOOKUP(INDIRECT(ADDRESS(2,COLUMN())),OFFSET($CL$2,0,0,ROW()-1,84),ROW()-1,FALSE))</f>
        <v>187882</v>
      </c>
      <c r="AZ34">
        <f ca="1">IF(AND(ISNUMBER($AZ$75),$B$51=1),$AZ$75,HLOOKUP(INDIRECT(ADDRESS(2,COLUMN())),OFFSET($CL$2,0,0,ROW()-1,84),ROW()-1,FALSE))</f>
        <v>184928</v>
      </c>
      <c r="BA34">
        <f ca="1">IF(AND(ISNUMBER($BA$75),$B$51=1),$BA$75,HLOOKUP(INDIRECT(ADDRESS(2,COLUMN())),OFFSET($CL$2,0,0,ROW()-1,84),ROW()-1,FALSE))</f>
        <v>217360</v>
      </c>
      <c r="BB34">
        <f ca="1">IF(AND(ISNUMBER($BB$75),$B$51=1),$BB$75,HLOOKUP(INDIRECT(ADDRESS(2,COLUMN())),OFFSET($CL$2,0,0,ROW()-1,84),ROW()-1,FALSE))</f>
        <v>194948</v>
      </c>
      <c r="BC34">
        <f ca="1">IF(AND(ISNUMBER($BC$75),$B$51=1),$BC$75,HLOOKUP(INDIRECT(ADDRESS(2,COLUMN())),OFFSET($CL$2,0,0,ROW()-1,84),ROW()-1,FALSE))</f>
        <v>233110</v>
      </c>
      <c r="BD34">
        <f ca="1">IF(AND(ISNUMBER($BD$75),$B$51=1),$BD$75,HLOOKUP(INDIRECT(ADDRESS(2,COLUMN())),OFFSET($CL$2,0,0,ROW()-1,84),ROW()-1,FALSE))</f>
        <v>210542</v>
      </c>
      <c r="BE34">
        <f ca="1">IF(AND(ISNUMBER($BE$75),$B$51=1),$BE$75,HLOOKUP(INDIRECT(ADDRESS(2,COLUMN())),OFFSET($CL$2,0,0,ROW()-1,84),ROW()-1,FALSE))</f>
        <v>200406</v>
      </c>
      <c r="BF34">
        <f ca="1">IF(AND(ISNUMBER($BF$75),$B$51=1),$BF$75,HLOOKUP(INDIRECT(ADDRESS(2,COLUMN())),OFFSET($CL$2,0,0,ROW()-1,84),ROW()-1,FALSE))</f>
        <v>204457</v>
      </c>
      <c r="BG34">
        <f ca="1">IF(AND(ISNUMBER($BG$75),$B$51=1),$BG$75,HLOOKUP(INDIRECT(ADDRESS(2,COLUMN())),OFFSET($CL$2,0,0,ROW()-1,84),ROW()-1,FALSE))</f>
        <v>204621</v>
      </c>
      <c r="BH34">
        <f ca="1">IF(AND(ISNUMBER($BH$75),$B$51=1),$BH$75,HLOOKUP(INDIRECT(ADDRESS(2,COLUMN())),OFFSET($CL$2,0,0,ROW()-1,84),ROW()-1,FALSE))</f>
        <v>214113</v>
      </c>
      <c r="BI34">
        <f ca="1">IF(AND(ISNUMBER($BI$75),$B$51=1),$BI$75,HLOOKUP(INDIRECT(ADDRESS(2,COLUMN())),OFFSET($CL$2,0,0,ROW()-1,84),ROW()-1,FALSE))</f>
        <v>178131</v>
      </c>
      <c r="BJ34">
        <f ca="1">IF(AND(ISNUMBER($BJ$75),$B$51=1),$BJ$75,HLOOKUP(INDIRECT(ADDRESS(2,COLUMN())),OFFSET($CL$2,0,0,ROW()-1,84),ROW()-1,FALSE))</f>
        <v>205689</v>
      </c>
      <c r="BK34">
        <f ca="1">IF(AND(ISNUMBER($BK$75),$B$51=1),$BK$75,HLOOKUP(INDIRECT(ADDRESS(2,COLUMN())),OFFSET($CL$2,0,0,ROW()-1,84),ROW()-1,FALSE))</f>
        <v>199701</v>
      </c>
      <c r="BL34">
        <f ca="1">IF(AND(ISNUMBER($BL$75),$B$51=1),$BL$75,HLOOKUP(INDIRECT(ADDRESS(2,COLUMN())),OFFSET($CL$2,0,0,ROW()-1,84),ROW()-1,FALSE))</f>
        <v>188583</v>
      </c>
      <c r="BM34">
        <f ca="1">IF(AND(ISNUMBER($BM$75),$B$51=1),$BM$75,HLOOKUP(INDIRECT(ADDRESS(2,COLUMN())),OFFSET($CL$2,0,0,ROW()-1,84),ROW()-1,FALSE))</f>
        <v>217035</v>
      </c>
      <c r="BN34">
        <f ca="1">IF(AND(ISNUMBER($BN$75),$B$51=1),$BN$75,HLOOKUP(INDIRECT(ADDRESS(2,COLUMN())),OFFSET($CL$2,0,0,ROW()-1,84),ROW()-1,FALSE))</f>
        <v>173226</v>
      </c>
      <c r="BO34">
        <f ca="1">IF(AND(ISNUMBER($BO$75),$B$51=1),$BO$75,HLOOKUP(INDIRECT(ADDRESS(2,COLUMN())),OFFSET($CL$2,0,0,ROW()-1,84),ROW()-1,FALSE))</f>
        <v>206541</v>
      </c>
      <c r="BP34">
        <f ca="1">IF(AND(ISNUMBER($BP$75),$B$51=1),$BP$75,HLOOKUP(INDIRECT(ADDRESS(2,COLUMN())),OFFSET($CL$2,0,0,ROW()-1,84),ROW()-1,FALSE))</f>
        <v>200594</v>
      </c>
      <c r="BQ34">
        <f ca="1">IF(AND(ISNUMBER($BQ$75),$B$51=1),$BQ$75,HLOOKUP(INDIRECT(ADDRESS(2,COLUMN())),OFFSET($CL$2,0,0,ROW()-1,84),ROW()-1,FALSE))</f>
        <v>201163</v>
      </c>
      <c r="BR34">
        <f ca="1">IF(AND(ISNUMBER($BR$75),$B$51=1),$BR$75,HLOOKUP(INDIRECT(ADDRESS(2,COLUMN())),OFFSET($CL$2,0,0,ROW()-1,84),ROW()-1,FALSE))</f>
        <v>197437</v>
      </c>
      <c r="BS34">
        <f ca="1">IF(AND(ISNUMBER($BS$75),$B$51=1),$BS$75,HLOOKUP(INDIRECT(ADDRESS(2,COLUMN())),OFFSET($CL$2,0,0,ROW()-1,84),ROW()-1,FALSE))</f>
        <v>196439</v>
      </c>
      <c r="BT34">
        <f ca="1">IF(AND(ISNUMBER($BT$75),$B$51=1),$BT$75,HLOOKUP(INDIRECT(ADDRESS(2,COLUMN())),OFFSET($CL$2,0,0,ROW()-1,84),ROW()-1,FALSE))</f>
        <v>199659</v>
      </c>
      <c r="BU34">
        <f ca="1">IF(AND(ISNUMBER($BU$75),$B$51=1),$BU$75,HLOOKUP(INDIRECT(ADDRESS(2,COLUMN())),OFFSET($CL$2,0,0,ROW()-1,84),ROW()-1,FALSE))</f>
        <v>168480</v>
      </c>
      <c r="BV34">
        <f ca="1">IF(AND(ISNUMBER($BV$75),$B$51=1),$BV$75,HLOOKUP(INDIRECT(ADDRESS(2,COLUMN())),OFFSET($CL$2,0,0,ROW()-1,84),ROW()-1,FALSE))</f>
        <v>167398</v>
      </c>
      <c r="BW34">
        <f ca="1">IF(AND(ISNUMBER($BW$75),$B$51=1),$BW$75,HLOOKUP(INDIRECT(ADDRESS(2,COLUMN())),OFFSET($CL$2,0,0,ROW()-1,84),ROW()-1,FALSE))</f>
        <v>182884</v>
      </c>
      <c r="BX34">
        <f ca="1">IF(AND(ISNUMBER($BX$75),$B$51=1),$BX$75,HLOOKUP(INDIRECT(ADDRESS(2,COLUMN())),OFFSET($CL$2,0,0,ROW()-1,84),ROW()-1,FALSE))</f>
        <v>163592</v>
      </c>
      <c r="BY34">
        <f ca="1">IF(AND(ISNUMBER($BY$75),$B$51=1),$BY$75,HLOOKUP(INDIRECT(ADDRESS(2,COLUMN())),OFFSET($CL$2,0,0,ROW()-1,84),ROW()-1,FALSE))</f>
        <v>182827</v>
      </c>
      <c r="BZ34">
        <f ca="1">IF(AND(ISNUMBER($BZ$75),$B$51=1),$BZ$75,HLOOKUP(INDIRECT(ADDRESS(2,COLUMN())),OFFSET($CL$2,0,0,ROW()-1,84),ROW()-1,FALSE))</f>
        <v>179856</v>
      </c>
      <c r="CA34">
        <f ca="1">IF(AND(ISNUMBER($CA$75),$B$51=1),$CA$75,HLOOKUP(INDIRECT(ADDRESS(2,COLUMN())),OFFSET($CL$2,0,0,ROW()-1,84),ROW()-1,FALSE))</f>
        <v>177728</v>
      </c>
      <c r="CB34">
        <f ca="1">IF(AND(ISNUMBER($CB$75),$B$51=1),$CB$75,HLOOKUP(INDIRECT(ADDRESS(2,COLUMN())),OFFSET($CL$2,0,0,ROW()-1,84),ROW()-1,FALSE))</f>
        <v>182411</v>
      </c>
      <c r="CC34">
        <f ca="1">IF(AND(ISNUMBER($CC$75),$B$51=1),$CC$75,HLOOKUP(INDIRECT(ADDRESS(2,COLUMN())),OFFSET($CL$2,0,0,ROW()-1,84),ROW()-1,FALSE))</f>
        <v>183237</v>
      </c>
      <c r="CD34">
        <f ca="1">IF(AND(ISNUMBER($CD$75),$B$51=1),$CD$75,HLOOKUP(INDIRECT(ADDRESS(2,COLUMN())),OFFSET($CL$2,0,0,ROW()-1,84),ROW()-1,FALSE))</f>
        <v>182452</v>
      </c>
      <c r="CE34">
        <f ca="1">IF(AND(ISNUMBER($CE$75),$B$51=1),$CE$75,HLOOKUP(INDIRECT(ADDRESS(2,COLUMN())),OFFSET($CL$2,0,0,ROW()-1,84),ROW()-1,FALSE))</f>
        <v>189315</v>
      </c>
      <c r="CF34">
        <f ca="1">IF(AND(ISNUMBER($CF$75),$B$51=1),$CF$75,HLOOKUP(INDIRECT(ADDRESS(2,COLUMN())),OFFSET($CL$2,0,0,ROW()-1,84),ROW()-1,FALSE))</f>
        <v>192411</v>
      </c>
      <c r="CG34">
        <f ca="1">IF(AND(ISNUMBER($CG$75),$B$51=1),$CG$75,HLOOKUP(INDIRECT(ADDRESS(2,COLUMN())),OFFSET($CL$2,0,0,ROW()-1,84),ROW()-1,FALSE))</f>
        <v>175820</v>
      </c>
      <c r="CH34">
        <f ca="1">IF(AND(ISNUMBER($CH$75),$B$51=1),$CH$75,HLOOKUP(INDIRECT(ADDRESS(2,COLUMN())),OFFSET($CL$2,0,0,ROW()-1,84),ROW()-1,FALSE))</f>
        <v>185018</v>
      </c>
      <c r="CI34">
        <f ca="1">IF(AND(ISNUMBER($CI$75),$B$51=1),$CI$75,HLOOKUP(INDIRECT(ADDRESS(2,COLUMN())),OFFSET($CL$2,0,0,ROW()-1,84),ROW()-1,FALSE))</f>
        <v>164480</v>
      </c>
      <c r="CJ34">
        <f ca="1">IF(AND(ISNUMBER($CJ$75),$B$51=1),$CJ$75,HLOOKUP(INDIRECT(ADDRESS(2,COLUMN())),OFFSET($CL$2,0,0,ROW()-1,84),ROW()-1,FALSE))</f>
        <v>175217</v>
      </c>
      <c r="CK34">
        <f ca="1">IF(AND(ISNUMBER($CK$75),$B$51=1),$CK$75,HLOOKUP(INDIRECT(ADDRESS(2,COLUMN())),OFFSET($CL$2,0,0,ROW()-1,84),ROW()-1,FALSE))</f>
        <v>169477</v>
      </c>
      <c r="CL34">
        <f>199208</f>
        <v>199208</v>
      </c>
      <c r="CM34">
        <f>203169</f>
        <v>203169</v>
      </c>
      <c r="CN34">
        <f>208134</f>
        <v>208134</v>
      </c>
      <c r="CO34">
        <f>203091</f>
        <v>203091</v>
      </c>
      <c r="CP34">
        <f>198824</f>
        <v>198824</v>
      </c>
      <c r="CQ34">
        <f>214101</f>
        <v>214101</v>
      </c>
      <c r="CR34">
        <f>193085</f>
        <v>193085</v>
      </c>
      <c r="CS34">
        <f>201418</f>
        <v>201418</v>
      </c>
      <c r="CT34">
        <f>215238</f>
        <v>215238</v>
      </c>
      <c r="CU34">
        <f>219351</f>
        <v>219351</v>
      </c>
      <c r="CV34">
        <f>213073</f>
        <v>213073</v>
      </c>
      <c r="CW34">
        <f>256879</f>
        <v>256879</v>
      </c>
      <c r="CX34">
        <f>226807</f>
        <v>226807</v>
      </c>
      <c r="CY34">
        <f>223411</f>
        <v>223411</v>
      </c>
      <c r="CZ34">
        <f>216097</f>
        <v>216097</v>
      </c>
      <c r="DA34">
        <f>196225</f>
        <v>196225</v>
      </c>
      <c r="DB34">
        <f>255104</f>
        <v>255104</v>
      </c>
      <c r="DC34">
        <f>264099</f>
        <v>264099</v>
      </c>
      <c r="DD34">
        <f>264334</f>
        <v>264334</v>
      </c>
      <c r="DE34">
        <f>230420</f>
        <v>230420</v>
      </c>
      <c r="DF34">
        <f>226515</f>
        <v>226515</v>
      </c>
      <c r="DG34">
        <f>246198</f>
        <v>246198</v>
      </c>
      <c r="DH34">
        <f>250711</f>
        <v>250711</v>
      </c>
      <c r="DI34">
        <f>234923</f>
        <v>234923</v>
      </c>
      <c r="DJ34">
        <f>205008</f>
        <v>205008</v>
      </c>
      <c r="DK34">
        <f>234688</f>
        <v>234688</v>
      </c>
      <c r="DL34">
        <f>244821</f>
        <v>244821</v>
      </c>
      <c r="DM34">
        <f>231758</f>
        <v>231758</v>
      </c>
      <c r="DN34">
        <f>230870</f>
        <v>230870</v>
      </c>
      <c r="DO34">
        <f>225136</f>
        <v>225136</v>
      </c>
      <c r="DP34">
        <f>248796</f>
        <v>248796</v>
      </c>
      <c r="DQ34">
        <f>182269</f>
        <v>182269</v>
      </c>
      <c r="DR34">
        <f>216265</f>
        <v>216265</v>
      </c>
      <c r="DS34">
        <f>209606</f>
        <v>209606</v>
      </c>
      <c r="DT34">
        <f>207066</f>
        <v>207066</v>
      </c>
      <c r="DU34">
        <f>216196</f>
        <v>216196</v>
      </c>
      <c r="DV34">
        <f>195101</f>
        <v>195101</v>
      </c>
      <c r="DW34">
        <f>208837</f>
        <v>208837</v>
      </c>
      <c r="DX34">
        <f>176974</f>
        <v>176974</v>
      </c>
      <c r="DY34">
        <f>156494</f>
        <v>156494</v>
      </c>
      <c r="DZ34">
        <f>169705</f>
        <v>169705</v>
      </c>
      <c r="EA34">
        <f>176152</f>
        <v>176152</v>
      </c>
      <c r="EB34">
        <f>185631</f>
        <v>185631</v>
      </c>
      <c r="EC34">
        <f>197214</f>
        <v>197214</v>
      </c>
      <c r="ED34">
        <f>211020</f>
        <v>211020</v>
      </c>
      <c r="EE34">
        <f>187882</f>
        <v>187882</v>
      </c>
      <c r="EF34">
        <f>184928</f>
        <v>184928</v>
      </c>
      <c r="EG34">
        <f>217360</f>
        <v>217360</v>
      </c>
      <c r="EH34">
        <f>194948</f>
        <v>194948</v>
      </c>
      <c r="EI34">
        <f>233110</f>
        <v>233110</v>
      </c>
      <c r="EJ34">
        <f>210542</f>
        <v>210542</v>
      </c>
      <c r="EK34">
        <f>200406</f>
        <v>200406</v>
      </c>
      <c r="EL34">
        <f>204457</f>
        <v>204457</v>
      </c>
      <c r="EM34">
        <f>204621</f>
        <v>204621</v>
      </c>
      <c r="EN34">
        <f>214113</f>
        <v>214113</v>
      </c>
      <c r="EO34">
        <f>178131</f>
        <v>178131</v>
      </c>
      <c r="EP34">
        <f>205689</f>
        <v>205689</v>
      </c>
      <c r="EQ34">
        <f>199701</f>
        <v>199701</v>
      </c>
      <c r="ER34">
        <f>188583</f>
        <v>188583</v>
      </c>
      <c r="ES34">
        <f>217035</f>
        <v>217035</v>
      </c>
      <c r="ET34">
        <f>173226</f>
        <v>173226</v>
      </c>
      <c r="EU34">
        <f>206541</f>
        <v>206541</v>
      </c>
      <c r="EV34">
        <f>200594</f>
        <v>200594</v>
      </c>
      <c r="EW34">
        <f>201163</f>
        <v>201163</v>
      </c>
      <c r="EX34">
        <f>197437</f>
        <v>197437</v>
      </c>
      <c r="EY34">
        <f>196439</f>
        <v>196439</v>
      </c>
      <c r="EZ34">
        <f>199659</f>
        <v>199659</v>
      </c>
      <c r="FA34">
        <f>168480</f>
        <v>168480</v>
      </c>
      <c r="FB34">
        <f>167398</f>
        <v>167398</v>
      </c>
      <c r="FC34">
        <f>182884</f>
        <v>182884</v>
      </c>
      <c r="FD34">
        <f>163592</f>
        <v>163592</v>
      </c>
      <c r="FE34">
        <f>182827</f>
        <v>182827</v>
      </c>
      <c r="FF34">
        <f>179856</f>
        <v>179856</v>
      </c>
      <c r="FG34">
        <f>177728</f>
        <v>177728</v>
      </c>
      <c r="FH34">
        <f>182411</f>
        <v>182411</v>
      </c>
      <c r="FI34">
        <f>183237</f>
        <v>183237</v>
      </c>
      <c r="FJ34">
        <f>182452</f>
        <v>182452</v>
      </c>
      <c r="FK34">
        <f>189315</f>
        <v>189315</v>
      </c>
      <c r="FL34">
        <f>192411</f>
        <v>192411</v>
      </c>
      <c r="FM34">
        <f>175820</f>
        <v>175820</v>
      </c>
      <c r="FN34">
        <f>185018</f>
        <v>185018</v>
      </c>
      <c r="FO34">
        <f>164480</f>
        <v>164480</v>
      </c>
      <c r="FP34">
        <f>175217</f>
        <v>175217</v>
      </c>
      <c r="FQ34">
        <f>169477</f>
        <v>169477</v>
      </c>
    </row>
    <row r="35" spans="1:173" x14ac:dyDescent="0.25">
      <c r="A35" t="str">
        <f>"    Port of Prince Rupert (TEU)"</f>
        <v xml:space="preserve">    Port of Prince Rupert (TEU)</v>
      </c>
      <c r="B35" t="str">
        <f>"PRPSTTTE Index"</f>
        <v>PRPSTTTE Index</v>
      </c>
      <c r="C35" t="str">
        <f t="shared" si="9"/>
        <v>PX385</v>
      </c>
      <c r="D35" t="str">
        <f t="shared" si="10"/>
        <v>INTERVAL_SUM</v>
      </c>
      <c r="E35" t="str">
        <f t="shared" si="11"/>
        <v>Dynamic</v>
      </c>
      <c r="F35">
        <f ca="1">IF(AND(ISNUMBER($F$76),$B$51=1),$F$76,HLOOKUP(INDIRECT(ADDRESS(2,COLUMN())),OFFSET($CL$2,0,0,ROW()-1,84),ROW()-1,FALSE))</f>
        <v>65899</v>
      </c>
      <c r="G35">
        <f ca="1">IF(AND(ISNUMBER($G$76),$B$51=1),$G$76,HLOOKUP(INDIRECT(ADDRESS(2,COLUMN())),OFFSET($CL$2,0,0,ROW()-1,84),ROW()-1,FALSE))</f>
        <v>47270</v>
      </c>
      <c r="H35">
        <f ca="1">IF(AND(ISNUMBER($H$76),$B$51=1),$H$76,HLOOKUP(INDIRECT(ADDRESS(2,COLUMN())),OFFSET($CL$2,0,0,ROW()-1,84),ROW()-1,FALSE))</f>
        <v>48499</v>
      </c>
      <c r="I35">
        <f ca="1">IF(AND(ISNUMBER($I$76),$B$51=1),$I$76,HLOOKUP(INDIRECT(ADDRESS(2,COLUMN())),OFFSET($CL$2,0,0,ROW()-1,84),ROW()-1,FALSE))</f>
        <v>64865</v>
      </c>
      <c r="J35">
        <f ca="1">IF(AND(ISNUMBER($J$76),$B$51=1),$J$76,HLOOKUP(INDIRECT(ADDRESS(2,COLUMN())),OFFSET($CL$2,0,0,ROW()-1,84),ROW()-1,FALSE))</f>
        <v>78458</v>
      </c>
      <c r="K35">
        <f ca="1">IF(AND(ISNUMBER($K$76),$B$51=1),$K$76,HLOOKUP(INDIRECT(ADDRESS(2,COLUMN())),OFFSET($CL$2,0,0,ROW()-1,84),ROW()-1,FALSE))</f>
        <v>51537</v>
      </c>
      <c r="L35">
        <f ca="1">IF(AND(ISNUMBER($L$76),$B$51=1),$L$76,HLOOKUP(INDIRECT(ADDRESS(2,COLUMN())),OFFSET($CL$2,0,0,ROW()-1,84),ROW()-1,FALSE))</f>
        <v>63401</v>
      </c>
      <c r="M35">
        <f ca="1">IF(AND(ISNUMBER($M$76),$B$51=1),$M$76,HLOOKUP(INDIRECT(ADDRESS(2,COLUMN())),OFFSET($CL$2,0,0,ROW()-1,84),ROW()-1,FALSE))</f>
        <v>47578</v>
      </c>
      <c r="N35">
        <f ca="1">IF(AND(ISNUMBER($N$76),$B$51=1),$N$76,HLOOKUP(INDIRECT(ADDRESS(2,COLUMN())),OFFSET($CL$2,0,0,ROW()-1,84),ROW()-1,FALSE))</f>
        <v>76564</v>
      </c>
      <c r="O35">
        <f ca="1">IF(AND(ISNUMBER($O$76),$B$51=1),$O$76,HLOOKUP(INDIRECT(ADDRESS(2,COLUMN())),OFFSET($CL$2,0,0,ROW()-1,84),ROW()-1,FALSE))</f>
        <v>86765</v>
      </c>
      <c r="P35">
        <f ca="1">IF(AND(ISNUMBER($P$76),$B$51=1),$P$76,HLOOKUP(INDIRECT(ADDRESS(2,COLUMN())),OFFSET($CL$2,0,0,ROW()-1,84),ROW()-1,FALSE))</f>
        <v>72388</v>
      </c>
      <c r="Q35">
        <f ca="1">IF(AND(ISNUMBER($Q$76),$B$51=1),$Q$76,HLOOKUP(INDIRECT(ADDRESS(2,COLUMN())),OFFSET($CL$2,0,0,ROW()-1,84),ROW()-1,FALSE))</f>
        <v>85930</v>
      </c>
      <c r="R35">
        <f ca="1">IF(AND(ISNUMBER($R$76),$B$51=1),$R$76,HLOOKUP(INDIRECT(ADDRESS(2,COLUMN())),OFFSET($CL$2,0,0,ROW()-1,84),ROW()-1,FALSE))</f>
        <v>89292</v>
      </c>
      <c r="S35">
        <f ca="1">IF(AND(ISNUMBER($S$76),$B$51=1),$S$76,HLOOKUP(INDIRECT(ADDRESS(2,COLUMN())),OFFSET($CL$2,0,0,ROW()-1,84),ROW()-1,FALSE))</f>
        <v>114042</v>
      </c>
      <c r="T35">
        <f ca="1">IF(AND(ISNUMBER($T$76),$B$51=1),$T$76,HLOOKUP(INDIRECT(ADDRESS(2,COLUMN())),OFFSET($CL$2,0,0,ROW()-1,84),ROW()-1,FALSE))</f>
        <v>65347</v>
      </c>
      <c r="U35">
        <f ca="1">IF(AND(ISNUMBER($U$76),$B$51=1),$U$76,HLOOKUP(INDIRECT(ADDRESS(2,COLUMN())),OFFSET($CL$2,0,0,ROW()-1,84),ROW()-1,FALSE))</f>
        <v>84384</v>
      </c>
      <c r="V35">
        <f ca="1">IF(AND(ISNUMBER($V$76),$B$51=1),$V$76,HLOOKUP(INDIRECT(ADDRESS(2,COLUMN())),OFFSET($CL$2,0,0,ROW()-1,84),ROW()-1,FALSE))</f>
        <v>86559</v>
      </c>
      <c r="W35">
        <f ca="1">IF(AND(ISNUMBER($W$76),$B$51=1),$W$76,HLOOKUP(INDIRECT(ADDRESS(2,COLUMN())),OFFSET($CL$2,0,0,ROW()-1,84),ROW()-1,FALSE))</f>
        <v>100540</v>
      </c>
      <c r="X35">
        <f ca="1">IF(AND(ISNUMBER($X$76),$B$51=1),$X$76,HLOOKUP(INDIRECT(ADDRESS(2,COLUMN())),OFFSET($CL$2,0,0,ROW()-1,84),ROW()-1,FALSE))</f>
        <v>95193</v>
      </c>
      <c r="Y35">
        <f ca="1">IF(AND(ISNUMBER($Y$76),$B$51=1),$Y$76,HLOOKUP(INDIRECT(ADDRESS(2,COLUMN())),OFFSET($CL$2,0,0,ROW()-1,84),ROW()-1,FALSE))</f>
        <v>75777</v>
      </c>
      <c r="Z35">
        <f ca="1">IF(AND(ISNUMBER($Z$76),$B$51=1),$Z$76,HLOOKUP(INDIRECT(ADDRESS(2,COLUMN())),OFFSET($CL$2,0,0,ROW()-1,84),ROW()-1,FALSE))</f>
        <v>79425</v>
      </c>
      <c r="AA35">
        <f ca="1">IF(AND(ISNUMBER($AA$76),$B$51=1),$AA$76,HLOOKUP(INDIRECT(ADDRESS(2,COLUMN())),OFFSET($CL$2,0,0,ROW()-1,84),ROW()-1,FALSE))</f>
        <v>110030</v>
      </c>
      <c r="AB35">
        <f ca="1">IF(AND(ISNUMBER($AB$76),$B$51=1),$AB$76,HLOOKUP(INDIRECT(ADDRESS(2,COLUMN())),OFFSET($CL$2,0,0,ROW()-1,84),ROW()-1,FALSE))</f>
        <v>61231</v>
      </c>
      <c r="AC35">
        <f ca="1">IF(AND(ISNUMBER($AC$76),$B$51=1),$AC$76,HLOOKUP(INDIRECT(ADDRESS(2,COLUMN())),OFFSET($CL$2,0,0,ROW()-1,84),ROW()-1,FALSE))</f>
        <v>110132</v>
      </c>
      <c r="AD35">
        <f ca="1">IF(AND(ISNUMBER($AD$76),$B$51=1),$AD$76,HLOOKUP(INDIRECT(ADDRESS(2,COLUMN())),OFFSET($CL$2,0,0,ROW()-1,84),ROW()-1,FALSE))</f>
        <v>84786</v>
      </c>
      <c r="AE35">
        <f ca="1">IF(AND(ISNUMBER($AE$76),$B$51=1),$AE$76,HLOOKUP(INDIRECT(ADDRESS(2,COLUMN())),OFFSET($CL$2,0,0,ROW()-1,84),ROW()-1,FALSE))</f>
        <v>89000</v>
      </c>
      <c r="AF35">
        <f ca="1">IF(AND(ISNUMBER($AF$76),$B$51=1),$AF$76,HLOOKUP(INDIRECT(ADDRESS(2,COLUMN())),OFFSET($CL$2,0,0,ROW()-1,84),ROW()-1,FALSE))</f>
        <v>107948</v>
      </c>
      <c r="AG35">
        <f ca="1">IF(AND(ISNUMBER($AG$76),$B$51=1),$AG$76,HLOOKUP(INDIRECT(ADDRESS(2,COLUMN())),OFFSET($CL$2,0,0,ROW()-1,84),ROW()-1,FALSE))</f>
        <v>57145</v>
      </c>
      <c r="AH35">
        <f ca="1">IF(AND(ISNUMBER($AH$76),$B$51=1),$AH$76,HLOOKUP(INDIRECT(ADDRESS(2,COLUMN())),OFFSET($CL$2,0,0,ROW()-1,84),ROW()-1,FALSE))</f>
        <v>103885</v>
      </c>
      <c r="AI35">
        <f ca="1">IF(AND(ISNUMBER($AI$76),$B$51=1),$AI$76,HLOOKUP(INDIRECT(ADDRESS(2,COLUMN())),OFFSET($CL$2,0,0,ROW()-1,84),ROW()-1,FALSE))</f>
        <v>59115</v>
      </c>
      <c r="AJ35">
        <f ca="1">IF(AND(ISNUMBER($AJ$76),$B$51=1),$AJ$76,HLOOKUP(INDIRECT(ADDRESS(2,COLUMN())),OFFSET($CL$2,0,0,ROW()-1,84),ROW()-1,FALSE))</f>
        <v>100445</v>
      </c>
      <c r="AK35">
        <f ca="1">IF(AND(ISNUMBER($AK$76),$B$51=1),$AK$76,HLOOKUP(INDIRECT(ADDRESS(2,COLUMN())),OFFSET($CL$2,0,0,ROW()-1,84),ROW()-1,FALSE))</f>
        <v>72055</v>
      </c>
      <c r="AL35">
        <f ca="1">IF(AND(ISNUMBER($AL$76),$B$51=1),$AL$76,HLOOKUP(INDIRECT(ADDRESS(2,COLUMN())),OFFSET($CL$2,0,0,ROW()-1,84),ROW()-1,FALSE))</f>
        <v>99066</v>
      </c>
      <c r="AM35">
        <f ca="1">IF(AND(ISNUMBER($AM$76),$B$51=1),$AM$76,HLOOKUP(INDIRECT(ADDRESS(2,COLUMN())),OFFSET($CL$2,0,0,ROW()-1,84),ROW()-1,FALSE))</f>
        <v>110077</v>
      </c>
      <c r="AN35">
        <f ca="1">IF(AND(ISNUMBER($AN$76),$B$51=1),$AN$76,HLOOKUP(INDIRECT(ADDRESS(2,COLUMN())),OFFSET($CL$2,0,0,ROW()-1,84),ROW()-1,FALSE))</f>
        <v>95771</v>
      </c>
      <c r="AO35">
        <f ca="1">IF(AND(ISNUMBER($AO$76),$B$51=1),$AO$76,HLOOKUP(INDIRECT(ADDRESS(2,COLUMN())),OFFSET($CL$2,0,0,ROW()-1,84),ROW()-1,FALSE))</f>
        <v>120987</v>
      </c>
      <c r="AP35">
        <f ca="1">IF(AND(ISNUMBER($AP$76),$B$51=1),$AP$76,HLOOKUP(INDIRECT(ADDRESS(2,COLUMN())),OFFSET($CL$2,0,0,ROW()-1,84),ROW()-1,FALSE))</f>
        <v>110083</v>
      </c>
      <c r="AQ35">
        <f ca="1">IF(AND(ISNUMBER($AQ$76),$B$51=1),$AQ$76,HLOOKUP(INDIRECT(ADDRESS(2,COLUMN())),OFFSET($CL$2,0,0,ROW()-1,84),ROW()-1,FALSE))</f>
        <v>118936</v>
      </c>
      <c r="AR35">
        <f ca="1">IF(AND(ISNUMBER($AR$76),$B$51=1),$AR$76,HLOOKUP(INDIRECT(ADDRESS(2,COLUMN())),OFFSET($CL$2,0,0,ROW()-1,84),ROW()-1,FALSE))</f>
        <v>105104</v>
      </c>
      <c r="AS35">
        <f ca="1">IF(AND(ISNUMBER($AS$76),$B$51=1),$AS$76,HLOOKUP(INDIRECT(ADDRESS(2,COLUMN())),OFFSET($CL$2,0,0,ROW()-1,84),ROW()-1,FALSE))</f>
        <v>81915</v>
      </c>
      <c r="AT35">
        <f ca="1">IF(AND(ISNUMBER($AT$76),$B$51=1),$AT$76,HLOOKUP(INDIRECT(ADDRESS(2,COLUMN())),OFFSET($CL$2,0,0,ROW()-1,84),ROW()-1,FALSE))</f>
        <v>68472</v>
      </c>
      <c r="AU35">
        <f ca="1">IF(AND(ISNUMBER($AU$76),$B$51=1),$AU$76,HLOOKUP(INDIRECT(ADDRESS(2,COLUMN())),OFFSET($CL$2,0,0,ROW()-1,84),ROW()-1,FALSE))</f>
        <v>92047</v>
      </c>
      <c r="AV35">
        <f ca="1">IF(AND(ISNUMBER($AV$76),$B$51=1),$AV$76,HLOOKUP(INDIRECT(ADDRESS(2,COLUMN())),OFFSET($CL$2,0,0,ROW()-1,84),ROW()-1,FALSE))</f>
        <v>56162</v>
      </c>
      <c r="AW35">
        <f ca="1">IF(AND(ISNUMBER($AW$76),$B$51=1),$AW$76,HLOOKUP(INDIRECT(ADDRESS(2,COLUMN())),OFFSET($CL$2,0,0,ROW()-1,84),ROW()-1,FALSE))</f>
        <v>100340</v>
      </c>
      <c r="AX35">
        <f ca="1">IF(AND(ISNUMBER($AX$76),$B$51=1),$AX$76,HLOOKUP(INDIRECT(ADDRESS(2,COLUMN())),OFFSET($CL$2,0,0,ROW()-1,84),ROW()-1,FALSE))</f>
        <v>81487</v>
      </c>
      <c r="AY35">
        <f ca="1">IF(AND(ISNUMBER($AY$76),$B$51=1),$AY$76,HLOOKUP(INDIRECT(ADDRESS(2,COLUMN())),OFFSET($CL$2,0,0,ROW()-1,84),ROW()-1,FALSE))</f>
        <v>107088</v>
      </c>
      <c r="AZ35">
        <f ca="1">IF(AND(ISNUMBER($AZ$76),$B$51=1),$AZ$76,HLOOKUP(INDIRECT(ADDRESS(2,COLUMN())),OFFSET($CL$2,0,0,ROW()-1,84),ROW()-1,FALSE))</f>
        <v>105545</v>
      </c>
      <c r="BA35">
        <f ca="1">IF(AND(ISNUMBER($BA$76),$B$51=1),$BA$76,HLOOKUP(INDIRECT(ADDRESS(2,COLUMN())),OFFSET($CL$2,0,0,ROW()-1,84),ROW()-1,FALSE))</f>
        <v>101674</v>
      </c>
      <c r="BB35">
        <f ca="1">IF(AND(ISNUMBER($BB$76),$B$51=1),$BB$76,HLOOKUP(INDIRECT(ADDRESS(2,COLUMN())),OFFSET($CL$2,0,0,ROW()-1,84),ROW()-1,FALSE))</f>
        <v>113800</v>
      </c>
      <c r="BC35">
        <f ca="1">IF(AND(ISNUMBER($BC$76),$B$51=1),$BC$76,HLOOKUP(INDIRECT(ADDRESS(2,COLUMN())),OFFSET($CL$2,0,0,ROW()-1,84),ROW()-1,FALSE))</f>
        <v>123261</v>
      </c>
      <c r="BD35">
        <f ca="1">IF(AND(ISNUMBER($BD$76),$B$51=1),$BD$76,HLOOKUP(INDIRECT(ADDRESS(2,COLUMN())),OFFSET($CL$2,0,0,ROW()-1,84),ROW()-1,FALSE))</f>
        <v>109315</v>
      </c>
      <c r="BE35">
        <f ca="1">IF(AND(ISNUMBER($BE$76),$B$51=1),$BE$76,HLOOKUP(INDIRECT(ADDRESS(2,COLUMN())),OFFSET($CL$2,0,0,ROW()-1,84),ROW()-1,FALSE))</f>
        <v>95677</v>
      </c>
      <c r="BF35">
        <f ca="1">IF(AND(ISNUMBER($BF$76),$B$51=1),$BF$76,HLOOKUP(INDIRECT(ADDRESS(2,COLUMN())),OFFSET($CL$2,0,0,ROW()-1,84),ROW()-1,FALSE))</f>
        <v>108351</v>
      </c>
      <c r="BG35">
        <f ca="1">IF(AND(ISNUMBER($BG$76),$B$51=1),$BG$76,HLOOKUP(INDIRECT(ADDRESS(2,COLUMN())),OFFSET($CL$2,0,0,ROW()-1,84),ROW()-1,FALSE))</f>
        <v>97804</v>
      </c>
      <c r="BH35">
        <f ca="1">IF(AND(ISNUMBER($BH$76),$B$51=1),$BH$76,HLOOKUP(INDIRECT(ADDRESS(2,COLUMN())),OFFSET($CL$2,0,0,ROW()-1,84),ROW()-1,FALSE))</f>
        <v>86403</v>
      </c>
      <c r="BI35">
        <f ca="1">IF(AND(ISNUMBER($BI$76),$B$51=1),$BI$76,HLOOKUP(INDIRECT(ADDRESS(2,COLUMN())),OFFSET($CL$2,0,0,ROW()-1,84),ROW()-1,FALSE))</f>
        <v>60980</v>
      </c>
      <c r="BJ35">
        <f ca="1">IF(AND(ISNUMBER($BJ$76),$B$51=1),$BJ$76,HLOOKUP(INDIRECT(ADDRESS(2,COLUMN())),OFFSET($CL$2,0,0,ROW()-1,84),ROW()-1,FALSE))</f>
        <v>100868</v>
      </c>
      <c r="BK35">
        <f ca="1">IF(AND(ISNUMBER($BK$76),$B$51=1),$BK$76,HLOOKUP(INDIRECT(ADDRESS(2,COLUMN())),OFFSET($CL$2,0,0,ROW()-1,84),ROW()-1,FALSE))</f>
        <v>90830</v>
      </c>
      <c r="BL35">
        <f ca="1">IF(AND(ISNUMBER($BL$76),$B$51=1),$BL$76,HLOOKUP(INDIRECT(ADDRESS(2,COLUMN())),OFFSET($CL$2,0,0,ROW()-1,84),ROW()-1,FALSE))</f>
        <v>81666</v>
      </c>
      <c r="BM35">
        <f ca="1">IF(AND(ISNUMBER($BM$76),$B$51=1),$BM$76,HLOOKUP(INDIRECT(ADDRESS(2,COLUMN())),OFFSET($CL$2,0,0,ROW()-1,84),ROW()-1,FALSE))</f>
        <v>92316</v>
      </c>
      <c r="BN35">
        <f ca="1">IF(AND(ISNUMBER($BN$76),$B$51=1),$BN$76,HLOOKUP(INDIRECT(ADDRESS(2,COLUMN())),OFFSET($CL$2,0,0,ROW()-1,84),ROW()-1,FALSE))</f>
        <v>105059.75</v>
      </c>
      <c r="BO35">
        <f ca="1">IF(AND(ISNUMBER($BO$76),$B$51=1),$BO$76,HLOOKUP(INDIRECT(ADDRESS(2,COLUMN())),OFFSET($CL$2,0,0,ROW()-1,84),ROW()-1,FALSE))</f>
        <v>74822</v>
      </c>
      <c r="BP35">
        <f ca="1">IF(AND(ISNUMBER($BP$76),$B$51=1),$BP$76,HLOOKUP(INDIRECT(ADDRESS(2,COLUMN())),OFFSET($CL$2,0,0,ROW()-1,84),ROW()-1,FALSE))</f>
        <v>88490</v>
      </c>
      <c r="BQ35">
        <f ca="1">IF(AND(ISNUMBER($BQ$76),$B$51=1),$BQ$76,HLOOKUP(INDIRECT(ADDRESS(2,COLUMN())),OFFSET($CL$2,0,0,ROW()-1,84),ROW()-1,FALSE))</f>
        <v>91922</v>
      </c>
      <c r="BR35">
        <f ca="1">IF(AND(ISNUMBER($BR$76),$B$51=1),$BR$76,HLOOKUP(INDIRECT(ADDRESS(2,COLUMN())),OFFSET($CL$2,0,0,ROW()-1,84),ROW()-1,FALSE))</f>
        <v>89950</v>
      </c>
      <c r="BS35">
        <f ca="1">IF(AND(ISNUMBER($BS$76),$B$51=1),$BS$76,HLOOKUP(INDIRECT(ADDRESS(2,COLUMN())),OFFSET($CL$2,0,0,ROW()-1,84),ROW()-1,FALSE))</f>
        <v>81481</v>
      </c>
      <c r="BT35">
        <f ca="1">IF(AND(ISNUMBER($BT$76),$B$51=1),$BT$76,HLOOKUP(INDIRECT(ADDRESS(2,COLUMN())),OFFSET($CL$2,0,0,ROW()-1,84),ROW()-1,FALSE))</f>
        <v>78953</v>
      </c>
      <c r="BU35">
        <f ca="1">IF(AND(ISNUMBER($BU$76),$B$51=1),$BU$76,HLOOKUP(INDIRECT(ADDRESS(2,COLUMN())),OFFSET($CL$2,0,0,ROW()-1,84),ROW()-1,FALSE))</f>
        <v>76754</v>
      </c>
      <c r="BV35">
        <f ca="1">IF(AND(ISNUMBER($BV$76),$B$51=1),$BV$76,HLOOKUP(INDIRECT(ADDRESS(2,COLUMN())),OFFSET($CL$2,0,0,ROW()-1,84),ROW()-1,FALSE))</f>
        <v>83778</v>
      </c>
      <c r="BW35">
        <f ca="1">IF(AND(ISNUMBER($BW$76),$B$51=1),$BW$76,HLOOKUP(INDIRECT(ADDRESS(2,COLUMN())),OFFSET($CL$2,0,0,ROW()-1,84),ROW()-1,FALSE))</f>
        <v>77645</v>
      </c>
      <c r="BX35">
        <f ca="1">IF(AND(ISNUMBER($BX$76),$B$51=1),$BX$76,HLOOKUP(INDIRECT(ADDRESS(2,COLUMN())),OFFSET($CL$2,0,0,ROW()-1,84),ROW()-1,FALSE))</f>
        <v>85119</v>
      </c>
      <c r="BY35">
        <f ca="1">IF(AND(ISNUMBER($BY$76),$B$51=1),$BY$76,HLOOKUP(INDIRECT(ADDRESS(2,COLUMN())),OFFSET($CL$2,0,0,ROW()-1,84),ROW()-1,FALSE))</f>
        <v>91829.5</v>
      </c>
      <c r="BZ35">
        <f ca="1">IF(AND(ISNUMBER($BZ$76),$B$51=1),$BZ$76,HLOOKUP(INDIRECT(ADDRESS(2,COLUMN())),OFFSET($CL$2,0,0,ROW()-1,84),ROW()-1,FALSE))</f>
        <v>75772.25</v>
      </c>
      <c r="CA35">
        <f ca="1">IF(AND(ISNUMBER($CA$76),$B$51=1),$CA$76,HLOOKUP(INDIRECT(ADDRESS(2,COLUMN())),OFFSET($CL$2,0,0,ROW()-1,84),ROW()-1,FALSE))</f>
        <v>87521</v>
      </c>
      <c r="CB35">
        <f ca="1">IF(AND(ISNUMBER($CB$76),$B$51=1),$CB$76,HLOOKUP(INDIRECT(ADDRESS(2,COLUMN())),OFFSET($CL$2,0,0,ROW()-1,84),ROW()-1,FALSE))</f>
        <v>85784.75</v>
      </c>
      <c r="CC35">
        <f ca="1">IF(AND(ISNUMBER($CC$76),$B$51=1),$CC$76,HLOOKUP(INDIRECT(ADDRESS(2,COLUMN())),OFFSET($CL$2,0,0,ROW()-1,84),ROW()-1,FALSE))</f>
        <v>91842.25</v>
      </c>
      <c r="CD35">
        <f ca="1">IF(AND(ISNUMBER($CD$76),$B$51=1),$CD$76,HLOOKUP(INDIRECT(ADDRESS(2,COLUMN())),OFFSET($CL$2,0,0,ROW()-1,84),ROW()-1,FALSE))</f>
        <v>74174.5</v>
      </c>
      <c r="CE35">
        <f ca="1">IF(AND(ISNUMBER($CE$76),$B$51=1),$CE$76,HLOOKUP(INDIRECT(ADDRESS(2,COLUMN())),OFFSET($CL$2,0,0,ROW()-1,84),ROW()-1,FALSE))</f>
        <v>69971.75</v>
      </c>
      <c r="CF35">
        <f ca="1">IF(AND(ISNUMBER($CF$76),$B$51=1),$CF$76,HLOOKUP(INDIRECT(ADDRESS(2,COLUMN())),OFFSET($CL$2,0,0,ROW()-1,84),ROW()-1,FALSE))</f>
        <v>64195</v>
      </c>
      <c r="CG35">
        <f ca="1">IF(AND(ISNUMBER($CG$76),$B$51=1),$CG$76,HLOOKUP(INDIRECT(ADDRESS(2,COLUMN())),OFFSET($CL$2,0,0,ROW()-1,84),ROW()-1,FALSE))</f>
        <v>56648</v>
      </c>
      <c r="CH35">
        <f ca="1">IF(AND(ISNUMBER($CH$76),$B$51=1),$CH$76,HLOOKUP(INDIRECT(ADDRESS(2,COLUMN())),OFFSET($CL$2,0,0,ROW()-1,84),ROW()-1,FALSE))</f>
        <v>66035</v>
      </c>
      <c r="CI35">
        <f ca="1">IF(AND(ISNUMBER($CI$76),$B$51=1),$CI$76,HLOOKUP(INDIRECT(ADDRESS(2,COLUMN())),OFFSET($CL$2,0,0,ROW()-1,84),ROW()-1,FALSE))</f>
        <v>58870</v>
      </c>
      <c r="CJ35">
        <f ca="1">IF(AND(ISNUMBER($CJ$76),$B$51=1),$CJ$76,HLOOKUP(INDIRECT(ADDRESS(2,COLUMN())),OFFSET($CL$2,0,0,ROW()-1,84),ROW()-1,FALSE))</f>
        <v>49521</v>
      </c>
      <c r="CK35">
        <f ca="1">IF(AND(ISNUMBER($CK$76),$B$51=1),$CK$76,HLOOKUP(INDIRECT(ADDRESS(2,COLUMN())),OFFSET($CL$2,0,0,ROW()-1,84),ROW()-1,FALSE))</f>
        <v>59840.75</v>
      </c>
      <c r="CL35">
        <f>65899</f>
        <v>65899</v>
      </c>
      <c r="CM35">
        <f>47270</f>
        <v>47270</v>
      </c>
      <c r="CN35">
        <f>48499</f>
        <v>48499</v>
      </c>
      <c r="CO35">
        <f>64865</f>
        <v>64865</v>
      </c>
      <c r="CP35">
        <f>78458</f>
        <v>78458</v>
      </c>
      <c r="CQ35">
        <f>51537</f>
        <v>51537</v>
      </c>
      <c r="CR35">
        <f>63401</f>
        <v>63401</v>
      </c>
      <c r="CS35">
        <f>47578</f>
        <v>47578</v>
      </c>
      <c r="CT35">
        <f>76564</f>
        <v>76564</v>
      </c>
      <c r="CU35">
        <f>86765</f>
        <v>86765</v>
      </c>
      <c r="CV35">
        <f>72388</f>
        <v>72388</v>
      </c>
      <c r="CW35">
        <f>85930</f>
        <v>85930</v>
      </c>
      <c r="CX35">
        <f>89292</f>
        <v>89292</v>
      </c>
      <c r="CY35">
        <f>114042</f>
        <v>114042</v>
      </c>
      <c r="CZ35">
        <f>65347</f>
        <v>65347</v>
      </c>
      <c r="DA35">
        <f>84384</f>
        <v>84384</v>
      </c>
      <c r="DB35">
        <f>86559</f>
        <v>86559</v>
      </c>
      <c r="DC35">
        <f>100540</f>
        <v>100540</v>
      </c>
      <c r="DD35">
        <f>95193</f>
        <v>95193</v>
      </c>
      <c r="DE35">
        <f>75777</f>
        <v>75777</v>
      </c>
      <c r="DF35">
        <f>79425</f>
        <v>79425</v>
      </c>
      <c r="DG35">
        <f>110030</f>
        <v>110030</v>
      </c>
      <c r="DH35">
        <f>61231</f>
        <v>61231</v>
      </c>
      <c r="DI35">
        <f>110132</f>
        <v>110132</v>
      </c>
      <c r="DJ35">
        <f>84786</f>
        <v>84786</v>
      </c>
      <c r="DK35">
        <f>89000</f>
        <v>89000</v>
      </c>
      <c r="DL35">
        <f>107948</f>
        <v>107948</v>
      </c>
      <c r="DM35">
        <f>57145</f>
        <v>57145</v>
      </c>
      <c r="DN35">
        <f>103885</f>
        <v>103885</v>
      </c>
      <c r="DO35">
        <f>59115</f>
        <v>59115</v>
      </c>
      <c r="DP35">
        <f>100445</f>
        <v>100445</v>
      </c>
      <c r="DQ35">
        <f>72055</f>
        <v>72055</v>
      </c>
      <c r="DR35">
        <f>99066</f>
        <v>99066</v>
      </c>
      <c r="DS35">
        <f>110077</f>
        <v>110077</v>
      </c>
      <c r="DT35">
        <f>95771</f>
        <v>95771</v>
      </c>
      <c r="DU35">
        <f>120987</f>
        <v>120987</v>
      </c>
      <c r="DV35">
        <f>110083</f>
        <v>110083</v>
      </c>
      <c r="DW35">
        <f>118936</f>
        <v>118936</v>
      </c>
      <c r="DX35">
        <f>105104</f>
        <v>105104</v>
      </c>
      <c r="DY35">
        <f>81915</f>
        <v>81915</v>
      </c>
      <c r="DZ35">
        <f>68472</f>
        <v>68472</v>
      </c>
      <c r="EA35">
        <f>92047</f>
        <v>92047</v>
      </c>
      <c r="EB35">
        <f>56162</f>
        <v>56162</v>
      </c>
      <c r="EC35">
        <f>100340</f>
        <v>100340</v>
      </c>
      <c r="ED35">
        <f>81487</f>
        <v>81487</v>
      </c>
      <c r="EE35">
        <f>107088</f>
        <v>107088</v>
      </c>
      <c r="EF35">
        <f>105545</f>
        <v>105545</v>
      </c>
      <c r="EG35">
        <f>101674</f>
        <v>101674</v>
      </c>
      <c r="EH35">
        <f>113800</f>
        <v>113800</v>
      </c>
      <c r="EI35">
        <f>123261</f>
        <v>123261</v>
      </c>
      <c r="EJ35">
        <f>109315</f>
        <v>109315</v>
      </c>
      <c r="EK35">
        <f>95677</f>
        <v>95677</v>
      </c>
      <c r="EL35">
        <f>108351</f>
        <v>108351</v>
      </c>
      <c r="EM35">
        <f>97804</f>
        <v>97804</v>
      </c>
      <c r="EN35">
        <f>86403</f>
        <v>86403</v>
      </c>
      <c r="EO35">
        <f>60980</f>
        <v>60980</v>
      </c>
      <c r="EP35">
        <f>100868</f>
        <v>100868</v>
      </c>
      <c r="EQ35">
        <f>90830</f>
        <v>90830</v>
      </c>
      <c r="ER35">
        <f>81666</f>
        <v>81666</v>
      </c>
      <c r="ES35">
        <f>92316</f>
        <v>92316</v>
      </c>
      <c r="ET35">
        <f>105059.75</f>
        <v>105059.75</v>
      </c>
      <c r="EU35">
        <f>74822</f>
        <v>74822</v>
      </c>
      <c r="EV35">
        <f>88490</f>
        <v>88490</v>
      </c>
      <c r="EW35">
        <f>91922</f>
        <v>91922</v>
      </c>
      <c r="EX35">
        <f>89950</f>
        <v>89950</v>
      </c>
      <c r="EY35">
        <f>81481</f>
        <v>81481</v>
      </c>
      <c r="EZ35">
        <f>78953</f>
        <v>78953</v>
      </c>
      <c r="FA35">
        <f>76754</f>
        <v>76754</v>
      </c>
      <c r="FB35">
        <f>83778</f>
        <v>83778</v>
      </c>
      <c r="FC35">
        <f>77645</f>
        <v>77645</v>
      </c>
      <c r="FD35">
        <f>85119</f>
        <v>85119</v>
      </c>
      <c r="FE35">
        <f>91829.5</f>
        <v>91829.5</v>
      </c>
      <c r="FF35">
        <f>75772.25</f>
        <v>75772.25</v>
      </c>
      <c r="FG35">
        <f>87521</f>
        <v>87521</v>
      </c>
      <c r="FH35">
        <f>85784.75</f>
        <v>85784.75</v>
      </c>
      <c r="FI35">
        <f>91842.25</f>
        <v>91842.25</v>
      </c>
      <c r="FJ35">
        <f>74174.5</f>
        <v>74174.5</v>
      </c>
      <c r="FK35">
        <f>69971.75</f>
        <v>69971.75</v>
      </c>
      <c r="FL35">
        <f>64195</f>
        <v>64195</v>
      </c>
      <c r="FM35">
        <f>56648</f>
        <v>56648</v>
      </c>
      <c r="FN35">
        <f>66035</f>
        <v>66035</v>
      </c>
      <c r="FO35">
        <f>58870</f>
        <v>58870</v>
      </c>
      <c r="FP35">
        <f>49521</f>
        <v>49521</v>
      </c>
      <c r="FQ35">
        <f>59840.75</f>
        <v>59840.75</v>
      </c>
    </row>
    <row r="36" spans="1:173" x14ac:dyDescent="0.25">
      <c r="CL36" t="str">
        <f>""</f>
        <v/>
      </c>
      <c r="CM36" t="str">
        <f>""</f>
        <v/>
      </c>
      <c r="CN36" t="str">
        <f>""</f>
        <v/>
      </c>
      <c r="CO36" t="str">
        <f>""</f>
        <v/>
      </c>
      <c r="CP36" t="str">
        <f>""</f>
        <v/>
      </c>
      <c r="CQ36" t="str">
        <f>""</f>
        <v/>
      </c>
      <c r="CR36" t="str">
        <f>""</f>
        <v/>
      </c>
      <c r="CS36" t="str">
        <f>""</f>
        <v/>
      </c>
      <c r="CT36" t="str">
        <f>""</f>
        <v/>
      </c>
      <c r="CU36" t="str">
        <f>""</f>
        <v/>
      </c>
      <c r="CV36" t="str">
        <f>""</f>
        <v/>
      </c>
      <c r="CW36" t="str">
        <f>""</f>
        <v/>
      </c>
      <c r="CX36" t="str">
        <f>""</f>
        <v/>
      </c>
      <c r="CY36" t="str">
        <f>""</f>
        <v/>
      </c>
      <c r="CZ36" t="str">
        <f>""</f>
        <v/>
      </c>
      <c r="DA36" t="str">
        <f>""</f>
        <v/>
      </c>
      <c r="DB36" t="str">
        <f>""</f>
        <v/>
      </c>
      <c r="DC36" t="str">
        <f>""</f>
        <v/>
      </c>
      <c r="DD36" t="str">
        <f>""</f>
        <v/>
      </c>
      <c r="DE36" t="str">
        <f>""</f>
        <v/>
      </c>
      <c r="DF36" t="str">
        <f>""</f>
        <v/>
      </c>
      <c r="DG36" t="str">
        <f>""</f>
        <v/>
      </c>
      <c r="DH36" t="str">
        <f>""</f>
        <v/>
      </c>
      <c r="DI36" t="str">
        <f>""</f>
        <v/>
      </c>
      <c r="DJ36" t="str">
        <f>""</f>
        <v/>
      </c>
      <c r="DK36" t="str">
        <f>""</f>
        <v/>
      </c>
      <c r="DL36" t="str">
        <f>""</f>
        <v/>
      </c>
      <c r="DM36" t="str">
        <f>""</f>
        <v/>
      </c>
      <c r="DN36" t="str">
        <f>""</f>
        <v/>
      </c>
      <c r="DO36" t="str">
        <f>""</f>
        <v/>
      </c>
      <c r="DP36" t="str">
        <f>""</f>
        <v/>
      </c>
      <c r="DQ36" t="str">
        <f>""</f>
        <v/>
      </c>
      <c r="DR36" t="str">
        <f>""</f>
        <v/>
      </c>
      <c r="DS36" t="str">
        <f>""</f>
        <v/>
      </c>
      <c r="DT36" t="str">
        <f>""</f>
        <v/>
      </c>
      <c r="DU36" t="str">
        <f>""</f>
        <v/>
      </c>
      <c r="DV36" t="str">
        <f>""</f>
        <v/>
      </c>
      <c r="DW36" t="str">
        <f>""</f>
        <v/>
      </c>
      <c r="DX36" t="str">
        <f>""</f>
        <v/>
      </c>
      <c r="DY36" t="str">
        <f>""</f>
        <v/>
      </c>
      <c r="DZ36" t="str">
        <f>""</f>
        <v/>
      </c>
      <c r="EA36" t="str">
        <f>""</f>
        <v/>
      </c>
      <c r="EB36" t="str">
        <f>""</f>
        <v/>
      </c>
      <c r="EC36" t="str">
        <f>""</f>
        <v/>
      </c>
      <c r="ED36" t="str">
        <f>""</f>
        <v/>
      </c>
      <c r="EE36" t="str">
        <f>""</f>
        <v/>
      </c>
      <c r="EF36" t="str">
        <f>""</f>
        <v/>
      </c>
      <c r="EG36" t="str">
        <f>""</f>
        <v/>
      </c>
      <c r="EH36" t="str">
        <f>""</f>
        <v/>
      </c>
      <c r="EI36" t="str">
        <f>""</f>
        <v/>
      </c>
      <c r="EJ36" t="str">
        <f>""</f>
        <v/>
      </c>
      <c r="EK36" t="str">
        <f>""</f>
        <v/>
      </c>
      <c r="EL36" t="str">
        <f>""</f>
        <v/>
      </c>
      <c r="EM36" t="str">
        <f>""</f>
        <v/>
      </c>
      <c r="EN36" t="str">
        <f>""</f>
        <v/>
      </c>
      <c r="EO36" t="str">
        <f>""</f>
        <v/>
      </c>
      <c r="EP36" t="str">
        <f>""</f>
        <v/>
      </c>
      <c r="EQ36" t="str">
        <f>""</f>
        <v/>
      </c>
      <c r="ER36" t="str">
        <f>""</f>
        <v/>
      </c>
      <c r="ES36" t="str">
        <f>""</f>
        <v/>
      </c>
      <c r="ET36" t="str">
        <f>""</f>
        <v/>
      </c>
      <c r="EU36" t="str">
        <f>""</f>
        <v/>
      </c>
      <c r="EV36" t="str">
        <f>""</f>
        <v/>
      </c>
      <c r="EW36" t="str">
        <f>""</f>
        <v/>
      </c>
      <c r="EX36" t="str">
        <f>""</f>
        <v/>
      </c>
      <c r="EY36" t="str">
        <f>""</f>
        <v/>
      </c>
      <c r="EZ36" t="str">
        <f>""</f>
        <v/>
      </c>
      <c r="FA36" t="str">
        <f>""</f>
        <v/>
      </c>
      <c r="FB36" t="str">
        <f>""</f>
        <v/>
      </c>
      <c r="FC36" t="str">
        <f>""</f>
        <v/>
      </c>
      <c r="FD36" t="str">
        <f>""</f>
        <v/>
      </c>
      <c r="FE36" t="str">
        <f>""</f>
        <v/>
      </c>
      <c r="FF36" t="str">
        <f>""</f>
        <v/>
      </c>
      <c r="FG36" t="str">
        <f>""</f>
        <v/>
      </c>
      <c r="FH36" t="str">
        <f>""</f>
        <v/>
      </c>
      <c r="FI36" t="str">
        <f>""</f>
        <v/>
      </c>
      <c r="FJ36" t="str">
        <f>""</f>
        <v/>
      </c>
      <c r="FK36" t="str">
        <f>""</f>
        <v/>
      </c>
      <c r="FL36" t="str">
        <f>""</f>
        <v/>
      </c>
      <c r="FM36" t="str">
        <f>""</f>
        <v/>
      </c>
      <c r="FN36" t="str">
        <f>""</f>
        <v/>
      </c>
      <c r="FO36" t="str">
        <f>""</f>
        <v/>
      </c>
      <c r="FP36" t="str">
        <f>""</f>
        <v/>
      </c>
      <c r="FQ36" t="str">
        <f>""</f>
        <v/>
      </c>
    </row>
    <row r="37" spans="1:173" x14ac:dyDescent="0.25">
      <c r="CL37" t="str">
        <f>""</f>
        <v/>
      </c>
      <c r="CM37" t="str">
        <f>""</f>
        <v/>
      </c>
      <c r="CN37" t="str">
        <f>""</f>
        <v/>
      </c>
      <c r="CO37" t="str">
        <f>""</f>
        <v/>
      </c>
      <c r="CP37" t="str">
        <f>""</f>
        <v/>
      </c>
      <c r="CQ37" t="str">
        <f>""</f>
        <v/>
      </c>
      <c r="CR37" t="str">
        <f>""</f>
        <v/>
      </c>
      <c r="CS37" t="str">
        <f>""</f>
        <v/>
      </c>
      <c r="CT37" t="str">
        <f>""</f>
        <v/>
      </c>
      <c r="CU37" t="str">
        <f>""</f>
        <v/>
      </c>
      <c r="CV37" t="str">
        <f>""</f>
        <v/>
      </c>
      <c r="CW37" t="str">
        <f>""</f>
        <v/>
      </c>
      <c r="CX37" t="str">
        <f>""</f>
        <v/>
      </c>
      <c r="CY37" t="str">
        <f>""</f>
        <v/>
      </c>
      <c r="CZ37" t="str">
        <f>""</f>
        <v/>
      </c>
      <c r="DA37" t="str">
        <f>""</f>
        <v/>
      </c>
      <c r="DB37" t="str">
        <f>""</f>
        <v/>
      </c>
      <c r="DC37" t="str">
        <f>""</f>
        <v/>
      </c>
      <c r="DD37" t="str">
        <f>""</f>
        <v/>
      </c>
      <c r="DE37" t="str">
        <f>""</f>
        <v/>
      </c>
      <c r="DF37" t="str">
        <f>""</f>
        <v/>
      </c>
      <c r="DG37" t="str">
        <f>""</f>
        <v/>
      </c>
      <c r="DH37" t="str">
        <f>""</f>
        <v/>
      </c>
      <c r="DI37" t="str">
        <f>""</f>
        <v/>
      </c>
      <c r="DJ37" t="str">
        <f>""</f>
        <v/>
      </c>
      <c r="DK37" t="str">
        <f>""</f>
        <v/>
      </c>
      <c r="DL37" t="str">
        <f>""</f>
        <v/>
      </c>
      <c r="DM37" t="str">
        <f>""</f>
        <v/>
      </c>
      <c r="DN37" t="str">
        <f>""</f>
        <v/>
      </c>
      <c r="DO37" t="str">
        <f>""</f>
        <v/>
      </c>
      <c r="DP37" t="str">
        <f>""</f>
        <v/>
      </c>
      <c r="DQ37" t="str">
        <f>""</f>
        <v/>
      </c>
      <c r="DR37" t="str">
        <f>""</f>
        <v/>
      </c>
      <c r="DS37" t="str">
        <f>""</f>
        <v/>
      </c>
      <c r="DT37" t="str">
        <f>""</f>
        <v/>
      </c>
      <c r="DU37" t="str">
        <f>""</f>
        <v/>
      </c>
      <c r="DV37" t="str">
        <f>""</f>
        <v/>
      </c>
      <c r="DW37" t="str">
        <f>""</f>
        <v/>
      </c>
      <c r="DX37" t="str">
        <f>""</f>
        <v/>
      </c>
      <c r="DY37" t="str">
        <f>""</f>
        <v/>
      </c>
      <c r="DZ37" t="str">
        <f>""</f>
        <v/>
      </c>
      <c r="EA37" t="str">
        <f>""</f>
        <v/>
      </c>
      <c r="EB37" t="str">
        <f>""</f>
        <v/>
      </c>
      <c r="EC37" t="str">
        <f>""</f>
        <v/>
      </c>
      <c r="ED37" t="str">
        <f>""</f>
        <v/>
      </c>
      <c r="EE37" t="str">
        <f>""</f>
        <v/>
      </c>
      <c r="EF37" t="str">
        <f>""</f>
        <v/>
      </c>
      <c r="EG37" t="str">
        <f>""</f>
        <v/>
      </c>
      <c r="EH37" t="str">
        <f>""</f>
        <v/>
      </c>
      <c r="EI37" t="str">
        <f>""</f>
        <v/>
      </c>
      <c r="EJ37" t="str">
        <f>""</f>
        <v/>
      </c>
      <c r="EK37" t="str">
        <f>""</f>
        <v/>
      </c>
      <c r="EL37" t="str">
        <f>""</f>
        <v/>
      </c>
      <c r="EM37" t="str">
        <f>""</f>
        <v/>
      </c>
      <c r="EN37" t="str">
        <f>""</f>
        <v/>
      </c>
      <c r="EO37" t="str">
        <f>""</f>
        <v/>
      </c>
      <c r="EP37" t="str">
        <f>""</f>
        <v/>
      </c>
      <c r="EQ37" t="str">
        <f>""</f>
        <v/>
      </c>
      <c r="ER37" t="str">
        <f>""</f>
        <v/>
      </c>
      <c r="ES37" t="str">
        <f>""</f>
        <v/>
      </c>
      <c r="ET37" t="str">
        <f>""</f>
        <v/>
      </c>
      <c r="EU37" t="str">
        <f>""</f>
        <v/>
      </c>
      <c r="EV37" t="str">
        <f>""</f>
        <v/>
      </c>
      <c r="EW37" t="str">
        <f>""</f>
        <v/>
      </c>
      <c r="EX37" t="str">
        <f>""</f>
        <v/>
      </c>
      <c r="EY37" t="str">
        <f>""</f>
        <v/>
      </c>
      <c r="EZ37" t="str">
        <f>""</f>
        <v/>
      </c>
      <c r="FA37" t="str">
        <f>""</f>
        <v/>
      </c>
      <c r="FB37" t="str">
        <f>""</f>
        <v/>
      </c>
      <c r="FC37" t="str">
        <f>""</f>
        <v/>
      </c>
      <c r="FD37" t="str">
        <f>""</f>
        <v/>
      </c>
      <c r="FE37" t="str">
        <f>""</f>
        <v/>
      </c>
      <c r="FF37" t="str">
        <f>""</f>
        <v/>
      </c>
      <c r="FG37" t="str">
        <f>""</f>
        <v/>
      </c>
      <c r="FH37" t="str">
        <f>""</f>
        <v/>
      </c>
      <c r="FI37" t="str">
        <f>""</f>
        <v/>
      </c>
      <c r="FJ37" t="str">
        <f>""</f>
        <v/>
      </c>
      <c r="FK37" t="str">
        <f>""</f>
        <v/>
      </c>
      <c r="FL37" t="str">
        <f>""</f>
        <v/>
      </c>
      <c r="FM37" t="str">
        <f>""</f>
        <v/>
      </c>
      <c r="FN37" t="str">
        <f>""</f>
        <v/>
      </c>
      <c r="FO37" t="str">
        <f>""</f>
        <v/>
      </c>
      <c r="FP37" t="str">
        <f>""</f>
        <v/>
      </c>
      <c r="FQ37" t="str">
        <f>""</f>
        <v/>
      </c>
    </row>
    <row r="38" spans="1:173" x14ac:dyDescent="0.25">
      <c r="CL38" t="str">
        <f>""</f>
        <v/>
      </c>
      <c r="CM38" t="str">
        <f>""</f>
        <v/>
      </c>
      <c r="CN38" t="str">
        <f>""</f>
        <v/>
      </c>
      <c r="CO38" t="str">
        <f>""</f>
        <v/>
      </c>
      <c r="CP38" t="str">
        <f>""</f>
        <v/>
      </c>
      <c r="CQ38" t="str">
        <f>""</f>
        <v/>
      </c>
      <c r="CR38" t="str">
        <f>""</f>
        <v/>
      </c>
      <c r="CS38" t="str">
        <f>""</f>
        <v/>
      </c>
      <c r="CT38" t="str">
        <f>""</f>
        <v/>
      </c>
      <c r="CU38" t="str">
        <f>""</f>
        <v/>
      </c>
      <c r="CV38" t="str">
        <f>""</f>
        <v/>
      </c>
      <c r="CW38" t="str">
        <f>""</f>
        <v/>
      </c>
      <c r="CX38" t="str">
        <f>""</f>
        <v/>
      </c>
      <c r="CY38" t="str">
        <f>""</f>
        <v/>
      </c>
      <c r="CZ38" t="str">
        <f>""</f>
        <v/>
      </c>
      <c r="DA38" t="str">
        <f>""</f>
        <v/>
      </c>
      <c r="DB38" t="str">
        <f>""</f>
        <v/>
      </c>
      <c r="DC38" t="str">
        <f>""</f>
        <v/>
      </c>
      <c r="DD38" t="str">
        <f>""</f>
        <v/>
      </c>
      <c r="DE38" t="str">
        <f>""</f>
        <v/>
      </c>
      <c r="DF38" t="str">
        <f>""</f>
        <v/>
      </c>
      <c r="DG38" t="str">
        <f>""</f>
        <v/>
      </c>
      <c r="DH38" t="str">
        <f>""</f>
        <v/>
      </c>
      <c r="DI38" t="str">
        <f>""</f>
        <v/>
      </c>
      <c r="DJ38" t="str">
        <f>""</f>
        <v/>
      </c>
      <c r="DK38" t="str">
        <f>""</f>
        <v/>
      </c>
      <c r="DL38" t="str">
        <f>""</f>
        <v/>
      </c>
      <c r="DM38" t="str">
        <f>""</f>
        <v/>
      </c>
      <c r="DN38" t="str">
        <f>""</f>
        <v/>
      </c>
      <c r="DO38" t="str">
        <f>""</f>
        <v/>
      </c>
      <c r="DP38" t="str">
        <f>""</f>
        <v/>
      </c>
      <c r="DQ38" t="str">
        <f>""</f>
        <v/>
      </c>
      <c r="DR38" t="str">
        <f>""</f>
        <v/>
      </c>
      <c r="DS38" t="str">
        <f>""</f>
        <v/>
      </c>
      <c r="DT38" t="str">
        <f>""</f>
        <v/>
      </c>
      <c r="DU38" t="str">
        <f>""</f>
        <v/>
      </c>
      <c r="DV38" t="str">
        <f>""</f>
        <v/>
      </c>
      <c r="DW38" t="str">
        <f>""</f>
        <v/>
      </c>
      <c r="DX38" t="str">
        <f>""</f>
        <v/>
      </c>
      <c r="DY38" t="str">
        <f>""</f>
        <v/>
      </c>
      <c r="DZ38" t="str">
        <f>""</f>
        <v/>
      </c>
      <c r="EA38" t="str">
        <f>""</f>
        <v/>
      </c>
      <c r="EB38" t="str">
        <f>""</f>
        <v/>
      </c>
      <c r="EC38" t="str">
        <f>""</f>
        <v/>
      </c>
      <c r="ED38" t="str">
        <f>""</f>
        <v/>
      </c>
      <c r="EE38" t="str">
        <f>""</f>
        <v/>
      </c>
      <c r="EF38" t="str">
        <f>""</f>
        <v/>
      </c>
      <c r="EG38" t="str">
        <f>""</f>
        <v/>
      </c>
      <c r="EH38" t="str">
        <f>""</f>
        <v/>
      </c>
      <c r="EI38" t="str">
        <f>""</f>
        <v/>
      </c>
      <c r="EJ38" t="str">
        <f>""</f>
        <v/>
      </c>
      <c r="EK38" t="str">
        <f>""</f>
        <v/>
      </c>
      <c r="EL38" t="str">
        <f>""</f>
        <v/>
      </c>
      <c r="EM38" t="str">
        <f>""</f>
        <v/>
      </c>
      <c r="EN38" t="str">
        <f>""</f>
        <v/>
      </c>
      <c r="EO38" t="str">
        <f>""</f>
        <v/>
      </c>
      <c r="EP38" t="str">
        <f>""</f>
        <v/>
      </c>
      <c r="EQ38" t="str">
        <f>""</f>
        <v/>
      </c>
      <c r="ER38" t="str">
        <f>""</f>
        <v/>
      </c>
      <c r="ES38" t="str">
        <f>""</f>
        <v/>
      </c>
      <c r="ET38" t="str">
        <f>""</f>
        <v/>
      </c>
      <c r="EU38" t="str">
        <f>""</f>
        <v/>
      </c>
      <c r="EV38" t="str">
        <f>""</f>
        <v/>
      </c>
      <c r="EW38" t="str">
        <f>""</f>
        <v/>
      </c>
      <c r="EX38" t="str">
        <f>""</f>
        <v/>
      </c>
      <c r="EY38" t="str">
        <f>""</f>
        <v/>
      </c>
      <c r="EZ38" t="str">
        <f>""</f>
        <v/>
      </c>
      <c r="FA38" t="str">
        <f>""</f>
        <v/>
      </c>
      <c r="FB38" t="str">
        <f>""</f>
        <v/>
      </c>
      <c r="FC38" t="str">
        <f>""</f>
        <v/>
      </c>
      <c r="FD38" t="str">
        <f>""</f>
        <v/>
      </c>
      <c r="FE38" t="str">
        <f>""</f>
        <v/>
      </c>
      <c r="FF38" t="str">
        <f>""</f>
        <v/>
      </c>
      <c r="FG38" t="str">
        <f>""</f>
        <v/>
      </c>
      <c r="FH38" t="str">
        <f>""</f>
        <v/>
      </c>
      <c r="FI38" t="str">
        <f>""</f>
        <v/>
      </c>
      <c r="FJ38" t="str">
        <f>""</f>
        <v/>
      </c>
      <c r="FK38" t="str">
        <f>""</f>
        <v/>
      </c>
      <c r="FL38" t="str">
        <f>""</f>
        <v/>
      </c>
      <c r="FM38" t="str">
        <f>""</f>
        <v/>
      </c>
      <c r="FN38" t="str">
        <f>""</f>
        <v/>
      </c>
      <c r="FO38" t="str">
        <f>""</f>
        <v/>
      </c>
      <c r="FP38" t="str">
        <f>""</f>
        <v/>
      </c>
      <c r="FQ38" t="str">
        <f>""</f>
        <v/>
      </c>
    </row>
    <row r="39" spans="1:173" x14ac:dyDescent="0.25">
      <c r="CL39" t="str">
        <f>""</f>
        <v/>
      </c>
      <c r="CM39" t="str">
        <f>""</f>
        <v/>
      </c>
      <c r="CN39" t="str">
        <f>""</f>
        <v/>
      </c>
      <c r="CO39" t="str">
        <f>""</f>
        <v/>
      </c>
      <c r="CP39" t="str">
        <f>""</f>
        <v/>
      </c>
      <c r="CQ39" t="str">
        <f>""</f>
        <v/>
      </c>
      <c r="CR39" t="str">
        <f>""</f>
        <v/>
      </c>
      <c r="CS39" t="str">
        <f>""</f>
        <v/>
      </c>
      <c r="CT39" t="str">
        <f>""</f>
        <v/>
      </c>
      <c r="CU39" t="str">
        <f>""</f>
        <v/>
      </c>
      <c r="CV39" t="str">
        <f>""</f>
        <v/>
      </c>
      <c r="CW39" t="str">
        <f>""</f>
        <v/>
      </c>
      <c r="CX39" t="str">
        <f>""</f>
        <v/>
      </c>
      <c r="CY39" t="str">
        <f>""</f>
        <v/>
      </c>
      <c r="CZ39" t="str">
        <f>""</f>
        <v/>
      </c>
      <c r="DA39" t="str">
        <f>""</f>
        <v/>
      </c>
      <c r="DB39" t="str">
        <f>""</f>
        <v/>
      </c>
      <c r="DC39" t="str">
        <f>""</f>
        <v/>
      </c>
      <c r="DD39" t="str">
        <f>""</f>
        <v/>
      </c>
      <c r="DE39" t="str">
        <f>""</f>
        <v/>
      </c>
      <c r="DF39" t="str">
        <f>""</f>
        <v/>
      </c>
      <c r="DG39" t="str">
        <f>""</f>
        <v/>
      </c>
      <c r="DH39" t="str">
        <f>""</f>
        <v/>
      </c>
      <c r="DI39" t="str">
        <f>""</f>
        <v/>
      </c>
      <c r="DJ39" t="str">
        <f>""</f>
        <v/>
      </c>
      <c r="DK39" t="str">
        <f>""</f>
        <v/>
      </c>
      <c r="DL39" t="str">
        <f>""</f>
        <v/>
      </c>
      <c r="DM39" t="str">
        <f>""</f>
        <v/>
      </c>
      <c r="DN39" t="str">
        <f>""</f>
        <v/>
      </c>
      <c r="DO39" t="str">
        <f>""</f>
        <v/>
      </c>
      <c r="DP39" t="str">
        <f>""</f>
        <v/>
      </c>
      <c r="DQ39" t="str">
        <f>""</f>
        <v/>
      </c>
      <c r="DR39" t="str">
        <f>""</f>
        <v/>
      </c>
      <c r="DS39" t="str">
        <f>""</f>
        <v/>
      </c>
      <c r="DT39" t="str">
        <f>""</f>
        <v/>
      </c>
      <c r="DU39" t="str">
        <f>""</f>
        <v/>
      </c>
      <c r="DV39" t="str">
        <f>""</f>
        <v/>
      </c>
      <c r="DW39" t="str">
        <f>""</f>
        <v/>
      </c>
      <c r="DX39" t="str">
        <f>""</f>
        <v/>
      </c>
      <c r="DY39" t="str">
        <f>""</f>
        <v/>
      </c>
      <c r="DZ39" t="str">
        <f>""</f>
        <v/>
      </c>
      <c r="EA39" t="str">
        <f>""</f>
        <v/>
      </c>
      <c r="EB39" t="str">
        <f>""</f>
        <v/>
      </c>
      <c r="EC39" t="str">
        <f>""</f>
        <v/>
      </c>
      <c r="ED39" t="str">
        <f>""</f>
        <v/>
      </c>
      <c r="EE39" t="str">
        <f>""</f>
        <v/>
      </c>
      <c r="EF39" t="str">
        <f>""</f>
        <v/>
      </c>
      <c r="EG39" t="str">
        <f>""</f>
        <v/>
      </c>
      <c r="EH39" t="str">
        <f>""</f>
        <v/>
      </c>
      <c r="EI39" t="str">
        <f>""</f>
        <v/>
      </c>
      <c r="EJ39" t="str">
        <f>""</f>
        <v/>
      </c>
      <c r="EK39" t="str">
        <f>""</f>
        <v/>
      </c>
      <c r="EL39" t="str">
        <f>""</f>
        <v/>
      </c>
      <c r="EM39" t="str">
        <f>""</f>
        <v/>
      </c>
      <c r="EN39" t="str">
        <f>""</f>
        <v/>
      </c>
      <c r="EO39" t="str">
        <f>""</f>
        <v/>
      </c>
      <c r="EP39" t="str">
        <f>""</f>
        <v/>
      </c>
      <c r="EQ39" t="str">
        <f>""</f>
        <v/>
      </c>
      <c r="ER39" t="str">
        <f>""</f>
        <v/>
      </c>
      <c r="ES39" t="str">
        <f>""</f>
        <v/>
      </c>
      <c r="ET39" t="str">
        <f>""</f>
        <v/>
      </c>
      <c r="EU39" t="str">
        <f>""</f>
        <v/>
      </c>
      <c r="EV39" t="str">
        <f>""</f>
        <v/>
      </c>
      <c r="EW39" t="str">
        <f>""</f>
        <v/>
      </c>
      <c r="EX39" t="str">
        <f>""</f>
        <v/>
      </c>
      <c r="EY39" t="str">
        <f>""</f>
        <v/>
      </c>
      <c r="EZ39" t="str">
        <f>""</f>
        <v/>
      </c>
      <c r="FA39" t="str">
        <f>""</f>
        <v/>
      </c>
      <c r="FB39" t="str">
        <f>""</f>
        <v/>
      </c>
      <c r="FC39" t="str">
        <f>""</f>
        <v/>
      </c>
      <c r="FD39" t="str">
        <f>""</f>
        <v/>
      </c>
      <c r="FE39" t="str">
        <f>""</f>
        <v/>
      </c>
      <c r="FF39" t="str">
        <f>""</f>
        <v/>
      </c>
      <c r="FG39" t="str">
        <f>""</f>
        <v/>
      </c>
      <c r="FH39" t="str">
        <f>""</f>
        <v/>
      </c>
      <c r="FI39" t="str">
        <f>""</f>
        <v/>
      </c>
      <c r="FJ39" t="str">
        <f>""</f>
        <v/>
      </c>
      <c r="FK39" t="str">
        <f>""</f>
        <v/>
      </c>
      <c r="FL39" t="str">
        <f>""</f>
        <v/>
      </c>
      <c r="FM39" t="str">
        <f>""</f>
        <v/>
      </c>
      <c r="FN39" t="str">
        <f>""</f>
        <v/>
      </c>
      <c r="FO39" t="str">
        <f>""</f>
        <v/>
      </c>
      <c r="FP39" t="str">
        <f>""</f>
        <v/>
      </c>
      <c r="FQ39" t="str">
        <f>""</f>
        <v/>
      </c>
    </row>
    <row r="40" spans="1:173" x14ac:dyDescent="0.25">
      <c r="CL40" t="str">
        <f>""</f>
        <v/>
      </c>
      <c r="CM40" t="str">
        <f>""</f>
        <v/>
      </c>
      <c r="CN40" t="str">
        <f>""</f>
        <v/>
      </c>
      <c r="CO40" t="str">
        <f>""</f>
        <v/>
      </c>
      <c r="CP40" t="str">
        <f>""</f>
        <v/>
      </c>
      <c r="CQ40" t="str">
        <f>""</f>
        <v/>
      </c>
      <c r="CR40" t="str">
        <f>""</f>
        <v/>
      </c>
      <c r="CS40" t="str">
        <f>""</f>
        <v/>
      </c>
      <c r="CT40" t="str">
        <f>""</f>
        <v/>
      </c>
      <c r="CU40" t="str">
        <f>""</f>
        <v/>
      </c>
      <c r="CV40" t="str">
        <f>""</f>
        <v/>
      </c>
      <c r="CW40" t="str">
        <f>""</f>
        <v/>
      </c>
      <c r="CX40" t="str">
        <f>""</f>
        <v/>
      </c>
      <c r="CY40" t="str">
        <f>""</f>
        <v/>
      </c>
      <c r="CZ40" t="str">
        <f>""</f>
        <v/>
      </c>
      <c r="DA40" t="str">
        <f>""</f>
        <v/>
      </c>
      <c r="DB40" t="str">
        <f>""</f>
        <v/>
      </c>
      <c r="DC40" t="str">
        <f>""</f>
        <v/>
      </c>
      <c r="DD40" t="str">
        <f>""</f>
        <v/>
      </c>
      <c r="DE40" t="str">
        <f>""</f>
        <v/>
      </c>
      <c r="DF40" t="str">
        <f>""</f>
        <v/>
      </c>
      <c r="DG40" t="str">
        <f>""</f>
        <v/>
      </c>
      <c r="DH40" t="str">
        <f>""</f>
        <v/>
      </c>
      <c r="DI40" t="str">
        <f>""</f>
        <v/>
      </c>
      <c r="DJ40" t="str">
        <f>""</f>
        <v/>
      </c>
      <c r="DK40" t="str">
        <f>""</f>
        <v/>
      </c>
      <c r="DL40" t="str">
        <f>""</f>
        <v/>
      </c>
      <c r="DM40" t="str">
        <f>""</f>
        <v/>
      </c>
      <c r="DN40" t="str">
        <f>""</f>
        <v/>
      </c>
      <c r="DO40" t="str">
        <f>""</f>
        <v/>
      </c>
      <c r="DP40" t="str">
        <f>""</f>
        <v/>
      </c>
      <c r="DQ40" t="str">
        <f>""</f>
        <v/>
      </c>
      <c r="DR40" t="str">
        <f>""</f>
        <v/>
      </c>
      <c r="DS40" t="str">
        <f>""</f>
        <v/>
      </c>
      <c r="DT40" t="str">
        <f>""</f>
        <v/>
      </c>
      <c r="DU40" t="str">
        <f>""</f>
        <v/>
      </c>
      <c r="DV40" t="str">
        <f>""</f>
        <v/>
      </c>
      <c r="DW40" t="str">
        <f>""</f>
        <v/>
      </c>
      <c r="DX40" t="str">
        <f>""</f>
        <v/>
      </c>
      <c r="DY40" t="str">
        <f>""</f>
        <v/>
      </c>
      <c r="DZ40" t="str">
        <f>""</f>
        <v/>
      </c>
      <c r="EA40" t="str">
        <f>""</f>
        <v/>
      </c>
      <c r="EB40" t="str">
        <f>""</f>
        <v/>
      </c>
      <c r="EC40" t="str">
        <f>""</f>
        <v/>
      </c>
      <c r="ED40" t="str">
        <f>""</f>
        <v/>
      </c>
      <c r="EE40" t="str">
        <f>""</f>
        <v/>
      </c>
      <c r="EF40" t="str">
        <f>""</f>
        <v/>
      </c>
      <c r="EG40" t="str">
        <f>""</f>
        <v/>
      </c>
      <c r="EH40" t="str">
        <f>""</f>
        <v/>
      </c>
      <c r="EI40" t="str">
        <f>""</f>
        <v/>
      </c>
      <c r="EJ40" t="str">
        <f>""</f>
        <v/>
      </c>
      <c r="EK40" t="str">
        <f>""</f>
        <v/>
      </c>
      <c r="EL40" t="str">
        <f>""</f>
        <v/>
      </c>
      <c r="EM40" t="str">
        <f>""</f>
        <v/>
      </c>
      <c r="EN40" t="str">
        <f>""</f>
        <v/>
      </c>
      <c r="EO40" t="str">
        <f>""</f>
        <v/>
      </c>
      <c r="EP40" t="str">
        <f>""</f>
        <v/>
      </c>
      <c r="EQ40" t="str">
        <f>""</f>
        <v/>
      </c>
      <c r="ER40" t="str">
        <f>""</f>
        <v/>
      </c>
      <c r="ES40" t="str">
        <f>""</f>
        <v/>
      </c>
      <c r="ET40" t="str">
        <f>""</f>
        <v/>
      </c>
      <c r="EU40" t="str">
        <f>""</f>
        <v/>
      </c>
      <c r="EV40" t="str">
        <f>""</f>
        <v/>
      </c>
      <c r="EW40" t="str">
        <f>""</f>
        <v/>
      </c>
      <c r="EX40" t="str">
        <f>""</f>
        <v/>
      </c>
      <c r="EY40" t="str">
        <f>""</f>
        <v/>
      </c>
      <c r="EZ40" t="str">
        <f>""</f>
        <v/>
      </c>
      <c r="FA40" t="str">
        <f>""</f>
        <v/>
      </c>
      <c r="FB40" t="str">
        <f>""</f>
        <v/>
      </c>
      <c r="FC40" t="str">
        <f>""</f>
        <v/>
      </c>
      <c r="FD40" t="str">
        <f>""</f>
        <v/>
      </c>
      <c r="FE40" t="str">
        <f>""</f>
        <v/>
      </c>
      <c r="FF40" t="str">
        <f>""</f>
        <v/>
      </c>
      <c r="FG40" t="str">
        <f>""</f>
        <v/>
      </c>
      <c r="FH40" t="str">
        <f>""</f>
        <v/>
      </c>
      <c r="FI40" t="str">
        <f>""</f>
        <v/>
      </c>
      <c r="FJ40" t="str">
        <f>""</f>
        <v/>
      </c>
      <c r="FK40" t="str">
        <f>""</f>
        <v/>
      </c>
      <c r="FL40" t="str">
        <f>""</f>
        <v/>
      </c>
      <c r="FM40" t="str">
        <f>""</f>
        <v/>
      </c>
      <c r="FN40" t="str">
        <f>""</f>
        <v/>
      </c>
      <c r="FO40" t="str">
        <f>""</f>
        <v/>
      </c>
      <c r="FP40" t="str">
        <f>""</f>
        <v/>
      </c>
      <c r="FQ40" t="str">
        <f>""</f>
        <v/>
      </c>
    </row>
    <row r="41" spans="1:173" x14ac:dyDescent="0.25">
      <c r="CL41" t="str">
        <f>""</f>
        <v/>
      </c>
      <c r="CM41" t="str">
        <f>""</f>
        <v/>
      </c>
      <c r="CN41" t="str">
        <f>""</f>
        <v/>
      </c>
      <c r="CO41" t="str">
        <f>""</f>
        <v/>
      </c>
      <c r="CP41" t="str">
        <f>""</f>
        <v/>
      </c>
      <c r="CQ41" t="str">
        <f>""</f>
        <v/>
      </c>
      <c r="CR41" t="str">
        <f>""</f>
        <v/>
      </c>
      <c r="CS41" t="str">
        <f>""</f>
        <v/>
      </c>
      <c r="CT41" t="str">
        <f>""</f>
        <v/>
      </c>
      <c r="CU41" t="str">
        <f>""</f>
        <v/>
      </c>
      <c r="CV41" t="str">
        <f>""</f>
        <v/>
      </c>
      <c r="CW41" t="str">
        <f>""</f>
        <v/>
      </c>
      <c r="CX41" t="str">
        <f>""</f>
        <v/>
      </c>
      <c r="CY41" t="str">
        <f>""</f>
        <v/>
      </c>
      <c r="CZ41" t="str">
        <f>""</f>
        <v/>
      </c>
      <c r="DA41" t="str">
        <f>""</f>
        <v/>
      </c>
      <c r="DB41" t="str">
        <f>""</f>
        <v/>
      </c>
      <c r="DC41" t="str">
        <f>""</f>
        <v/>
      </c>
      <c r="DD41" t="str">
        <f>""</f>
        <v/>
      </c>
      <c r="DE41" t="str">
        <f>""</f>
        <v/>
      </c>
      <c r="DF41" t="str">
        <f>""</f>
        <v/>
      </c>
      <c r="DG41" t="str">
        <f>""</f>
        <v/>
      </c>
      <c r="DH41" t="str">
        <f>""</f>
        <v/>
      </c>
      <c r="DI41" t="str">
        <f>""</f>
        <v/>
      </c>
      <c r="DJ41" t="str">
        <f>""</f>
        <v/>
      </c>
      <c r="DK41" t="str">
        <f>""</f>
        <v/>
      </c>
      <c r="DL41" t="str">
        <f>""</f>
        <v/>
      </c>
      <c r="DM41" t="str">
        <f>""</f>
        <v/>
      </c>
      <c r="DN41" t="str">
        <f>""</f>
        <v/>
      </c>
      <c r="DO41" t="str">
        <f>""</f>
        <v/>
      </c>
      <c r="DP41" t="str">
        <f>""</f>
        <v/>
      </c>
      <c r="DQ41" t="str">
        <f>""</f>
        <v/>
      </c>
      <c r="DR41" t="str">
        <f>""</f>
        <v/>
      </c>
      <c r="DS41" t="str">
        <f>""</f>
        <v/>
      </c>
      <c r="DT41" t="str">
        <f>""</f>
        <v/>
      </c>
      <c r="DU41" t="str">
        <f>""</f>
        <v/>
      </c>
      <c r="DV41" t="str">
        <f>""</f>
        <v/>
      </c>
      <c r="DW41" t="str">
        <f>""</f>
        <v/>
      </c>
      <c r="DX41" t="str">
        <f>""</f>
        <v/>
      </c>
      <c r="DY41" t="str">
        <f>""</f>
        <v/>
      </c>
      <c r="DZ41" t="str">
        <f>""</f>
        <v/>
      </c>
      <c r="EA41" t="str">
        <f>""</f>
        <v/>
      </c>
      <c r="EB41" t="str">
        <f>""</f>
        <v/>
      </c>
      <c r="EC41" t="str">
        <f>""</f>
        <v/>
      </c>
      <c r="ED41" t="str">
        <f>""</f>
        <v/>
      </c>
      <c r="EE41" t="str">
        <f>""</f>
        <v/>
      </c>
      <c r="EF41" t="str">
        <f>""</f>
        <v/>
      </c>
      <c r="EG41" t="str">
        <f>""</f>
        <v/>
      </c>
      <c r="EH41" t="str">
        <f>""</f>
        <v/>
      </c>
      <c r="EI41" t="str">
        <f>""</f>
        <v/>
      </c>
      <c r="EJ41" t="str">
        <f>""</f>
        <v/>
      </c>
      <c r="EK41" t="str">
        <f>""</f>
        <v/>
      </c>
      <c r="EL41" t="str">
        <f>""</f>
        <v/>
      </c>
      <c r="EM41" t="str">
        <f>""</f>
        <v/>
      </c>
      <c r="EN41" t="str">
        <f>""</f>
        <v/>
      </c>
      <c r="EO41" t="str">
        <f>""</f>
        <v/>
      </c>
      <c r="EP41" t="str">
        <f>""</f>
        <v/>
      </c>
      <c r="EQ41" t="str">
        <f>""</f>
        <v/>
      </c>
      <c r="ER41" t="str">
        <f>""</f>
        <v/>
      </c>
      <c r="ES41" t="str">
        <f>""</f>
        <v/>
      </c>
      <c r="ET41" t="str">
        <f>""</f>
        <v/>
      </c>
      <c r="EU41" t="str">
        <f>""</f>
        <v/>
      </c>
      <c r="EV41" t="str">
        <f>""</f>
        <v/>
      </c>
      <c r="EW41" t="str">
        <f>""</f>
        <v/>
      </c>
      <c r="EX41" t="str">
        <f>""</f>
        <v/>
      </c>
      <c r="EY41" t="str">
        <f>""</f>
        <v/>
      </c>
      <c r="EZ41" t="str">
        <f>""</f>
        <v/>
      </c>
      <c r="FA41" t="str">
        <f>""</f>
        <v/>
      </c>
      <c r="FB41" t="str">
        <f>""</f>
        <v/>
      </c>
      <c r="FC41" t="str">
        <f>""</f>
        <v/>
      </c>
      <c r="FD41" t="str">
        <f>""</f>
        <v/>
      </c>
      <c r="FE41" t="str">
        <f>""</f>
        <v/>
      </c>
      <c r="FF41" t="str">
        <f>""</f>
        <v/>
      </c>
      <c r="FG41" t="str">
        <f>""</f>
        <v/>
      </c>
      <c r="FH41" t="str">
        <f>""</f>
        <v/>
      </c>
      <c r="FI41" t="str">
        <f>""</f>
        <v/>
      </c>
      <c r="FJ41" t="str">
        <f>""</f>
        <v/>
      </c>
      <c r="FK41" t="str">
        <f>""</f>
        <v/>
      </c>
      <c r="FL41" t="str">
        <f>""</f>
        <v/>
      </c>
      <c r="FM41" t="str">
        <f>""</f>
        <v/>
      </c>
      <c r="FN41" t="str">
        <f>""</f>
        <v/>
      </c>
      <c r="FO41" t="str">
        <f>""</f>
        <v/>
      </c>
      <c r="FP41" t="str">
        <f>""</f>
        <v/>
      </c>
      <c r="FQ41" t="str">
        <f>""</f>
        <v/>
      </c>
    </row>
    <row r="42" spans="1:173" x14ac:dyDescent="0.25">
      <c r="CL42" t="str">
        <f>""</f>
        <v/>
      </c>
      <c r="CM42" t="str">
        <f>""</f>
        <v/>
      </c>
      <c r="CN42" t="str">
        <f>""</f>
        <v/>
      </c>
      <c r="CO42" t="str">
        <f>""</f>
        <v/>
      </c>
      <c r="CP42" t="str">
        <f>""</f>
        <v/>
      </c>
      <c r="CQ42" t="str">
        <f>""</f>
        <v/>
      </c>
      <c r="CR42" t="str">
        <f>""</f>
        <v/>
      </c>
      <c r="CS42" t="str">
        <f>""</f>
        <v/>
      </c>
      <c r="CT42" t="str">
        <f>""</f>
        <v/>
      </c>
      <c r="CU42" t="str">
        <f>""</f>
        <v/>
      </c>
      <c r="CV42" t="str">
        <f>""</f>
        <v/>
      </c>
      <c r="CW42" t="str">
        <f>""</f>
        <v/>
      </c>
      <c r="CX42" t="str">
        <f>""</f>
        <v/>
      </c>
      <c r="CY42" t="str">
        <f>""</f>
        <v/>
      </c>
      <c r="CZ42" t="str">
        <f>""</f>
        <v/>
      </c>
      <c r="DA42" t="str">
        <f>""</f>
        <v/>
      </c>
      <c r="DB42" t="str">
        <f>""</f>
        <v/>
      </c>
      <c r="DC42" t="str">
        <f>""</f>
        <v/>
      </c>
      <c r="DD42" t="str">
        <f>""</f>
        <v/>
      </c>
      <c r="DE42" t="str">
        <f>""</f>
        <v/>
      </c>
      <c r="DF42" t="str">
        <f>""</f>
        <v/>
      </c>
      <c r="DG42" t="str">
        <f>""</f>
        <v/>
      </c>
      <c r="DH42" t="str">
        <f>""</f>
        <v/>
      </c>
      <c r="DI42" t="str">
        <f>""</f>
        <v/>
      </c>
      <c r="DJ42" t="str">
        <f>""</f>
        <v/>
      </c>
      <c r="DK42" t="str">
        <f>""</f>
        <v/>
      </c>
      <c r="DL42" t="str">
        <f>""</f>
        <v/>
      </c>
      <c r="DM42" t="str">
        <f>""</f>
        <v/>
      </c>
      <c r="DN42" t="str">
        <f>""</f>
        <v/>
      </c>
      <c r="DO42" t="str">
        <f>""</f>
        <v/>
      </c>
      <c r="DP42" t="str">
        <f>""</f>
        <v/>
      </c>
      <c r="DQ42" t="str">
        <f>""</f>
        <v/>
      </c>
      <c r="DR42" t="str">
        <f>""</f>
        <v/>
      </c>
      <c r="DS42" t="str">
        <f>""</f>
        <v/>
      </c>
      <c r="DT42" t="str">
        <f>""</f>
        <v/>
      </c>
      <c r="DU42" t="str">
        <f>""</f>
        <v/>
      </c>
      <c r="DV42" t="str">
        <f>""</f>
        <v/>
      </c>
      <c r="DW42" t="str">
        <f>""</f>
        <v/>
      </c>
      <c r="DX42" t="str">
        <f>""</f>
        <v/>
      </c>
      <c r="DY42" t="str">
        <f>""</f>
        <v/>
      </c>
      <c r="DZ42" t="str">
        <f>""</f>
        <v/>
      </c>
      <c r="EA42" t="str">
        <f>""</f>
        <v/>
      </c>
      <c r="EB42" t="str">
        <f>""</f>
        <v/>
      </c>
      <c r="EC42" t="str">
        <f>""</f>
        <v/>
      </c>
      <c r="ED42" t="str">
        <f>""</f>
        <v/>
      </c>
      <c r="EE42" t="str">
        <f>""</f>
        <v/>
      </c>
      <c r="EF42" t="str">
        <f>""</f>
        <v/>
      </c>
      <c r="EG42" t="str">
        <f>""</f>
        <v/>
      </c>
      <c r="EH42" t="str">
        <f>""</f>
        <v/>
      </c>
      <c r="EI42" t="str">
        <f>""</f>
        <v/>
      </c>
      <c r="EJ42" t="str">
        <f>""</f>
        <v/>
      </c>
      <c r="EK42" t="str">
        <f>""</f>
        <v/>
      </c>
      <c r="EL42" t="str">
        <f>""</f>
        <v/>
      </c>
      <c r="EM42" t="str">
        <f>""</f>
        <v/>
      </c>
      <c r="EN42" t="str">
        <f>""</f>
        <v/>
      </c>
      <c r="EO42" t="str">
        <f>""</f>
        <v/>
      </c>
      <c r="EP42" t="str">
        <f>""</f>
        <v/>
      </c>
      <c r="EQ42" t="str">
        <f>""</f>
        <v/>
      </c>
      <c r="ER42" t="str">
        <f>""</f>
        <v/>
      </c>
      <c r="ES42" t="str">
        <f>""</f>
        <v/>
      </c>
      <c r="ET42" t="str">
        <f>""</f>
        <v/>
      </c>
      <c r="EU42" t="str">
        <f>""</f>
        <v/>
      </c>
      <c r="EV42" t="str">
        <f>""</f>
        <v/>
      </c>
      <c r="EW42" t="str">
        <f>""</f>
        <v/>
      </c>
      <c r="EX42" t="str">
        <f>""</f>
        <v/>
      </c>
      <c r="EY42" t="str">
        <f>""</f>
        <v/>
      </c>
      <c r="EZ42" t="str">
        <f>""</f>
        <v/>
      </c>
      <c r="FA42" t="str">
        <f>""</f>
        <v/>
      </c>
      <c r="FB42" t="str">
        <f>""</f>
        <v/>
      </c>
      <c r="FC42" t="str">
        <f>""</f>
        <v/>
      </c>
      <c r="FD42" t="str">
        <f>""</f>
        <v/>
      </c>
      <c r="FE42" t="str">
        <f>""</f>
        <v/>
      </c>
      <c r="FF42" t="str">
        <f>""</f>
        <v/>
      </c>
      <c r="FG42" t="str">
        <f>""</f>
        <v/>
      </c>
      <c r="FH42" t="str">
        <f>""</f>
        <v/>
      </c>
      <c r="FI42" t="str">
        <f>""</f>
        <v/>
      </c>
      <c r="FJ42" t="str">
        <f>""</f>
        <v/>
      </c>
      <c r="FK42" t="str">
        <f>""</f>
        <v/>
      </c>
      <c r="FL42" t="str">
        <f>""</f>
        <v/>
      </c>
      <c r="FM42" t="str">
        <f>""</f>
        <v/>
      </c>
      <c r="FN42" t="str">
        <f>""</f>
        <v/>
      </c>
      <c r="FO42" t="str">
        <f>""</f>
        <v/>
      </c>
      <c r="FP42" t="str">
        <f>""</f>
        <v/>
      </c>
      <c r="FQ42" t="str">
        <f>""</f>
        <v/>
      </c>
    </row>
    <row r="43" spans="1:173" x14ac:dyDescent="0.25">
      <c r="A43" t="str">
        <f t="shared" ref="A43:AF43" si="12">"~~~~~~~~~~"</f>
        <v>~~~~~~~~~~</v>
      </c>
      <c r="B43" t="str">
        <f t="shared" si="12"/>
        <v>~~~~~~~~~~</v>
      </c>
      <c r="C43" t="str">
        <f t="shared" si="12"/>
        <v>~~~~~~~~~~</v>
      </c>
      <c r="D43" t="str">
        <f t="shared" si="12"/>
        <v>~~~~~~~~~~</v>
      </c>
      <c r="E43" t="str">
        <f t="shared" si="12"/>
        <v>~~~~~~~~~~</v>
      </c>
      <c r="F43" t="str">
        <f t="shared" si="12"/>
        <v>~~~~~~~~~~</v>
      </c>
      <c r="G43" t="str">
        <f t="shared" si="12"/>
        <v>~~~~~~~~~~</v>
      </c>
      <c r="H43" t="str">
        <f t="shared" si="12"/>
        <v>~~~~~~~~~~</v>
      </c>
      <c r="I43" t="str">
        <f t="shared" si="12"/>
        <v>~~~~~~~~~~</v>
      </c>
      <c r="J43" t="str">
        <f t="shared" si="12"/>
        <v>~~~~~~~~~~</v>
      </c>
      <c r="K43" t="str">
        <f t="shared" si="12"/>
        <v>~~~~~~~~~~</v>
      </c>
      <c r="L43" t="str">
        <f t="shared" si="12"/>
        <v>~~~~~~~~~~</v>
      </c>
      <c r="M43" t="str">
        <f t="shared" si="12"/>
        <v>~~~~~~~~~~</v>
      </c>
      <c r="N43" t="str">
        <f t="shared" si="12"/>
        <v>~~~~~~~~~~</v>
      </c>
      <c r="O43" t="str">
        <f t="shared" si="12"/>
        <v>~~~~~~~~~~</v>
      </c>
      <c r="P43" t="str">
        <f t="shared" si="12"/>
        <v>~~~~~~~~~~</v>
      </c>
      <c r="Q43" t="str">
        <f t="shared" si="12"/>
        <v>~~~~~~~~~~</v>
      </c>
      <c r="R43" t="str">
        <f t="shared" si="12"/>
        <v>~~~~~~~~~~</v>
      </c>
      <c r="S43" t="str">
        <f t="shared" si="12"/>
        <v>~~~~~~~~~~</v>
      </c>
      <c r="T43" t="str">
        <f t="shared" si="12"/>
        <v>~~~~~~~~~~</v>
      </c>
      <c r="U43" t="str">
        <f t="shared" si="12"/>
        <v>~~~~~~~~~~</v>
      </c>
      <c r="V43" t="str">
        <f t="shared" si="12"/>
        <v>~~~~~~~~~~</v>
      </c>
      <c r="W43" t="str">
        <f t="shared" si="12"/>
        <v>~~~~~~~~~~</v>
      </c>
      <c r="X43" t="str">
        <f t="shared" si="12"/>
        <v>~~~~~~~~~~</v>
      </c>
      <c r="Y43" t="str">
        <f t="shared" si="12"/>
        <v>~~~~~~~~~~</v>
      </c>
      <c r="Z43" t="str">
        <f t="shared" si="12"/>
        <v>~~~~~~~~~~</v>
      </c>
      <c r="AA43" t="str">
        <f t="shared" si="12"/>
        <v>~~~~~~~~~~</v>
      </c>
      <c r="AB43" t="str">
        <f t="shared" si="12"/>
        <v>~~~~~~~~~~</v>
      </c>
      <c r="AC43" t="str">
        <f t="shared" si="12"/>
        <v>~~~~~~~~~~</v>
      </c>
      <c r="AD43" t="str">
        <f t="shared" si="12"/>
        <v>~~~~~~~~~~</v>
      </c>
      <c r="AE43" t="str">
        <f t="shared" si="12"/>
        <v>~~~~~~~~~~</v>
      </c>
      <c r="AF43" t="str">
        <f t="shared" si="12"/>
        <v>~~~~~~~~~~</v>
      </c>
      <c r="AG43" t="str">
        <f t="shared" ref="AG43:BL43" si="13">"~~~~~~~~~~"</f>
        <v>~~~~~~~~~~</v>
      </c>
      <c r="AH43" t="str">
        <f t="shared" si="13"/>
        <v>~~~~~~~~~~</v>
      </c>
      <c r="AI43" t="str">
        <f t="shared" si="13"/>
        <v>~~~~~~~~~~</v>
      </c>
      <c r="AJ43" t="str">
        <f t="shared" si="13"/>
        <v>~~~~~~~~~~</v>
      </c>
      <c r="AK43" t="str">
        <f t="shared" si="13"/>
        <v>~~~~~~~~~~</v>
      </c>
      <c r="AL43" t="str">
        <f t="shared" si="13"/>
        <v>~~~~~~~~~~</v>
      </c>
      <c r="AM43" t="str">
        <f t="shared" si="13"/>
        <v>~~~~~~~~~~</v>
      </c>
      <c r="AN43" t="str">
        <f t="shared" si="13"/>
        <v>~~~~~~~~~~</v>
      </c>
      <c r="AO43" t="str">
        <f t="shared" si="13"/>
        <v>~~~~~~~~~~</v>
      </c>
      <c r="AP43" t="str">
        <f t="shared" si="13"/>
        <v>~~~~~~~~~~</v>
      </c>
      <c r="AQ43" t="str">
        <f t="shared" si="13"/>
        <v>~~~~~~~~~~</v>
      </c>
      <c r="AR43" t="str">
        <f t="shared" si="13"/>
        <v>~~~~~~~~~~</v>
      </c>
      <c r="AS43" t="str">
        <f t="shared" si="13"/>
        <v>~~~~~~~~~~</v>
      </c>
      <c r="AT43" t="str">
        <f t="shared" si="13"/>
        <v>~~~~~~~~~~</v>
      </c>
      <c r="AU43" t="str">
        <f t="shared" si="13"/>
        <v>~~~~~~~~~~</v>
      </c>
      <c r="AV43" t="str">
        <f t="shared" si="13"/>
        <v>~~~~~~~~~~</v>
      </c>
      <c r="AW43" t="str">
        <f t="shared" si="13"/>
        <v>~~~~~~~~~~</v>
      </c>
      <c r="AX43" t="str">
        <f t="shared" si="13"/>
        <v>~~~~~~~~~~</v>
      </c>
      <c r="AY43" t="str">
        <f t="shared" si="13"/>
        <v>~~~~~~~~~~</v>
      </c>
      <c r="AZ43" t="str">
        <f t="shared" si="13"/>
        <v>~~~~~~~~~~</v>
      </c>
      <c r="BA43" t="str">
        <f t="shared" si="13"/>
        <v>~~~~~~~~~~</v>
      </c>
      <c r="BB43" t="str">
        <f t="shared" si="13"/>
        <v>~~~~~~~~~~</v>
      </c>
      <c r="BC43" t="str">
        <f t="shared" si="13"/>
        <v>~~~~~~~~~~</v>
      </c>
      <c r="BD43" t="str">
        <f t="shared" si="13"/>
        <v>~~~~~~~~~~</v>
      </c>
      <c r="BE43" t="str">
        <f t="shared" si="13"/>
        <v>~~~~~~~~~~</v>
      </c>
      <c r="BF43" t="str">
        <f t="shared" si="13"/>
        <v>~~~~~~~~~~</v>
      </c>
      <c r="BG43" t="str">
        <f t="shared" si="13"/>
        <v>~~~~~~~~~~</v>
      </c>
      <c r="BH43" t="str">
        <f t="shared" si="13"/>
        <v>~~~~~~~~~~</v>
      </c>
      <c r="BI43" t="str">
        <f t="shared" si="13"/>
        <v>~~~~~~~~~~</v>
      </c>
      <c r="BJ43" t="str">
        <f t="shared" si="13"/>
        <v>~~~~~~~~~~</v>
      </c>
      <c r="BK43" t="str">
        <f t="shared" si="13"/>
        <v>~~~~~~~~~~</v>
      </c>
      <c r="BL43" t="str">
        <f t="shared" si="13"/>
        <v>~~~~~~~~~~</v>
      </c>
      <c r="BM43" t="str">
        <f t="shared" ref="BM43:CK43" si="14">"~~~~~~~~~~"</f>
        <v>~~~~~~~~~~</v>
      </c>
      <c r="BN43" t="str">
        <f t="shared" si="14"/>
        <v>~~~~~~~~~~</v>
      </c>
      <c r="BO43" t="str">
        <f t="shared" si="14"/>
        <v>~~~~~~~~~~</v>
      </c>
      <c r="BP43" t="str">
        <f t="shared" si="14"/>
        <v>~~~~~~~~~~</v>
      </c>
      <c r="BQ43" t="str">
        <f t="shared" si="14"/>
        <v>~~~~~~~~~~</v>
      </c>
      <c r="BR43" t="str">
        <f t="shared" si="14"/>
        <v>~~~~~~~~~~</v>
      </c>
      <c r="BS43" t="str">
        <f t="shared" si="14"/>
        <v>~~~~~~~~~~</v>
      </c>
      <c r="BT43" t="str">
        <f t="shared" si="14"/>
        <v>~~~~~~~~~~</v>
      </c>
      <c r="BU43" t="str">
        <f t="shared" si="14"/>
        <v>~~~~~~~~~~</v>
      </c>
      <c r="BV43" t="str">
        <f t="shared" si="14"/>
        <v>~~~~~~~~~~</v>
      </c>
      <c r="BW43" t="str">
        <f t="shared" si="14"/>
        <v>~~~~~~~~~~</v>
      </c>
      <c r="BX43" t="str">
        <f t="shared" si="14"/>
        <v>~~~~~~~~~~</v>
      </c>
      <c r="BY43" t="str">
        <f t="shared" si="14"/>
        <v>~~~~~~~~~~</v>
      </c>
      <c r="BZ43" t="str">
        <f t="shared" si="14"/>
        <v>~~~~~~~~~~</v>
      </c>
      <c r="CA43" t="str">
        <f t="shared" si="14"/>
        <v>~~~~~~~~~~</v>
      </c>
      <c r="CB43" t="str">
        <f t="shared" si="14"/>
        <v>~~~~~~~~~~</v>
      </c>
      <c r="CC43" t="str">
        <f t="shared" si="14"/>
        <v>~~~~~~~~~~</v>
      </c>
      <c r="CD43" t="str">
        <f t="shared" si="14"/>
        <v>~~~~~~~~~~</v>
      </c>
      <c r="CE43" t="str">
        <f t="shared" si="14"/>
        <v>~~~~~~~~~~</v>
      </c>
      <c r="CF43" t="str">
        <f t="shared" si="14"/>
        <v>~~~~~~~~~~</v>
      </c>
      <c r="CG43" t="str">
        <f t="shared" si="14"/>
        <v>~~~~~~~~~~</v>
      </c>
      <c r="CH43" t="str">
        <f t="shared" si="14"/>
        <v>~~~~~~~~~~</v>
      </c>
      <c r="CI43" t="str">
        <f t="shared" si="14"/>
        <v>~~~~~~~~~~</v>
      </c>
      <c r="CJ43" t="str">
        <f t="shared" si="14"/>
        <v>~~~~~~~~~~</v>
      </c>
      <c r="CK43" t="str">
        <f t="shared" si="14"/>
        <v>~~~~~~~~~~</v>
      </c>
      <c r="CL43" t="str">
        <f>""</f>
        <v/>
      </c>
      <c r="CM43" t="str">
        <f>""</f>
        <v/>
      </c>
      <c r="CN43" t="str">
        <f>""</f>
        <v/>
      </c>
      <c r="CO43" t="str">
        <f>""</f>
        <v/>
      </c>
      <c r="CP43" t="str">
        <f>""</f>
        <v/>
      </c>
      <c r="CQ43" t="str">
        <f>""</f>
        <v/>
      </c>
      <c r="CR43" t="str">
        <f>""</f>
        <v/>
      </c>
      <c r="CS43" t="str">
        <f>""</f>
        <v/>
      </c>
      <c r="CT43" t="str">
        <f>""</f>
        <v/>
      </c>
      <c r="CU43" t="str">
        <f>""</f>
        <v/>
      </c>
      <c r="CV43" t="str">
        <f>""</f>
        <v/>
      </c>
      <c r="CW43" t="str">
        <f>""</f>
        <v/>
      </c>
      <c r="CX43" t="str">
        <f>""</f>
        <v/>
      </c>
      <c r="CY43" t="str">
        <f>""</f>
        <v/>
      </c>
      <c r="CZ43" t="str">
        <f>""</f>
        <v/>
      </c>
      <c r="DA43" t="str">
        <f>""</f>
        <v/>
      </c>
      <c r="DB43" t="str">
        <f>""</f>
        <v/>
      </c>
      <c r="DC43" t="str">
        <f>""</f>
        <v/>
      </c>
      <c r="DD43" t="str">
        <f>""</f>
        <v/>
      </c>
      <c r="DE43" t="str">
        <f>""</f>
        <v/>
      </c>
      <c r="DF43" t="str">
        <f>""</f>
        <v/>
      </c>
      <c r="DG43" t="str">
        <f>""</f>
        <v/>
      </c>
      <c r="DH43" t="str">
        <f>""</f>
        <v/>
      </c>
      <c r="DI43" t="str">
        <f>""</f>
        <v/>
      </c>
      <c r="DJ43" t="str">
        <f>""</f>
        <v/>
      </c>
      <c r="DK43" t="str">
        <f>""</f>
        <v/>
      </c>
      <c r="DL43" t="str">
        <f>""</f>
        <v/>
      </c>
      <c r="DM43" t="str">
        <f>""</f>
        <v/>
      </c>
      <c r="DN43" t="str">
        <f>""</f>
        <v/>
      </c>
      <c r="DO43" t="str">
        <f>""</f>
        <v/>
      </c>
      <c r="DP43" t="str">
        <f>""</f>
        <v/>
      </c>
      <c r="DQ43" t="str">
        <f>""</f>
        <v/>
      </c>
      <c r="DR43" t="str">
        <f>""</f>
        <v/>
      </c>
      <c r="DS43" t="str">
        <f>""</f>
        <v/>
      </c>
      <c r="DT43" t="str">
        <f>""</f>
        <v/>
      </c>
      <c r="DU43" t="str">
        <f>""</f>
        <v/>
      </c>
      <c r="DV43" t="str">
        <f>""</f>
        <v/>
      </c>
      <c r="DW43" t="str">
        <f>""</f>
        <v/>
      </c>
      <c r="DX43" t="str">
        <f>""</f>
        <v/>
      </c>
      <c r="DY43" t="str">
        <f>""</f>
        <v/>
      </c>
      <c r="DZ43" t="str">
        <f>""</f>
        <v/>
      </c>
      <c r="EA43" t="str">
        <f>""</f>
        <v/>
      </c>
      <c r="EB43" t="str">
        <f>""</f>
        <v/>
      </c>
      <c r="EC43" t="str">
        <f>""</f>
        <v/>
      </c>
      <c r="ED43" t="str">
        <f>""</f>
        <v/>
      </c>
      <c r="EE43" t="str">
        <f>""</f>
        <v/>
      </c>
      <c r="EF43" t="str">
        <f>""</f>
        <v/>
      </c>
      <c r="EG43" t="str">
        <f>""</f>
        <v/>
      </c>
      <c r="EH43" t="str">
        <f>""</f>
        <v/>
      </c>
      <c r="EI43" t="str">
        <f>""</f>
        <v/>
      </c>
      <c r="EJ43" t="str">
        <f>""</f>
        <v/>
      </c>
      <c r="EK43" t="str">
        <f>""</f>
        <v/>
      </c>
      <c r="EL43" t="str">
        <f>""</f>
        <v/>
      </c>
      <c r="EM43" t="str">
        <f>""</f>
        <v/>
      </c>
      <c r="EN43" t="str">
        <f>""</f>
        <v/>
      </c>
      <c r="EO43" t="str">
        <f>""</f>
        <v/>
      </c>
      <c r="EP43" t="str">
        <f>""</f>
        <v/>
      </c>
      <c r="EQ43" t="str">
        <f>""</f>
        <v/>
      </c>
      <c r="ER43" t="str">
        <f>""</f>
        <v/>
      </c>
      <c r="ES43" t="str">
        <f>""</f>
        <v/>
      </c>
      <c r="ET43" t="str">
        <f>""</f>
        <v/>
      </c>
      <c r="EU43" t="str">
        <f>""</f>
        <v/>
      </c>
      <c r="EV43" t="str">
        <f>""</f>
        <v/>
      </c>
      <c r="EW43" t="str">
        <f>""</f>
        <v/>
      </c>
      <c r="EX43" t="str">
        <f>""</f>
        <v/>
      </c>
      <c r="EY43" t="str">
        <f>""</f>
        <v/>
      </c>
      <c r="EZ43" t="str">
        <f>""</f>
        <v/>
      </c>
      <c r="FA43" t="str">
        <f>""</f>
        <v/>
      </c>
      <c r="FB43" t="str">
        <f>""</f>
        <v/>
      </c>
      <c r="FC43" t="str">
        <f>""</f>
        <v/>
      </c>
      <c r="FD43" t="str">
        <f>""</f>
        <v/>
      </c>
      <c r="FE43" t="str">
        <f>""</f>
        <v/>
      </c>
      <c r="FF43" t="str">
        <f>""</f>
        <v/>
      </c>
      <c r="FG43" t="str">
        <f>""</f>
        <v/>
      </c>
      <c r="FH43" t="str">
        <f>""</f>
        <v/>
      </c>
      <c r="FI43" t="str">
        <f>""</f>
        <v/>
      </c>
      <c r="FJ43" t="str">
        <f>""</f>
        <v/>
      </c>
      <c r="FK43" t="str">
        <f>""</f>
        <v/>
      </c>
      <c r="FL43" t="str">
        <f>""</f>
        <v/>
      </c>
      <c r="FM43" t="str">
        <f>""</f>
        <v/>
      </c>
      <c r="FN43" t="str">
        <f>""</f>
        <v/>
      </c>
      <c r="FO43" t="str">
        <f>""</f>
        <v/>
      </c>
      <c r="FP43" t="str">
        <f>""</f>
        <v/>
      </c>
      <c r="FQ43" t="str">
        <f>""</f>
        <v/>
      </c>
    </row>
    <row r="44" spans="1:173" x14ac:dyDescent="0.25">
      <c r="A44" t="str">
        <f>"All rows below have been added for reference by formula rows above."</f>
        <v>All rows below have been added for reference by formula rows above.</v>
      </c>
      <c r="CL44" t="str">
        <f>""</f>
        <v/>
      </c>
      <c r="CM44" t="str">
        <f>""</f>
        <v/>
      </c>
      <c r="CN44" t="str">
        <f>""</f>
        <v/>
      </c>
      <c r="CO44" t="str">
        <f>""</f>
        <v/>
      </c>
      <c r="CP44" t="str">
        <f>""</f>
        <v/>
      </c>
      <c r="CQ44" t="str">
        <f>""</f>
        <v/>
      </c>
      <c r="CR44" t="str">
        <f>""</f>
        <v/>
      </c>
      <c r="CS44" t="str">
        <f>""</f>
        <v/>
      </c>
      <c r="CT44" t="str">
        <f>""</f>
        <v/>
      </c>
      <c r="CU44" t="str">
        <f>""</f>
        <v/>
      </c>
      <c r="CV44" t="str">
        <f>""</f>
        <v/>
      </c>
      <c r="CW44" t="str">
        <f>""</f>
        <v/>
      </c>
      <c r="CX44" t="str">
        <f>""</f>
        <v/>
      </c>
      <c r="CY44" t="str">
        <f>""</f>
        <v/>
      </c>
      <c r="CZ44" t="str">
        <f>""</f>
        <v/>
      </c>
      <c r="DA44" t="str">
        <f>""</f>
        <v/>
      </c>
      <c r="DB44" t="str">
        <f>""</f>
        <v/>
      </c>
      <c r="DC44" t="str">
        <f>""</f>
        <v/>
      </c>
      <c r="DD44" t="str">
        <f>""</f>
        <v/>
      </c>
      <c r="DE44" t="str">
        <f>""</f>
        <v/>
      </c>
      <c r="DF44" t="str">
        <f>""</f>
        <v/>
      </c>
      <c r="DG44" t="str">
        <f>""</f>
        <v/>
      </c>
      <c r="DH44" t="str">
        <f>""</f>
        <v/>
      </c>
      <c r="DI44" t="str">
        <f>""</f>
        <v/>
      </c>
      <c r="DJ44" t="str">
        <f>""</f>
        <v/>
      </c>
      <c r="DK44" t="str">
        <f>""</f>
        <v/>
      </c>
      <c r="DL44" t="str">
        <f>""</f>
        <v/>
      </c>
      <c r="DM44" t="str">
        <f>""</f>
        <v/>
      </c>
      <c r="DN44" t="str">
        <f>""</f>
        <v/>
      </c>
      <c r="DO44" t="str">
        <f>""</f>
        <v/>
      </c>
      <c r="DP44" t="str">
        <f>""</f>
        <v/>
      </c>
      <c r="DQ44" t="str">
        <f>""</f>
        <v/>
      </c>
      <c r="DR44" t="str">
        <f>""</f>
        <v/>
      </c>
      <c r="DS44" t="str">
        <f>""</f>
        <v/>
      </c>
      <c r="DT44" t="str">
        <f>""</f>
        <v/>
      </c>
      <c r="DU44" t="str">
        <f>""</f>
        <v/>
      </c>
      <c r="DV44" t="str">
        <f>""</f>
        <v/>
      </c>
      <c r="DW44" t="str">
        <f>""</f>
        <v/>
      </c>
      <c r="DX44" t="str">
        <f>""</f>
        <v/>
      </c>
      <c r="DY44" t="str">
        <f>""</f>
        <v/>
      </c>
      <c r="DZ44" t="str">
        <f>""</f>
        <v/>
      </c>
      <c r="EA44" t="str">
        <f>""</f>
        <v/>
      </c>
      <c r="EB44" t="str">
        <f>""</f>
        <v/>
      </c>
      <c r="EC44" t="str">
        <f>""</f>
        <v/>
      </c>
      <c r="ED44" t="str">
        <f>""</f>
        <v/>
      </c>
      <c r="EE44" t="str">
        <f>""</f>
        <v/>
      </c>
      <c r="EF44" t="str">
        <f>""</f>
        <v/>
      </c>
      <c r="EG44" t="str">
        <f>""</f>
        <v/>
      </c>
      <c r="EH44" t="str">
        <f>""</f>
        <v/>
      </c>
      <c r="EI44" t="str">
        <f>""</f>
        <v/>
      </c>
      <c r="EJ44" t="str">
        <f>""</f>
        <v/>
      </c>
      <c r="EK44" t="str">
        <f>""</f>
        <v/>
      </c>
      <c r="EL44" t="str">
        <f>""</f>
        <v/>
      </c>
      <c r="EM44" t="str">
        <f>""</f>
        <v/>
      </c>
      <c r="EN44" t="str">
        <f>""</f>
        <v/>
      </c>
      <c r="EO44" t="str">
        <f>""</f>
        <v/>
      </c>
      <c r="EP44" t="str">
        <f>""</f>
        <v/>
      </c>
      <c r="EQ44" t="str">
        <f>""</f>
        <v/>
      </c>
      <c r="ER44" t="str">
        <f>""</f>
        <v/>
      </c>
      <c r="ES44" t="str">
        <f>""</f>
        <v/>
      </c>
      <c r="ET44" t="str">
        <f>""</f>
        <v/>
      </c>
      <c r="EU44" t="str">
        <f>""</f>
        <v/>
      </c>
      <c r="EV44" t="str">
        <f>""</f>
        <v/>
      </c>
      <c r="EW44" t="str">
        <f>""</f>
        <v/>
      </c>
      <c r="EX44" t="str">
        <f>""</f>
        <v/>
      </c>
      <c r="EY44" t="str">
        <f>""</f>
        <v/>
      </c>
      <c r="EZ44" t="str">
        <f>""</f>
        <v/>
      </c>
      <c r="FA44" t="str">
        <f>""</f>
        <v/>
      </c>
      <c r="FB44" t="str">
        <f>""</f>
        <v/>
      </c>
      <c r="FC44" t="str">
        <f>""</f>
        <v/>
      </c>
      <c r="FD44" t="str">
        <f>""</f>
        <v/>
      </c>
      <c r="FE44" t="str">
        <f>""</f>
        <v/>
      </c>
      <c r="FF44" t="str">
        <f>""</f>
        <v/>
      </c>
      <c r="FG44" t="str">
        <f>""</f>
        <v/>
      </c>
      <c r="FH44" t="str">
        <f>""</f>
        <v/>
      </c>
      <c r="FI44" t="str">
        <f>""</f>
        <v/>
      </c>
      <c r="FJ44" t="str">
        <f>""</f>
        <v/>
      </c>
      <c r="FK44" t="str">
        <f>""</f>
        <v/>
      </c>
      <c r="FL44" t="str">
        <f>""</f>
        <v/>
      </c>
      <c r="FM44" t="str">
        <f>""</f>
        <v/>
      </c>
      <c r="FN44" t="str">
        <f>""</f>
        <v/>
      </c>
      <c r="FO44" t="str">
        <f>""</f>
        <v/>
      </c>
      <c r="FP44" t="str">
        <f>""</f>
        <v/>
      </c>
      <c r="FQ44" t="str">
        <f>""</f>
        <v/>
      </c>
    </row>
    <row r="45" spans="1:173" x14ac:dyDescent="0.25">
      <c r="A45">
        <f>RTD("bloomberg.ccyreader", "", "#track", "DBG", "BIHITX", "1.0","RepeatHit")</f>
        <v>0</v>
      </c>
      <c r="CL45" t="str">
        <f>""</f>
        <v/>
      </c>
      <c r="CM45" t="str">
        <f>""</f>
        <v/>
      </c>
      <c r="CN45" t="str">
        <f>""</f>
        <v/>
      </c>
      <c r="CO45" t="str">
        <f>""</f>
        <v/>
      </c>
      <c r="CP45" t="str">
        <f>""</f>
        <v/>
      </c>
      <c r="CQ45" t="str">
        <f>""</f>
        <v/>
      </c>
      <c r="CR45" t="str">
        <f>""</f>
        <v/>
      </c>
      <c r="CS45" t="str">
        <f>""</f>
        <v/>
      </c>
      <c r="CT45" t="str">
        <f>""</f>
        <v/>
      </c>
      <c r="CU45" t="str">
        <f>""</f>
        <v/>
      </c>
      <c r="CV45" t="str">
        <f>""</f>
        <v/>
      </c>
      <c r="CW45" t="str">
        <f>""</f>
        <v/>
      </c>
      <c r="CX45" t="str">
        <f>""</f>
        <v/>
      </c>
      <c r="CY45" t="str">
        <f>""</f>
        <v/>
      </c>
      <c r="CZ45" t="str">
        <f>""</f>
        <v/>
      </c>
      <c r="DA45" t="str">
        <f>""</f>
        <v/>
      </c>
      <c r="DB45" t="str">
        <f>""</f>
        <v/>
      </c>
      <c r="DC45" t="str">
        <f>""</f>
        <v/>
      </c>
      <c r="DD45" t="str">
        <f>""</f>
        <v/>
      </c>
      <c r="DE45" t="str">
        <f>""</f>
        <v/>
      </c>
      <c r="DF45" t="str">
        <f>""</f>
        <v/>
      </c>
      <c r="DG45" t="str">
        <f>""</f>
        <v/>
      </c>
      <c r="DH45" t="str">
        <f>""</f>
        <v/>
      </c>
      <c r="DI45" t="str">
        <f>""</f>
        <v/>
      </c>
      <c r="DJ45" t="str">
        <f>""</f>
        <v/>
      </c>
      <c r="DK45" t="str">
        <f>""</f>
        <v/>
      </c>
      <c r="DL45" t="str">
        <f>""</f>
        <v/>
      </c>
      <c r="DM45" t="str">
        <f>""</f>
        <v/>
      </c>
      <c r="DN45" t="str">
        <f>""</f>
        <v/>
      </c>
      <c r="DO45" t="str">
        <f>""</f>
        <v/>
      </c>
      <c r="DP45" t="str">
        <f>""</f>
        <v/>
      </c>
      <c r="DQ45" t="str">
        <f>""</f>
        <v/>
      </c>
      <c r="DR45" t="str">
        <f>""</f>
        <v/>
      </c>
      <c r="DS45" t="str">
        <f>""</f>
        <v/>
      </c>
      <c r="DT45" t="str">
        <f>""</f>
        <v/>
      </c>
      <c r="DU45" t="str">
        <f>""</f>
        <v/>
      </c>
      <c r="DV45" t="str">
        <f>""</f>
        <v/>
      </c>
      <c r="DW45" t="str">
        <f>""</f>
        <v/>
      </c>
      <c r="DX45" t="str">
        <f>""</f>
        <v/>
      </c>
      <c r="DY45" t="str">
        <f>""</f>
        <v/>
      </c>
      <c r="DZ45" t="str">
        <f>""</f>
        <v/>
      </c>
      <c r="EA45" t="str">
        <f>""</f>
        <v/>
      </c>
      <c r="EB45" t="str">
        <f>""</f>
        <v/>
      </c>
      <c r="EC45" t="str">
        <f>""</f>
        <v/>
      </c>
      <c r="ED45" t="str">
        <f>""</f>
        <v/>
      </c>
      <c r="EE45" t="str">
        <f>""</f>
        <v/>
      </c>
      <c r="EF45" t="str">
        <f>""</f>
        <v/>
      </c>
      <c r="EG45" t="str">
        <f>""</f>
        <v/>
      </c>
      <c r="EH45" t="str">
        <f>""</f>
        <v/>
      </c>
      <c r="EI45" t="str">
        <f>""</f>
        <v/>
      </c>
      <c r="EJ45" t="str">
        <f>""</f>
        <v/>
      </c>
      <c r="EK45" t="str">
        <f>""</f>
        <v/>
      </c>
      <c r="EL45" t="str">
        <f>""</f>
        <v/>
      </c>
      <c r="EM45" t="str">
        <f>""</f>
        <v/>
      </c>
      <c r="EN45" t="str">
        <f>""</f>
        <v/>
      </c>
      <c r="EO45" t="str">
        <f>""</f>
        <v/>
      </c>
      <c r="EP45" t="str">
        <f>""</f>
        <v/>
      </c>
      <c r="EQ45" t="str">
        <f>""</f>
        <v/>
      </c>
      <c r="ER45" t="str">
        <f>""</f>
        <v/>
      </c>
      <c r="ES45" t="str">
        <f>""</f>
        <v/>
      </c>
      <c r="ET45" t="str">
        <f>""</f>
        <v/>
      </c>
      <c r="EU45" t="str">
        <f>""</f>
        <v/>
      </c>
      <c r="EV45" t="str">
        <f>""</f>
        <v/>
      </c>
      <c r="EW45" t="str">
        <f>""</f>
        <v/>
      </c>
      <c r="EX45" t="str">
        <f>""</f>
        <v/>
      </c>
      <c r="EY45" t="str">
        <f>""</f>
        <v/>
      </c>
      <c r="EZ45" t="str">
        <f>""</f>
        <v/>
      </c>
      <c r="FA45" t="str">
        <f>""</f>
        <v/>
      </c>
      <c r="FB45" t="str">
        <f>""</f>
        <v/>
      </c>
      <c r="FC45" t="str">
        <f>""</f>
        <v/>
      </c>
      <c r="FD45" t="str">
        <f>""</f>
        <v/>
      </c>
      <c r="FE45" t="str">
        <f>""</f>
        <v/>
      </c>
      <c r="FF45" t="str">
        <f>""</f>
        <v/>
      </c>
      <c r="FG45" t="str">
        <f>""</f>
        <v/>
      </c>
      <c r="FH45" t="str">
        <f>""</f>
        <v/>
      </c>
      <c r="FI45" t="str">
        <f>""</f>
        <v/>
      </c>
      <c r="FJ45" t="str">
        <f>""</f>
        <v/>
      </c>
      <c r="FK45" t="str">
        <f>""</f>
        <v/>
      </c>
      <c r="FL45" t="str">
        <f>""</f>
        <v/>
      </c>
      <c r="FM45" t="str">
        <f>""</f>
        <v/>
      </c>
      <c r="FN45" t="str">
        <f>""</f>
        <v/>
      </c>
      <c r="FO45" t="str">
        <f>""</f>
        <v/>
      </c>
      <c r="FP45" t="str">
        <f>""</f>
        <v/>
      </c>
      <c r="FQ45" t="str">
        <f>""</f>
        <v/>
      </c>
    </row>
    <row r="46" spans="1:173" x14ac:dyDescent="0.25">
      <c r="A46" t="str">
        <f>"Currency"</f>
        <v>Currency</v>
      </c>
      <c r="B46" t="str">
        <f>"USD"</f>
        <v>USD</v>
      </c>
      <c r="CL46" t="str">
        <f>""</f>
        <v/>
      </c>
      <c r="CM46" t="str">
        <f>""</f>
        <v/>
      </c>
      <c r="CN46" t="str">
        <f>""</f>
        <v/>
      </c>
      <c r="CO46" t="str">
        <f>""</f>
        <v/>
      </c>
      <c r="CP46" t="str">
        <f>""</f>
        <v/>
      </c>
      <c r="CQ46" t="str">
        <f>""</f>
        <v/>
      </c>
      <c r="CR46" t="str">
        <f>""</f>
        <v/>
      </c>
      <c r="CS46" t="str">
        <f>""</f>
        <v/>
      </c>
      <c r="CT46" t="str">
        <f>""</f>
        <v/>
      </c>
      <c r="CU46" t="str">
        <f>""</f>
        <v/>
      </c>
      <c r="CV46" t="str">
        <f>""</f>
        <v/>
      </c>
      <c r="CW46" t="str">
        <f>""</f>
        <v/>
      </c>
      <c r="CX46" t="str">
        <f>""</f>
        <v/>
      </c>
      <c r="CY46" t="str">
        <f>""</f>
        <v/>
      </c>
      <c r="CZ46" t="str">
        <f>""</f>
        <v/>
      </c>
      <c r="DA46" t="str">
        <f>""</f>
        <v/>
      </c>
      <c r="DB46" t="str">
        <f>""</f>
        <v/>
      </c>
      <c r="DC46" t="str">
        <f>""</f>
        <v/>
      </c>
      <c r="DD46" t="str">
        <f>""</f>
        <v/>
      </c>
      <c r="DE46" t="str">
        <f>""</f>
        <v/>
      </c>
      <c r="DF46" t="str">
        <f>""</f>
        <v/>
      </c>
      <c r="DG46" t="str">
        <f>""</f>
        <v/>
      </c>
      <c r="DH46" t="str">
        <f>""</f>
        <v/>
      </c>
      <c r="DI46" t="str">
        <f>""</f>
        <v/>
      </c>
      <c r="DJ46" t="str">
        <f>""</f>
        <v/>
      </c>
      <c r="DK46" t="str">
        <f>""</f>
        <v/>
      </c>
      <c r="DL46" t="str">
        <f>""</f>
        <v/>
      </c>
      <c r="DM46" t="str">
        <f>""</f>
        <v/>
      </c>
      <c r="DN46" t="str">
        <f>""</f>
        <v/>
      </c>
      <c r="DO46" t="str">
        <f>""</f>
        <v/>
      </c>
      <c r="DP46" t="str">
        <f>""</f>
        <v/>
      </c>
      <c r="DQ46" t="str">
        <f>""</f>
        <v/>
      </c>
      <c r="DR46" t="str">
        <f>""</f>
        <v/>
      </c>
      <c r="DS46" t="str">
        <f>""</f>
        <v/>
      </c>
      <c r="DT46" t="str">
        <f>""</f>
        <v/>
      </c>
      <c r="DU46" t="str">
        <f>""</f>
        <v/>
      </c>
      <c r="DV46" t="str">
        <f>""</f>
        <v/>
      </c>
      <c r="DW46" t="str">
        <f>""</f>
        <v/>
      </c>
      <c r="DX46" t="str">
        <f>""</f>
        <v/>
      </c>
      <c r="DY46" t="str">
        <f>""</f>
        <v/>
      </c>
      <c r="DZ46" t="str">
        <f>""</f>
        <v/>
      </c>
      <c r="EA46" t="str">
        <f>""</f>
        <v/>
      </c>
      <c r="EB46" t="str">
        <f>""</f>
        <v/>
      </c>
      <c r="EC46" t="str">
        <f>""</f>
        <v/>
      </c>
      <c r="ED46" t="str">
        <f>""</f>
        <v/>
      </c>
      <c r="EE46" t="str">
        <f>""</f>
        <v/>
      </c>
      <c r="EF46" t="str">
        <f>""</f>
        <v/>
      </c>
      <c r="EG46" t="str">
        <f>""</f>
        <v/>
      </c>
      <c r="EH46" t="str">
        <f>""</f>
        <v/>
      </c>
      <c r="EI46" t="str">
        <f>""</f>
        <v/>
      </c>
      <c r="EJ46" t="str">
        <f>""</f>
        <v/>
      </c>
      <c r="EK46" t="str">
        <f>""</f>
        <v/>
      </c>
      <c r="EL46" t="str">
        <f>""</f>
        <v/>
      </c>
      <c r="EM46" t="str">
        <f>""</f>
        <v/>
      </c>
      <c r="EN46" t="str">
        <f>""</f>
        <v/>
      </c>
      <c r="EO46" t="str">
        <f>""</f>
        <v/>
      </c>
      <c r="EP46" t="str">
        <f>""</f>
        <v/>
      </c>
      <c r="EQ46" t="str">
        <f>""</f>
        <v/>
      </c>
      <c r="ER46" t="str">
        <f>""</f>
        <v/>
      </c>
      <c r="ES46" t="str">
        <f>""</f>
        <v/>
      </c>
      <c r="ET46" t="str">
        <f>""</f>
        <v/>
      </c>
      <c r="EU46" t="str">
        <f>""</f>
        <v/>
      </c>
      <c r="EV46" t="str">
        <f>""</f>
        <v/>
      </c>
      <c r="EW46" t="str">
        <f>""</f>
        <v/>
      </c>
      <c r="EX46" t="str">
        <f>""</f>
        <v/>
      </c>
      <c r="EY46" t="str">
        <f>""</f>
        <v/>
      </c>
      <c r="EZ46" t="str">
        <f>""</f>
        <v/>
      </c>
      <c r="FA46" t="str">
        <f>""</f>
        <v/>
      </c>
      <c r="FB46" t="str">
        <f>""</f>
        <v/>
      </c>
      <c r="FC46" t="str">
        <f>""</f>
        <v/>
      </c>
      <c r="FD46" t="str">
        <f>""</f>
        <v/>
      </c>
      <c r="FE46" t="str">
        <f>""</f>
        <v/>
      </c>
      <c r="FF46" t="str">
        <f>""</f>
        <v/>
      </c>
      <c r="FG46" t="str">
        <f>""</f>
        <v/>
      </c>
      <c r="FH46" t="str">
        <f>""</f>
        <v/>
      </c>
      <c r="FI46" t="str">
        <f>""</f>
        <v/>
      </c>
      <c r="FJ46" t="str">
        <f>""</f>
        <v/>
      </c>
      <c r="FK46" t="str">
        <f>""</f>
        <v/>
      </c>
      <c r="FL46" t="str">
        <f>""</f>
        <v/>
      </c>
      <c r="FM46" t="str">
        <f>""</f>
        <v/>
      </c>
      <c r="FN46" t="str">
        <f>""</f>
        <v/>
      </c>
      <c r="FO46" t="str">
        <f>""</f>
        <v/>
      </c>
      <c r="FP46" t="str">
        <f>""</f>
        <v/>
      </c>
      <c r="FQ46" t="str">
        <f>""</f>
        <v/>
      </c>
    </row>
    <row r="47" spans="1:173" x14ac:dyDescent="0.25">
      <c r="A47" t="str">
        <f>"Periodicity"</f>
        <v>Periodicity</v>
      </c>
      <c r="B47" t="str">
        <f>"CM"</f>
        <v>CM</v>
      </c>
      <c r="C47" t="str">
        <f>"AM"</f>
        <v>AM</v>
      </c>
      <c r="CL47" t="str">
        <f>""</f>
        <v/>
      </c>
      <c r="CM47" t="str">
        <f>""</f>
        <v/>
      </c>
      <c r="CN47" t="str">
        <f>""</f>
        <v/>
      </c>
      <c r="CO47" t="str">
        <f>""</f>
        <v/>
      </c>
      <c r="CP47" t="str">
        <f>""</f>
        <v/>
      </c>
      <c r="CQ47" t="str">
        <f>""</f>
        <v/>
      </c>
      <c r="CR47" t="str">
        <f>""</f>
        <v/>
      </c>
      <c r="CS47" t="str">
        <f>""</f>
        <v/>
      </c>
      <c r="CT47" t="str">
        <f>""</f>
        <v/>
      </c>
      <c r="CU47" t="str">
        <f>""</f>
        <v/>
      </c>
      <c r="CV47" t="str">
        <f>""</f>
        <v/>
      </c>
      <c r="CW47" t="str">
        <f>""</f>
        <v/>
      </c>
      <c r="CX47" t="str">
        <f>""</f>
        <v/>
      </c>
      <c r="CY47" t="str">
        <f>""</f>
        <v/>
      </c>
      <c r="CZ47" t="str">
        <f>""</f>
        <v/>
      </c>
      <c r="DA47" t="str">
        <f>""</f>
        <v/>
      </c>
      <c r="DB47" t="str">
        <f>""</f>
        <v/>
      </c>
      <c r="DC47" t="str">
        <f>""</f>
        <v/>
      </c>
      <c r="DD47" t="str">
        <f>""</f>
        <v/>
      </c>
      <c r="DE47" t="str">
        <f>""</f>
        <v/>
      </c>
      <c r="DF47" t="str">
        <f>""</f>
        <v/>
      </c>
      <c r="DG47" t="str">
        <f>""</f>
        <v/>
      </c>
      <c r="DH47" t="str">
        <f>""</f>
        <v/>
      </c>
      <c r="DI47" t="str">
        <f>""</f>
        <v/>
      </c>
      <c r="DJ47" t="str">
        <f>""</f>
        <v/>
      </c>
      <c r="DK47" t="str">
        <f>""</f>
        <v/>
      </c>
      <c r="DL47" t="str">
        <f>""</f>
        <v/>
      </c>
      <c r="DM47" t="str">
        <f>""</f>
        <v/>
      </c>
      <c r="DN47" t="str">
        <f>""</f>
        <v/>
      </c>
      <c r="DO47" t="str">
        <f>""</f>
        <v/>
      </c>
      <c r="DP47" t="str">
        <f>""</f>
        <v/>
      </c>
      <c r="DQ47" t="str">
        <f>""</f>
        <v/>
      </c>
      <c r="DR47" t="str">
        <f>""</f>
        <v/>
      </c>
      <c r="DS47" t="str">
        <f>""</f>
        <v/>
      </c>
      <c r="DT47" t="str">
        <f>""</f>
        <v/>
      </c>
      <c r="DU47" t="str">
        <f>""</f>
        <v/>
      </c>
      <c r="DV47" t="str">
        <f>""</f>
        <v/>
      </c>
      <c r="DW47" t="str">
        <f>""</f>
        <v/>
      </c>
      <c r="DX47" t="str">
        <f>""</f>
        <v/>
      </c>
      <c r="DY47" t="str">
        <f>""</f>
        <v/>
      </c>
      <c r="DZ47" t="str">
        <f>""</f>
        <v/>
      </c>
      <c r="EA47" t="str">
        <f>""</f>
        <v/>
      </c>
      <c r="EB47" t="str">
        <f>""</f>
        <v/>
      </c>
      <c r="EC47" t="str">
        <f>""</f>
        <v/>
      </c>
      <c r="ED47" t="str">
        <f>""</f>
        <v/>
      </c>
      <c r="EE47" t="str">
        <f>""</f>
        <v/>
      </c>
      <c r="EF47" t="str">
        <f>""</f>
        <v/>
      </c>
      <c r="EG47" t="str">
        <f>""</f>
        <v/>
      </c>
      <c r="EH47" t="str">
        <f>""</f>
        <v/>
      </c>
      <c r="EI47" t="str">
        <f>""</f>
        <v/>
      </c>
      <c r="EJ47" t="str">
        <f>""</f>
        <v/>
      </c>
      <c r="EK47" t="str">
        <f>""</f>
        <v/>
      </c>
      <c r="EL47" t="str">
        <f>""</f>
        <v/>
      </c>
      <c r="EM47" t="str">
        <f>""</f>
        <v/>
      </c>
      <c r="EN47" t="str">
        <f>""</f>
        <v/>
      </c>
      <c r="EO47" t="str">
        <f>""</f>
        <v/>
      </c>
      <c r="EP47" t="str">
        <f>""</f>
        <v/>
      </c>
      <c r="EQ47" t="str">
        <f>""</f>
        <v/>
      </c>
      <c r="ER47" t="str">
        <f>""</f>
        <v/>
      </c>
      <c r="ES47" t="str">
        <f>""</f>
        <v/>
      </c>
      <c r="ET47" t="str">
        <f>""</f>
        <v/>
      </c>
      <c r="EU47" t="str">
        <f>""</f>
        <v/>
      </c>
      <c r="EV47" t="str">
        <f>""</f>
        <v/>
      </c>
      <c r="EW47" t="str">
        <f>""</f>
        <v/>
      </c>
      <c r="EX47" t="str">
        <f>""</f>
        <v/>
      </c>
      <c r="EY47" t="str">
        <f>""</f>
        <v/>
      </c>
      <c r="EZ47" t="str">
        <f>""</f>
        <v/>
      </c>
      <c r="FA47" t="str">
        <f>""</f>
        <v/>
      </c>
      <c r="FB47" t="str">
        <f>""</f>
        <v/>
      </c>
      <c r="FC47" t="str">
        <f>""</f>
        <v/>
      </c>
      <c r="FD47" t="str">
        <f>""</f>
        <v/>
      </c>
      <c r="FE47" t="str">
        <f>""</f>
        <v/>
      </c>
      <c r="FF47" t="str">
        <f>""</f>
        <v/>
      </c>
      <c r="FG47" t="str">
        <f>""</f>
        <v/>
      </c>
      <c r="FH47" t="str">
        <f>""</f>
        <v/>
      </c>
      <c r="FI47" t="str">
        <f>""</f>
        <v/>
      </c>
      <c r="FJ47" t="str">
        <f>""</f>
        <v/>
      </c>
      <c r="FK47" t="str">
        <f>""</f>
        <v/>
      </c>
      <c r="FL47" t="str">
        <f>""</f>
        <v/>
      </c>
      <c r="FM47" t="str">
        <f>""</f>
        <v/>
      </c>
      <c r="FN47" t="str">
        <f>""</f>
        <v/>
      </c>
      <c r="FO47" t="str">
        <f>""</f>
        <v/>
      </c>
      <c r="FP47" t="str">
        <f>""</f>
        <v/>
      </c>
      <c r="FQ47" t="str">
        <f>""</f>
        <v/>
      </c>
    </row>
    <row r="48" spans="1:173" x14ac:dyDescent="0.25">
      <c r="A48" t="str">
        <f>"Number of Periods"</f>
        <v>Number of Periods</v>
      </c>
      <c r="B48">
        <f>84</f>
        <v>84</v>
      </c>
      <c r="CL48" t="str">
        <f>""</f>
        <v/>
      </c>
      <c r="CM48" t="str">
        <f>""</f>
        <v/>
      </c>
      <c r="CN48" t="str">
        <f>""</f>
        <v/>
      </c>
      <c r="CO48" t="str">
        <f>""</f>
        <v/>
      </c>
      <c r="CP48" t="str">
        <f>""</f>
        <v/>
      </c>
      <c r="CQ48" t="str">
        <f>""</f>
        <v/>
      </c>
      <c r="CR48" t="str">
        <f>""</f>
        <v/>
      </c>
      <c r="CS48" t="str">
        <f>""</f>
        <v/>
      </c>
      <c r="CT48" t="str">
        <f>""</f>
        <v/>
      </c>
      <c r="CU48" t="str">
        <f>""</f>
        <v/>
      </c>
      <c r="CV48" t="str">
        <f>""</f>
        <v/>
      </c>
      <c r="CW48" t="str">
        <f>""</f>
        <v/>
      </c>
      <c r="CX48" t="str">
        <f>""</f>
        <v/>
      </c>
      <c r="CY48" t="str">
        <f>""</f>
        <v/>
      </c>
      <c r="CZ48" t="str">
        <f>""</f>
        <v/>
      </c>
      <c r="DA48" t="str">
        <f>""</f>
        <v/>
      </c>
      <c r="DB48" t="str">
        <f>""</f>
        <v/>
      </c>
      <c r="DC48" t="str">
        <f>""</f>
        <v/>
      </c>
      <c r="DD48" t="str">
        <f>""</f>
        <v/>
      </c>
      <c r="DE48" t="str">
        <f>""</f>
        <v/>
      </c>
      <c r="DF48" t="str">
        <f>""</f>
        <v/>
      </c>
      <c r="DG48" t="str">
        <f>""</f>
        <v/>
      </c>
      <c r="DH48" t="str">
        <f>""</f>
        <v/>
      </c>
      <c r="DI48" t="str">
        <f>""</f>
        <v/>
      </c>
      <c r="DJ48" t="str">
        <f>""</f>
        <v/>
      </c>
      <c r="DK48" t="str">
        <f>""</f>
        <v/>
      </c>
      <c r="DL48" t="str">
        <f>""</f>
        <v/>
      </c>
      <c r="DM48" t="str">
        <f>""</f>
        <v/>
      </c>
      <c r="DN48" t="str">
        <f>""</f>
        <v/>
      </c>
      <c r="DO48" t="str">
        <f>""</f>
        <v/>
      </c>
      <c r="DP48" t="str">
        <f>""</f>
        <v/>
      </c>
      <c r="DQ48" t="str">
        <f>""</f>
        <v/>
      </c>
      <c r="DR48" t="str">
        <f>""</f>
        <v/>
      </c>
      <c r="DS48" t="str">
        <f>""</f>
        <v/>
      </c>
      <c r="DT48" t="str">
        <f>""</f>
        <v/>
      </c>
      <c r="DU48" t="str">
        <f>""</f>
        <v/>
      </c>
      <c r="DV48" t="str">
        <f>""</f>
        <v/>
      </c>
      <c r="DW48" t="str">
        <f>""</f>
        <v/>
      </c>
      <c r="DX48" t="str">
        <f>""</f>
        <v/>
      </c>
      <c r="DY48" t="str">
        <f>""</f>
        <v/>
      </c>
      <c r="DZ48" t="str">
        <f>""</f>
        <v/>
      </c>
      <c r="EA48" t="str">
        <f>""</f>
        <v/>
      </c>
      <c r="EB48" t="str">
        <f>""</f>
        <v/>
      </c>
      <c r="EC48" t="str">
        <f>""</f>
        <v/>
      </c>
      <c r="ED48" t="str">
        <f>""</f>
        <v/>
      </c>
      <c r="EE48" t="str">
        <f>""</f>
        <v/>
      </c>
      <c r="EF48" t="str">
        <f>""</f>
        <v/>
      </c>
      <c r="EG48" t="str">
        <f>""</f>
        <v/>
      </c>
      <c r="EH48" t="str">
        <f>""</f>
        <v/>
      </c>
      <c r="EI48" t="str">
        <f>""</f>
        <v/>
      </c>
      <c r="EJ48" t="str">
        <f>""</f>
        <v/>
      </c>
      <c r="EK48" t="str">
        <f>""</f>
        <v/>
      </c>
      <c r="EL48" t="str">
        <f>""</f>
        <v/>
      </c>
      <c r="EM48" t="str">
        <f>""</f>
        <v/>
      </c>
      <c r="EN48" t="str">
        <f>""</f>
        <v/>
      </c>
      <c r="EO48" t="str">
        <f>""</f>
        <v/>
      </c>
      <c r="EP48" t="str">
        <f>""</f>
        <v/>
      </c>
      <c r="EQ48" t="str">
        <f>""</f>
        <v/>
      </c>
      <c r="ER48" t="str">
        <f>""</f>
        <v/>
      </c>
      <c r="ES48" t="str">
        <f>""</f>
        <v/>
      </c>
      <c r="ET48" t="str">
        <f>""</f>
        <v/>
      </c>
      <c r="EU48" t="str">
        <f>""</f>
        <v/>
      </c>
      <c r="EV48" t="str">
        <f>""</f>
        <v/>
      </c>
      <c r="EW48" t="str">
        <f>""</f>
        <v/>
      </c>
      <c r="EX48" t="str">
        <f>""</f>
        <v/>
      </c>
      <c r="EY48" t="str">
        <f>""</f>
        <v/>
      </c>
      <c r="EZ48" t="str">
        <f>""</f>
        <v/>
      </c>
      <c r="FA48" t="str">
        <f>""</f>
        <v/>
      </c>
      <c r="FB48" t="str">
        <f>""</f>
        <v/>
      </c>
      <c r="FC48" t="str">
        <f>""</f>
        <v/>
      </c>
      <c r="FD48" t="str">
        <f>""</f>
        <v/>
      </c>
      <c r="FE48" t="str">
        <f>""</f>
        <v/>
      </c>
      <c r="FF48" t="str">
        <f>""</f>
        <v/>
      </c>
      <c r="FG48" t="str">
        <f>""</f>
        <v/>
      </c>
      <c r="FH48" t="str">
        <f>""</f>
        <v/>
      </c>
      <c r="FI48" t="str">
        <f>""</f>
        <v/>
      </c>
      <c r="FJ48" t="str">
        <f>""</f>
        <v/>
      </c>
      <c r="FK48" t="str">
        <f>""</f>
        <v/>
      </c>
      <c r="FL48" t="str">
        <f>""</f>
        <v/>
      </c>
      <c r="FM48" t="str">
        <f>""</f>
        <v/>
      </c>
      <c r="FN48" t="str">
        <f>""</f>
        <v/>
      </c>
      <c r="FO48" t="str">
        <f>""</f>
        <v/>
      </c>
      <c r="FP48" t="str">
        <f>""</f>
        <v/>
      </c>
      <c r="FQ48" t="str">
        <f>""</f>
        <v/>
      </c>
    </row>
    <row r="49" spans="1:173" x14ac:dyDescent="0.25">
      <c r="A49" t="str">
        <f>"Start Date"</f>
        <v>Start Date</v>
      </c>
      <c r="B49" t="str">
        <f>CONCATENATE("-",$B$48,$B$47)</f>
        <v>-84CM</v>
      </c>
      <c r="C49" t="str">
        <f>CONCATENATE("-",$B$48,$C$47)</f>
        <v>-84AM</v>
      </c>
      <c r="CL49" t="str">
        <f>""</f>
        <v/>
      </c>
      <c r="CM49" t="str">
        <f>""</f>
        <v/>
      </c>
      <c r="CN49" t="str">
        <f>""</f>
        <v/>
      </c>
      <c r="CO49" t="str">
        <f>""</f>
        <v/>
      </c>
      <c r="CP49" t="str">
        <f>""</f>
        <v/>
      </c>
      <c r="CQ49" t="str">
        <f>""</f>
        <v/>
      </c>
      <c r="CR49" t="str">
        <f>""</f>
        <v/>
      </c>
      <c r="CS49" t="str">
        <f>""</f>
        <v/>
      </c>
      <c r="CT49" t="str">
        <f>""</f>
        <v/>
      </c>
      <c r="CU49" t="str">
        <f>""</f>
        <v/>
      </c>
      <c r="CV49" t="str">
        <f>""</f>
        <v/>
      </c>
      <c r="CW49" t="str">
        <f>""</f>
        <v/>
      </c>
      <c r="CX49" t="str">
        <f>""</f>
        <v/>
      </c>
      <c r="CY49" t="str">
        <f>""</f>
        <v/>
      </c>
      <c r="CZ49" t="str">
        <f>""</f>
        <v/>
      </c>
      <c r="DA49" t="str">
        <f>""</f>
        <v/>
      </c>
      <c r="DB49" t="str">
        <f>""</f>
        <v/>
      </c>
      <c r="DC49" t="str">
        <f>""</f>
        <v/>
      </c>
      <c r="DD49" t="str">
        <f>""</f>
        <v/>
      </c>
      <c r="DE49" t="str">
        <f>""</f>
        <v/>
      </c>
      <c r="DF49" t="str">
        <f>""</f>
        <v/>
      </c>
      <c r="DG49" t="str">
        <f>""</f>
        <v/>
      </c>
      <c r="DH49" t="str">
        <f>""</f>
        <v/>
      </c>
      <c r="DI49" t="str">
        <f>""</f>
        <v/>
      </c>
      <c r="DJ49" t="str">
        <f>""</f>
        <v/>
      </c>
      <c r="DK49" t="str">
        <f>""</f>
        <v/>
      </c>
      <c r="DL49" t="str">
        <f>""</f>
        <v/>
      </c>
      <c r="DM49" t="str">
        <f>""</f>
        <v/>
      </c>
      <c r="DN49" t="str">
        <f>""</f>
        <v/>
      </c>
      <c r="DO49" t="str">
        <f>""</f>
        <v/>
      </c>
      <c r="DP49" t="str">
        <f>""</f>
        <v/>
      </c>
      <c r="DQ49" t="str">
        <f>""</f>
        <v/>
      </c>
      <c r="DR49" t="str">
        <f>""</f>
        <v/>
      </c>
      <c r="DS49" t="str">
        <f>""</f>
        <v/>
      </c>
      <c r="DT49" t="str">
        <f>""</f>
        <v/>
      </c>
      <c r="DU49" t="str">
        <f>""</f>
        <v/>
      </c>
      <c r="DV49" t="str">
        <f>""</f>
        <v/>
      </c>
      <c r="DW49" t="str">
        <f>""</f>
        <v/>
      </c>
      <c r="DX49" t="str">
        <f>""</f>
        <v/>
      </c>
      <c r="DY49" t="str">
        <f>""</f>
        <v/>
      </c>
      <c r="DZ49" t="str">
        <f>""</f>
        <v/>
      </c>
      <c r="EA49" t="str">
        <f>""</f>
        <v/>
      </c>
      <c r="EB49" t="str">
        <f>""</f>
        <v/>
      </c>
      <c r="EC49" t="str">
        <f>""</f>
        <v/>
      </c>
      <c r="ED49" t="str">
        <f>""</f>
        <v/>
      </c>
      <c r="EE49" t="str">
        <f>""</f>
        <v/>
      </c>
      <c r="EF49" t="str">
        <f>""</f>
        <v/>
      </c>
      <c r="EG49" t="str">
        <f>""</f>
        <v/>
      </c>
      <c r="EH49" t="str">
        <f>""</f>
        <v/>
      </c>
      <c r="EI49" t="str">
        <f>""</f>
        <v/>
      </c>
      <c r="EJ49" t="str">
        <f>""</f>
        <v/>
      </c>
      <c r="EK49" t="str">
        <f>""</f>
        <v/>
      </c>
      <c r="EL49" t="str">
        <f>""</f>
        <v/>
      </c>
      <c r="EM49" t="str">
        <f>""</f>
        <v/>
      </c>
      <c r="EN49" t="str">
        <f>""</f>
        <v/>
      </c>
      <c r="EO49" t="str">
        <f>""</f>
        <v/>
      </c>
      <c r="EP49" t="str">
        <f>""</f>
        <v/>
      </c>
      <c r="EQ49" t="str">
        <f>""</f>
        <v/>
      </c>
      <c r="ER49" t="str">
        <f>""</f>
        <v/>
      </c>
      <c r="ES49" t="str">
        <f>""</f>
        <v/>
      </c>
      <c r="ET49" t="str">
        <f>""</f>
        <v/>
      </c>
      <c r="EU49" t="str">
        <f>""</f>
        <v/>
      </c>
      <c r="EV49" t="str">
        <f>""</f>
        <v/>
      </c>
      <c r="EW49" t="str">
        <f>""</f>
        <v/>
      </c>
      <c r="EX49" t="str">
        <f>""</f>
        <v/>
      </c>
      <c r="EY49" t="str">
        <f>""</f>
        <v/>
      </c>
      <c r="EZ49" t="str">
        <f>""</f>
        <v/>
      </c>
      <c r="FA49" t="str">
        <f>""</f>
        <v/>
      </c>
      <c r="FB49" t="str">
        <f>""</f>
        <v/>
      </c>
      <c r="FC49" t="str">
        <f>""</f>
        <v/>
      </c>
      <c r="FD49" t="str">
        <f>""</f>
        <v/>
      </c>
      <c r="FE49" t="str">
        <f>""</f>
        <v/>
      </c>
      <c r="FF49" t="str">
        <f>""</f>
        <v/>
      </c>
      <c r="FG49" t="str">
        <f>""</f>
        <v/>
      </c>
      <c r="FH49" t="str">
        <f>""</f>
        <v/>
      </c>
      <c r="FI49" t="str">
        <f>""</f>
        <v/>
      </c>
      <c r="FJ49" t="str">
        <f>""</f>
        <v/>
      </c>
      <c r="FK49" t="str">
        <f>""</f>
        <v/>
      </c>
      <c r="FL49" t="str">
        <f>""</f>
        <v/>
      </c>
      <c r="FM49" t="str">
        <f>""</f>
        <v/>
      </c>
      <c r="FN49" t="str">
        <f>""</f>
        <v/>
      </c>
      <c r="FO49" t="str">
        <f>""</f>
        <v/>
      </c>
      <c r="FP49" t="str">
        <f>""</f>
        <v/>
      </c>
      <c r="FQ49" t="str">
        <f>""</f>
        <v/>
      </c>
    </row>
    <row r="50" spans="1:173" x14ac:dyDescent="0.25">
      <c r="A50" t="str">
        <f>"End Date"</f>
        <v>End Date</v>
      </c>
      <c r="B50">
        <f ca="1">TODAY()</f>
        <v>45242</v>
      </c>
      <c r="CL50" t="str">
        <f>""</f>
        <v/>
      </c>
      <c r="CM50" t="str">
        <f>""</f>
        <v/>
      </c>
      <c r="CN50" t="str">
        <f>""</f>
        <v/>
      </c>
      <c r="CO50" t="str">
        <f>""</f>
        <v/>
      </c>
      <c r="CP50" t="str">
        <f>""</f>
        <v/>
      </c>
      <c r="CQ50" t="str">
        <f>""</f>
        <v/>
      </c>
      <c r="CR50" t="str">
        <f>""</f>
        <v/>
      </c>
      <c r="CS50" t="str">
        <f>""</f>
        <v/>
      </c>
      <c r="CT50" t="str">
        <f>""</f>
        <v/>
      </c>
      <c r="CU50" t="str">
        <f>""</f>
        <v/>
      </c>
      <c r="CV50" t="str">
        <f>""</f>
        <v/>
      </c>
      <c r="CW50" t="str">
        <f>""</f>
        <v/>
      </c>
      <c r="CX50" t="str">
        <f>""</f>
        <v/>
      </c>
      <c r="CY50" t="str">
        <f>""</f>
        <v/>
      </c>
      <c r="CZ50" t="str">
        <f>""</f>
        <v/>
      </c>
      <c r="DA50" t="str">
        <f>""</f>
        <v/>
      </c>
      <c r="DB50" t="str">
        <f>""</f>
        <v/>
      </c>
      <c r="DC50" t="str">
        <f>""</f>
        <v/>
      </c>
      <c r="DD50" t="str">
        <f>""</f>
        <v/>
      </c>
      <c r="DE50" t="str">
        <f>""</f>
        <v/>
      </c>
      <c r="DF50" t="str">
        <f>""</f>
        <v/>
      </c>
      <c r="DG50" t="str">
        <f>""</f>
        <v/>
      </c>
      <c r="DH50" t="str">
        <f>""</f>
        <v/>
      </c>
      <c r="DI50" t="str">
        <f>""</f>
        <v/>
      </c>
      <c r="DJ50" t="str">
        <f>""</f>
        <v/>
      </c>
      <c r="DK50" t="str">
        <f>""</f>
        <v/>
      </c>
      <c r="DL50" t="str">
        <f>""</f>
        <v/>
      </c>
      <c r="DM50" t="str">
        <f>""</f>
        <v/>
      </c>
      <c r="DN50" t="str">
        <f>""</f>
        <v/>
      </c>
      <c r="DO50" t="str">
        <f>""</f>
        <v/>
      </c>
      <c r="DP50" t="str">
        <f>""</f>
        <v/>
      </c>
      <c r="DQ50" t="str">
        <f>""</f>
        <v/>
      </c>
      <c r="DR50" t="str">
        <f>""</f>
        <v/>
      </c>
      <c r="DS50" t="str">
        <f>""</f>
        <v/>
      </c>
      <c r="DT50" t="str">
        <f>""</f>
        <v/>
      </c>
      <c r="DU50" t="str">
        <f>""</f>
        <v/>
      </c>
      <c r="DV50" t="str">
        <f>""</f>
        <v/>
      </c>
      <c r="DW50" t="str">
        <f>""</f>
        <v/>
      </c>
      <c r="DX50" t="str">
        <f>""</f>
        <v/>
      </c>
      <c r="DY50" t="str">
        <f>""</f>
        <v/>
      </c>
      <c r="DZ50" t="str">
        <f>""</f>
        <v/>
      </c>
      <c r="EA50" t="str">
        <f>""</f>
        <v/>
      </c>
      <c r="EB50" t="str">
        <f>""</f>
        <v/>
      </c>
      <c r="EC50" t="str">
        <f>""</f>
        <v/>
      </c>
      <c r="ED50" t="str">
        <f>""</f>
        <v/>
      </c>
      <c r="EE50" t="str">
        <f>""</f>
        <v/>
      </c>
      <c r="EF50" t="str">
        <f>""</f>
        <v/>
      </c>
      <c r="EG50" t="str">
        <f>""</f>
        <v/>
      </c>
      <c r="EH50" t="str">
        <f>""</f>
        <v/>
      </c>
      <c r="EI50" t="str">
        <f>""</f>
        <v/>
      </c>
      <c r="EJ50" t="str">
        <f>""</f>
        <v/>
      </c>
      <c r="EK50" t="str">
        <f>""</f>
        <v/>
      </c>
      <c r="EL50" t="str">
        <f>""</f>
        <v/>
      </c>
      <c r="EM50" t="str">
        <f>""</f>
        <v/>
      </c>
      <c r="EN50" t="str">
        <f>""</f>
        <v/>
      </c>
      <c r="EO50" t="str">
        <f>""</f>
        <v/>
      </c>
      <c r="EP50" t="str">
        <f>""</f>
        <v/>
      </c>
      <c r="EQ50" t="str">
        <f>""</f>
        <v/>
      </c>
      <c r="ER50" t="str">
        <f>""</f>
        <v/>
      </c>
      <c r="ES50" t="str">
        <f>""</f>
        <v/>
      </c>
      <c r="ET50" t="str">
        <f>""</f>
        <v/>
      </c>
      <c r="EU50" t="str">
        <f>""</f>
        <v/>
      </c>
      <c r="EV50" t="str">
        <f>""</f>
        <v/>
      </c>
      <c r="EW50" t="str">
        <f>""</f>
        <v/>
      </c>
      <c r="EX50" t="str">
        <f>""</f>
        <v/>
      </c>
      <c r="EY50" t="str">
        <f>""</f>
        <v/>
      </c>
      <c r="EZ50" t="str">
        <f>""</f>
        <v/>
      </c>
      <c r="FA50" t="str">
        <f>""</f>
        <v/>
      </c>
      <c r="FB50" t="str">
        <f>""</f>
        <v/>
      </c>
      <c r="FC50" t="str">
        <f>""</f>
        <v/>
      </c>
      <c r="FD50" t="str">
        <f>""</f>
        <v/>
      </c>
      <c r="FE50" t="str">
        <f>""</f>
        <v/>
      </c>
      <c r="FF50" t="str">
        <f>""</f>
        <v/>
      </c>
      <c r="FG50" t="str">
        <f>""</f>
        <v/>
      </c>
      <c r="FH50" t="str">
        <f>""</f>
        <v/>
      </c>
      <c r="FI50" t="str">
        <f>""</f>
        <v/>
      </c>
      <c r="FJ50" t="str">
        <f>""</f>
        <v/>
      </c>
      <c r="FK50" t="str">
        <f>""</f>
        <v/>
      </c>
      <c r="FL50" t="str">
        <f>""</f>
        <v/>
      </c>
      <c r="FM50" t="str">
        <f>""</f>
        <v/>
      </c>
      <c r="FN50" t="str">
        <f>""</f>
        <v/>
      </c>
      <c r="FO50" t="str">
        <f>""</f>
        <v/>
      </c>
      <c r="FP50" t="str">
        <f>""</f>
        <v/>
      </c>
      <c r="FQ50" t="str">
        <f>""</f>
        <v/>
      </c>
    </row>
    <row r="51" spans="1:173" x14ac:dyDescent="0.25">
      <c r="A51" t="str">
        <f>"HeaderStatus(BDP formula)"</f>
        <v>HeaderStatus(BDP formula)</v>
      </c>
      <c r="CL51" t="str">
        <f>""</f>
        <v/>
      </c>
      <c r="CM51" t="str">
        <f>""</f>
        <v/>
      </c>
      <c r="CN51" t="str">
        <f>""</f>
        <v/>
      </c>
      <c r="CO51" t="str">
        <f>""</f>
        <v/>
      </c>
      <c r="CP51" t="str">
        <f>""</f>
        <v/>
      </c>
      <c r="CQ51" t="str">
        <f>""</f>
        <v/>
      </c>
      <c r="CR51" t="str">
        <f>""</f>
        <v/>
      </c>
      <c r="CS51" t="str">
        <f>""</f>
        <v/>
      </c>
      <c r="CT51" t="str">
        <f>""</f>
        <v/>
      </c>
      <c r="CU51" t="str">
        <f>""</f>
        <v/>
      </c>
      <c r="CV51" t="str">
        <f>""</f>
        <v/>
      </c>
      <c r="CW51" t="str">
        <f>""</f>
        <v/>
      </c>
      <c r="CX51" t="str">
        <f>""</f>
        <v/>
      </c>
      <c r="CY51" t="str">
        <f>""</f>
        <v/>
      </c>
      <c r="CZ51" t="str">
        <f>""</f>
        <v/>
      </c>
      <c r="DA51" t="str">
        <f>""</f>
        <v/>
      </c>
      <c r="DB51" t="str">
        <f>""</f>
        <v/>
      </c>
      <c r="DC51" t="str">
        <f>""</f>
        <v/>
      </c>
      <c r="DD51" t="str">
        <f>""</f>
        <v/>
      </c>
      <c r="DE51" t="str">
        <f>""</f>
        <v/>
      </c>
      <c r="DF51" t="str">
        <f>""</f>
        <v/>
      </c>
      <c r="DG51" t="str">
        <f>""</f>
        <v/>
      </c>
      <c r="DH51" t="str">
        <f>""</f>
        <v/>
      </c>
      <c r="DI51" t="str">
        <f>""</f>
        <v/>
      </c>
      <c r="DJ51" t="str">
        <f>""</f>
        <v/>
      </c>
      <c r="DK51" t="str">
        <f>""</f>
        <v/>
      </c>
      <c r="DL51" t="str">
        <f>""</f>
        <v/>
      </c>
      <c r="DM51" t="str">
        <f>""</f>
        <v/>
      </c>
      <c r="DN51" t="str">
        <f>""</f>
        <v/>
      </c>
      <c r="DO51" t="str">
        <f>""</f>
        <v/>
      </c>
      <c r="DP51" t="str">
        <f>""</f>
        <v/>
      </c>
      <c r="DQ51" t="str">
        <f>""</f>
        <v/>
      </c>
      <c r="DR51" t="str">
        <f>""</f>
        <v/>
      </c>
      <c r="DS51" t="str">
        <f>""</f>
        <v/>
      </c>
      <c r="DT51" t="str">
        <f>""</f>
        <v/>
      </c>
      <c r="DU51" t="str">
        <f>""</f>
        <v/>
      </c>
      <c r="DV51" t="str">
        <f>""</f>
        <v/>
      </c>
      <c r="DW51" t="str">
        <f>""</f>
        <v/>
      </c>
      <c r="DX51" t="str">
        <f>""</f>
        <v/>
      </c>
      <c r="DY51" t="str">
        <f>""</f>
        <v/>
      </c>
      <c r="DZ51" t="str">
        <f>""</f>
        <v/>
      </c>
      <c r="EA51" t="str">
        <f>""</f>
        <v/>
      </c>
      <c r="EB51" t="str">
        <f>""</f>
        <v/>
      </c>
      <c r="EC51" t="str">
        <f>""</f>
        <v/>
      </c>
      <c r="ED51" t="str">
        <f>""</f>
        <v/>
      </c>
      <c r="EE51" t="str">
        <f>""</f>
        <v/>
      </c>
      <c r="EF51" t="str">
        <f>""</f>
        <v/>
      </c>
      <c r="EG51" t="str">
        <f>""</f>
        <v/>
      </c>
      <c r="EH51" t="str">
        <f>""</f>
        <v/>
      </c>
      <c r="EI51" t="str">
        <f>""</f>
        <v/>
      </c>
      <c r="EJ51" t="str">
        <f>""</f>
        <v/>
      </c>
      <c r="EK51" t="str">
        <f>""</f>
        <v/>
      </c>
      <c r="EL51" t="str">
        <f>""</f>
        <v/>
      </c>
      <c r="EM51" t="str">
        <f>""</f>
        <v/>
      </c>
      <c r="EN51" t="str">
        <f>""</f>
        <v/>
      </c>
      <c r="EO51" t="str">
        <f>""</f>
        <v/>
      </c>
      <c r="EP51" t="str">
        <f>""</f>
        <v/>
      </c>
      <c r="EQ51" t="str">
        <f>""</f>
        <v/>
      </c>
      <c r="ER51" t="str">
        <f>""</f>
        <v/>
      </c>
      <c r="ES51" t="str">
        <f>""</f>
        <v/>
      </c>
      <c r="ET51" t="str">
        <f>""</f>
        <v/>
      </c>
      <c r="EU51" t="str">
        <f>""</f>
        <v/>
      </c>
      <c r="EV51" t="str">
        <f>""</f>
        <v/>
      </c>
      <c r="EW51" t="str">
        <f>""</f>
        <v/>
      </c>
      <c r="EX51" t="str">
        <f>""</f>
        <v/>
      </c>
      <c r="EY51" t="str">
        <f>""</f>
        <v/>
      </c>
      <c r="EZ51" t="str">
        <f>""</f>
        <v/>
      </c>
      <c r="FA51" t="str">
        <f>""</f>
        <v/>
      </c>
      <c r="FB51" t="str">
        <f>""</f>
        <v/>
      </c>
      <c r="FC51" t="str">
        <f>""</f>
        <v/>
      </c>
      <c r="FD51" t="str">
        <f>""</f>
        <v/>
      </c>
      <c r="FE51" t="str">
        <f>""</f>
        <v/>
      </c>
      <c r="FF51" t="str">
        <f>""</f>
        <v/>
      </c>
      <c r="FG51" t="str">
        <f>""</f>
        <v/>
      </c>
      <c r="FH51" t="str">
        <f>""</f>
        <v/>
      </c>
      <c r="FI51" t="str">
        <f>""</f>
        <v/>
      </c>
      <c r="FJ51" t="str">
        <f>""</f>
        <v/>
      </c>
      <c r="FK51" t="str">
        <f>""</f>
        <v/>
      </c>
      <c r="FL51" t="str">
        <f>""</f>
        <v/>
      </c>
      <c r="FM51" t="str">
        <f>""</f>
        <v/>
      </c>
      <c r="FN51" t="str">
        <f>""</f>
        <v/>
      </c>
      <c r="FO51" t="str">
        <f>""</f>
        <v/>
      </c>
      <c r="FP51" t="str">
        <f>""</f>
        <v/>
      </c>
      <c r="FQ51" t="str">
        <f>""</f>
        <v/>
      </c>
    </row>
    <row r="52" spans="1:173" x14ac:dyDescent="0.25">
      <c r="CL52" t="str">
        <f>""</f>
        <v/>
      </c>
      <c r="CM52" t="str">
        <f>""</f>
        <v/>
      </c>
      <c r="CN52" t="str">
        <f>""</f>
        <v/>
      </c>
      <c r="CO52" t="str">
        <f>""</f>
        <v/>
      </c>
      <c r="CP52" t="str">
        <f>""</f>
        <v/>
      </c>
      <c r="CQ52" t="str">
        <f>""</f>
        <v/>
      </c>
      <c r="CR52" t="str">
        <f>""</f>
        <v/>
      </c>
      <c r="CS52" t="str">
        <f>""</f>
        <v/>
      </c>
      <c r="CT52" t="str">
        <f>""</f>
        <v/>
      </c>
      <c r="CU52" t="str">
        <f>""</f>
        <v/>
      </c>
      <c r="CV52" t="str">
        <f>""</f>
        <v/>
      </c>
      <c r="CW52" t="str">
        <f>""</f>
        <v/>
      </c>
      <c r="CX52" t="str">
        <f>""</f>
        <v/>
      </c>
      <c r="CY52" t="str">
        <f>""</f>
        <v/>
      </c>
      <c r="CZ52" t="str">
        <f>""</f>
        <v/>
      </c>
      <c r="DA52" t="str">
        <f>""</f>
        <v/>
      </c>
      <c r="DB52" t="str">
        <f>""</f>
        <v/>
      </c>
      <c r="DC52" t="str">
        <f>""</f>
        <v/>
      </c>
      <c r="DD52" t="str">
        <f>""</f>
        <v/>
      </c>
      <c r="DE52" t="str">
        <f>""</f>
        <v/>
      </c>
      <c r="DF52" t="str">
        <f>""</f>
        <v/>
      </c>
      <c r="DG52" t="str">
        <f>""</f>
        <v/>
      </c>
      <c r="DH52" t="str">
        <f>""</f>
        <v/>
      </c>
      <c r="DI52" t="str">
        <f>""</f>
        <v/>
      </c>
      <c r="DJ52" t="str">
        <f>""</f>
        <v/>
      </c>
      <c r="DK52" t="str">
        <f>""</f>
        <v/>
      </c>
      <c r="DL52" t="str">
        <f>""</f>
        <v/>
      </c>
      <c r="DM52" t="str">
        <f>""</f>
        <v/>
      </c>
      <c r="DN52" t="str">
        <f>""</f>
        <v/>
      </c>
      <c r="DO52" t="str">
        <f>""</f>
        <v/>
      </c>
      <c r="DP52" t="str">
        <f>""</f>
        <v/>
      </c>
      <c r="DQ52" t="str">
        <f>""</f>
        <v/>
      </c>
      <c r="DR52" t="str">
        <f>""</f>
        <v/>
      </c>
      <c r="DS52" t="str">
        <f>""</f>
        <v/>
      </c>
      <c r="DT52" t="str">
        <f>""</f>
        <v/>
      </c>
      <c r="DU52" t="str">
        <f>""</f>
        <v/>
      </c>
      <c r="DV52" t="str">
        <f>""</f>
        <v/>
      </c>
      <c r="DW52" t="str">
        <f>""</f>
        <v/>
      </c>
      <c r="DX52" t="str">
        <f>""</f>
        <v/>
      </c>
      <c r="DY52" t="str">
        <f>""</f>
        <v/>
      </c>
      <c r="DZ52" t="str">
        <f>""</f>
        <v/>
      </c>
      <c r="EA52" t="str">
        <f>""</f>
        <v/>
      </c>
      <c r="EB52" t="str">
        <f>""</f>
        <v/>
      </c>
      <c r="EC52" t="str">
        <f>""</f>
        <v/>
      </c>
      <c r="ED52" t="str">
        <f>""</f>
        <v/>
      </c>
      <c r="EE52" t="str">
        <f>""</f>
        <v/>
      </c>
      <c r="EF52" t="str">
        <f>""</f>
        <v/>
      </c>
      <c r="EG52" t="str">
        <f>""</f>
        <v/>
      </c>
      <c r="EH52" t="str">
        <f>""</f>
        <v/>
      </c>
      <c r="EI52" t="str">
        <f>""</f>
        <v/>
      </c>
      <c r="EJ52" t="str">
        <f>""</f>
        <v/>
      </c>
      <c r="EK52" t="str">
        <f>""</f>
        <v/>
      </c>
      <c r="EL52" t="str">
        <f>""</f>
        <v/>
      </c>
      <c r="EM52" t="str">
        <f>""</f>
        <v/>
      </c>
      <c r="EN52" t="str">
        <f>""</f>
        <v/>
      </c>
      <c r="EO52" t="str">
        <f>""</f>
        <v/>
      </c>
      <c r="EP52" t="str">
        <f>""</f>
        <v/>
      </c>
      <c r="EQ52" t="str">
        <f>""</f>
        <v/>
      </c>
      <c r="ER52" t="str">
        <f>""</f>
        <v/>
      </c>
      <c r="ES52" t="str">
        <f>""</f>
        <v/>
      </c>
      <c r="ET52" t="str">
        <f>""</f>
        <v/>
      </c>
      <c r="EU52" t="str">
        <f>""</f>
        <v/>
      </c>
      <c r="EV52" t="str">
        <f>""</f>
        <v/>
      </c>
      <c r="EW52" t="str">
        <f>""</f>
        <v/>
      </c>
      <c r="EX52" t="str">
        <f>""</f>
        <v/>
      </c>
      <c r="EY52" t="str">
        <f>""</f>
        <v/>
      </c>
      <c r="EZ52" t="str">
        <f>""</f>
        <v/>
      </c>
      <c r="FA52" t="str">
        <f>""</f>
        <v/>
      </c>
      <c r="FB52" t="str">
        <f>""</f>
        <v/>
      </c>
      <c r="FC52" t="str">
        <f>""</f>
        <v/>
      </c>
      <c r="FD52" t="str">
        <f>""</f>
        <v/>
      </c>
      <c r="FE52" t="str">
        <f>""</f>
        <v/>
      </c>
      <c r="FF52" t="str">
        <f>""</f>
        <v/>
      </c>
      <c r="FG52" t="str">
        <f>""</f>
        <v/>
      </c>
      <c r="FH52" t="str">
        <f>""</f>
        <v/>
      </c>
      <c r="FI52" t="str">
        <f>""</f>
        <v/>
      </c>
      <c r="FJ52" t="str">
        <f>""</f>
        <v/>
      </c>
      <c r="FK52" t="str">
        <f>""</f>
        <v/>
      </c>
      <c r="FL52" t="str">
        <f>""</f>
        <v/>
      </c>
      <c r="FM52" t="str">
        <f>""</f>
        <v/>
      </c>
      <c r="FN52" t="str">
        <f>""</f>
        <v/>
      </c>
      <c r="FO52" t="str">
        <f>""</f>
        <v/>
      </c>
      <c r="FP52" t="str">
        <f>""</f>
        <v/>
      </c>
      <c r="FQ52" t="str">
        <f>""</f>
        <v/>
      </c>
    </row>
    <row r="53" spans="1:173" x14ac:dyDescent="0.25">
      <c r="A53" t="str">
        <f>"Period Start"</f>
        <v>Period Start</v>
      </c>
      <c r="C53" t="str">
        <f>"PX391"</f>
        <v>PX391</v>
      </c>
      <c r="D53" t="str">
        <f>"START_DATE_OVERRIDE"</f>
        <v>START_DATE_OVERRIDE</v>
      </c>
      <c r="E53" t="str">
        <f t="shared" ref="E53:E58" si="15">"Dynamic"</f>
        <v>Dynamic</v>
      </c>
      <c r="F53" t="str">
        <f ca="1">CONCATENATE(YEAR( EOMONTH($B$50,(-1*(0+1)))+1 ), IF( MONTH(EOMONTH($B$50,(-1*(0+1)))+1) &lt; 10, "0", "" ), MONTH( EOMONTH($B$50,(-1*(0+1)))+1 ), IF( DAY(EOMONTH($B$50,(-1*(0+1)))+1) &lt; 10, "0", "" ), DAY( EOMONTH($B$50,(-1*(0+1)))+1 ), )</f>
        <v>20231101</v>
      </c>
      <c r="G53" t="str">
        <f ca="1">CONCATENATE(YEAR( EOMONTH($B$50,(-1*(1+1)))+1 ), IF( MONTH(EOMONTH($B$50,(-1*(1+1)))+1) &lt; 10, "0", "" ), MONTH( EOMONTH($B$50,(-1*(1+1)))+1 ), IF( DAY(EOMONTH($B$50,(-1*(1+1)))+1) &lt; 10, "0", "" ), DAY( EOMONTH($B$50,(-1*(1+1)))+1 ), )</f>
        <v>20231001</v>
      </c>
      <c r="H53" t="str">
        <f ca="1">CONCATENATE(YEAR( EOMONTH($B$50,(-1*(2+1)))+1 ), IF( MONTH(EOMONTH($B$50,(-1*(2+1)))+1) &lt; 10, "0", "" ), MONTH( EOMONTH($B$50,(-1*(2+1)))+1 ), IF( DAY(EOMONTH($B$50,(-1*(2+1)))+1) &lt; 10, "0", "" ), DAY( EOMONTH($B$50,(-1*(2+1)))+1 ), )</f>
        <v>20230901</v>
      </c>
      <c r="I53" t="str">
        <f ca="1">CONCATENATE(YEAR( EOMONTH($B$50,(-1*(3+1)))+1 ), IF( MONTH(EOMONTH($B$50,(-1*(3+1)))+1) &lt; 10, "0", "" ), MONTH( EOMONTH($B$50,(-1*(3+1)))+1 ), IF( DAY(EOMONTH($B$50,(-1*(3+1)))+1) &lt; 10, "0", "" ), DAY( EOMONTH($B$50,(-1*(3+1)))+1 ), )</f>
        <v>20230801</v>
      </c>
      <c r="J53" t="str">
        <f ca="1">CONCATENATE(YEAR( EOMONTH($B$50,(-1*(4+1)))+1 ), IF( MONTH(EOMONTH($B$50,(-1*(4+1)))+1) &lt; 10, "0", "" ), MONTH( EOMONTH($B$50,(-1*(4+1)))+1 ), IF( DAY(EOMONTH($B$50,(-1*(4+1)))+1) &lt; 10, "0", "" ), DAY( EOMONTH($B$50,(-1*(4+1)))+1 ), )</f>
        <v>20230701</v>
      </c>
      <c r="K53" t="str">
        <f ca="1">CONCATENATE(YEAR( EOMONTH($B$50,(-1*(5+1)))+1 ), IF( MONTH(EOMONTH($B$50,(-1*(5+1)))+1) &lt; 10, "0", "" ), MONTH( EOMONTH($B$50,(-1*(5+1)))+1 ), IF( DAY(EOMONTH($B$50,(-1*(5+1)))+1) &lt; 10, "0", "" ), DAY( EOMONTH($B$50,(-1*(5+1)))+1 ), )</f>
        <v>20230601</v>
      </c>
      <c r="L53" t="str">
        <f ca="1">CONCATENATE(YEAR( EOMONTH($B$50,(-1*(6+1)))+1 ), IF( MONTH(EOMONTH($B$50,(-1*(6+1)))+1) &lt; 10, "0", "" ), MONTH( EOMONTH($B$50,(-1*(6+1)))+1 ), IF( DAY(EOMONTH($B$50,(-1*(6+1)))+1) &lt; 10, "0", "" ), DAY( EOMONTH($B$50,(-1*(6+1)))+1 ), )</f>
        <v>20230501</v>
      </c>
      <c r="M53" t="str">
        <f ca="1">CONCATENATE(YEAR( EOMONTH($B$50,(-1*(7+1)))+1 ), IF( MONTH(EOMONTH($B$50,(-1*(7+1)))+1) &lt; 10, "0", "" ), MONTH( EOMONTH($B$50,(-1*(7+1)))+1 ), IF( DAY(EOMONTH($B$50,(-1*(7+1)))+1) &lt; 10, "0", "" ), DAY( EOMONTH($B$50,(-1*(7+1)))+1 ), )</f>
        <v>20230401</v>
      </c>
      <c r="N53" t="str">
        <f ca="1">CONCATENATE(YEAR( EOMONTH($B$50,(-1*(8+1)))+1 ), IF( MONTH(EOMONTH($B$50,(-1*(8+1)))+1) &lt; 10, "0", "" ), MONTH( EOMONTH($B$50,(-1*(8+1)))+1 ), IF( DAY(EOMONTH($B$50,(-1*(8+1)))+1) &lt; 10, "0", "" ), DAY( EOMONTH($B$50,(-1*(8+1)))+1 ), )</f>
        <v>20230301</v>
      </c>
      <c r="O53" t="str">
        <f ca="1">CONCATENATE(YEAR( EOMONTH($B$50,(-1*(9+1)))+1 ), IF( MONTH(EOMONTH($B$50,(-1*(9+1)))+1) &lt; 10, "0", "" ), MONTH( EOMONTH($B$50,(-1*(9+1)))+1 ), IF( DAY(EOMONTH($B$50,(-1*(9+1)))+1) &lt; 10, "0", "" ), DAY( EOMONTH($B$50,(-1*(9+1)))+1 ), )</f>
        <v>20230201</v>
      </c>
      <c r="P53" t="str">
        <f ca="1">CONCATENATE(YEAR( EOMONTH($B$50,(-1*(10+1)))+1 ), IF( MONTH(EOMONTH($B$50,(-1*(10+1)))+1) &lt; 10, "0", "" ), MONTH( EOMONTH($B$50,(-1*(10+1)))+1 ), IF( DAY(EOMONTH($B$50,(-1*(10+1)))+1) &lt; 10, "0", "" ), DAY( EOMONTH($B$50,(-1*(10+1)))+1 ), )</f>
        <v>20230101</v>
      </c>
      <c r="Q53" t="str">
        <f ca="1">CONCATENATE(YEAR( EOMONTH($B$50,(-1*(11+1)))+1 ), IF( MONTH(EOMONTH($B$50,(-1*(11+1)))+1) &lt; 10, "0", "" ), MONTH( EOMONTH($B$50,(-1*(11+1)))+1 ), IF( DAY(EOMONTH($B$50,(-1*(11+1)))+1) &lt; 10, "0", "" ), DAY( EOMONTH($B$50,(-1*(11+1)))+1 ), )</f>
        <v>20221201</v>
      </c>
      <c r="R53" t="str">
        <f ca="1">CONCATENATE(YEAR( EOMONTH($B$50,(-1*(12+1)))+1 ), IF( MONTH(EOMONTH($B$50,(-1*(12+1)))+1) &lt; 10, "0", "" ), MONTH( EOMONTH($B$50,(-1*(12+1)))+1 ), IF( DAY(EOMONTH($B$50,(-1*(12+1)))+1) &lt; 10, "0", "" ), DAY( EOMONTH($B$50,(-1*(12+1)))+1 ), )</f>
        <v>20221101</v>
      </c>
      <c r="S53" t="str">
        <f ca="1">CONCATENATE(YEAR( EOMONTH($B$50,(-1*(13+1)))+1 ), IF( MONTH(EOMONTH($B$50,(-1*(13+1)))+1) &lt; 10, "0", "" ), MONTH( EOMONTH($B$50,(-1*(13+1)))+1 ), IF( DAY(EOMONTH($B$50,(-1*(13+1)))+1) &lt; 10, "0", "" ), DAY( EOMONTH($B$50,(-1*(13+1)))+1 ), )</f>
        <v>20221001</v>
      </c>
      <c r="T53" t="str">
        <f ca="1">CONCATENATE(YEAR( EOMONTH($B$50,(-1*(14+1)))+1 ), IF( MONTH(EOMONTH($B$50,(-1*(14+1)))+1) &lt; 10, "0", "" ), MONTH( EOMONTH($B$50,(-1*(14+1)))+1 ), IF( DAY(EOMONTH($B$50,(-1*(14+1)))+1) &lt; 10, "0", "" ), DAY( EOMONTH($B$50,(-1*(14+1)))+1 ), )</f>
        <v>20220901</v>
      </c>
      <c r="U53" t="str">
        <f ca="1">CONCATENATE(YEAR( EOMONTH($B$50,(-1*(15+1)))+1 ), IF( MONTH(EOMONTH($B$50,(-1*(15+1)))+1) &lt; 10, "0", "" ), MONTH( EOMONTH($B$50,(-1*(15+1)))+1 ), IF( DAY(EOMONTH($B$50,(-1*(15+1)))+1) &lt; 10, "0", "" ), DAY( EOMONTH($B$50,(-1*(15+1)))+1 ), )</f>
        <v>20220801</v>
      </c>
      <c r="V53" t="str">
        <f ca="1">CONCATENATE(YEAR( EOMONTH($B$50,(-1*(16+1)))+1 ), IF( MONTH(EOMONTH($B$50,(-1*(16+1)))+1) &lt; 10, "0", "" ), MONTH( EOMONTH($B$50,(-1*(16+1)))+1 ), IF( DAY(EOMONTH($B$50,(-1*(16+1)))+1) &lt; 10, "0", "" ), DAY( EOMONTH($B$50,(-1*(16+1)))+1 ), )</f>
        <v>20220701</v>
      </c>
      <c r="W53" t="str">
        <f ca="1">CONCATENATE(YEAR( EOMONTH($B$50,(-1*(17+1)))+1 ), IF( MONTH(EOMONTH($B$50,(-1*(17+1)))+1) &lt; 10, "0", "" ), MONTH( EOMONTH($B$50,(-1*(17+1)))+1 ), IF( DAY(EOMONTH($B$50,(-1*(17+1)))+1) &lt; 10, "0", "" ), DAY( EOMONTH($B$50,(-1*(17+1)))+1 ), )</f>
        <v>20220601</v>
      </c>
      <c r="X53" t="str">
        <f ca="1">CONCATENATE(YEAR( EOMONTH($B$50,(-1*(18+1)))+1 ), IF( MONTH(EOMONTH($B$50,(-1*(18+1)))+1) &lt; 10, "0", "" ), MONTH( EOMONTH($B$50,(-1*(18+1)))+1 ), IF( DAY(EOMONTH($B$50,(-1*(18+1)))+1) &lt; 10, "0", "" ), DAY( EOMONTH($B$50,(-1*(18+1)))+1 ), )</f>
        <v>20220501</v>
      </c>
      <c r="Y53" t="str">
        <f ca="1">CONCATENATE(YEAR( EOMONTH($B$50,(-1*(19+1)))+1 ), IF( MONTH(EOMONTH($B$50,(-1*(19+1)))+1) &lt; 10, "0", "" ), MONTH( EOMONTH($B$50,(-1*(19+1)))+1 ), IF( DAY(EOMONTH($B$50,(-1*(19+1)))+1) &lt; 10, "0", "" ), DAY( EOMONTH($B$50,(-1*(19+1)))+1 ), )</f>
        <v>20220401</v>
      </c>
      <c r="Z53" t="str">
        <f ca="1">CONCATENATE(YEAR( EOMONTH($B$50,(-1*(20+1)))+1 ), IF( MONTH(EOMONTH($B$50,(-1*(20+1)))+1) &lt; 10, "0", "" ), MONTH( EOMONTH($B$50,(-1*(20+1)))+1 ), IF( DAY(EOMONTH($B$50,(-1*(20+1)))+1) &lt; 10, "0", "" ), DAY( EOMONTH($B$50,(-1*(20+1)))+1 ), )</f>
        <v>20220301</v>
      </c>
      <c r="AA53" t="str">
        <f ca="1">CONCATENATE(YEAR( EOMONTH($B$50,(-1*(21+1)))+1 ), IF( MONTH(EOMONTH($B$50,(-1*(21+1)))+1) &lt; 10, "0", "" ), MONTH( EOMONTH($B$50,(-1*(21+1)))+1 ), IF( DAY(EOMONTH($B$50,(-1*(21+1)))+1) &lt; 10, "0", "" ), DAY( EOMONTH($B$50,(-1*(21+1)))+1 ), )</f>
        <v>20220201</v>
      </c>
      <c r="AB53" t="str">
        <f ca="1">CONCATENATE(YEAR( EOMONTH($B$50,(-1*(22+1)))+1 ), IF( MONTH(EOMONTH($B$50,(-1*(22+1)))+1) &lt; 10, "0", "" ), MONTH( EOMONTH($B$50,(-1*(22+1)))+1 ), IF( DAY(EOMONTH($B$50,(-1*(22+1)))+1) &lt; 10, "0", "" ), DAY( EOMONTH($B$50,(-1*(22+1)))+1 ), )</f>
        <v>20220101</v>
      </c>
      <c r="AC53" t="str">
        <f ca="1">CONCATENATE(YEAR( EOMONTH($B$50,(-1*(23+1)))+1 ), IF( MONTH(EOMONTH($B$50,(-1*(23+1)))+1) &lt; 10, "0", "" ), MONTH( EOMONTH($B$50,(-1*(23+1)))+1 ), IF( DAY(EOMONTH($B$50,(-1*(23+1)))+1) &lt; 10, "0", "" ), DAY( EOMONTH($B$50,(-1*(23+1)))+1 ), )</f>
        <v>20211201</v>
      </c>
      <c r="AD53" t="str">
        <f ca="1">CONCATENATE(YEAR( EOMONTH($B$50,(-1*(24+1)))+1 ), IF( MONTH(EOMONTH($B$50,(-1*(24+1)))+1) &lt; 10, "0", "" ), MONTH( EOMONTH($B$50,(-1*(24+1)))+1 ), IF( DAY(EOMONTH($B$50,(-1*(24+1)))+1) &lt; 10, "0", "" ), DAY( EOMONTH($B$50,(-1*(24+1)))+1 ), )</f>
        <v>20211101</v>
      </c>
      <c r="AE53" t="str">
        <f ca="1">CONCATENATE(YEAR( EOMONTH($B$50,(-1*(25+1)))+1 ), IF( MONTH(EOMONTH($B$50,(-1*(25+1)))+1) &lt; 10, "0", "" ), MONTH( EOMONTH($B$50,(-1*(25+1)))+1 ), IF( DAY(EOMONTH($B$50,(-1*(25+1)))+1) &lt; 10, "0", "" ), DAY( EOMONTH($B$50,(-1*(25+1)))+1 ), )</f>
        <v>20211001</v>
      </c>
      <c r="AF53" t="str">
        <f ca="1">CONCATENATE(YEAR( EOMONTH($B$50,(-1*(26+1)))+1 ), IF( MONTH(EOMONTH($B$50,(-1*(26+1)))+1) &lt; 10, "0", "" ), MONTH( EOMONTH($B$50,(-1*(26+1)))+1 ), IF( DAY(EOMONTH($B$50,(-1*(26+1)))+1) &lt; 10, "0", "" ), DAY( EOMONTH($B$50,(-1*(26+1)))+1 ), )</f>
        <v>20210901</v>
      </c>
      <c r="AG53" t="str">
        <f ca="1">CONCATENATE(YEAR( EOMONTH($B$50,(-1*(27+1)))+1 ), IF( MONTH(EOMONTH($B$50,(-1*(27+1)))+1) &lt; 10, "0", "" ), MONTH( EOMONTH($B$50,(-1*(27+1)))+1 ), IF( DAY(EOMONTH($B$50,(-1*(27+1)))+1) &lt; 10, "0", "" ), DAY( EOMONTH($B$50,(-1*(27+1)))+1 ), )</f>
        <v>20210801</v>
      </c>
      <c r="AH53" t="str">
        <f ca="1">CONCATENATE(YEAR( EOMONTH($B$50,(-1*(28+1)))+1 ), IF( MONTH(EOMONTH($B$50,(-1*(28+1)))+1) &lt; 10, "0", "" ), MONTH( EOMONTH($B$50,(-1*(28+1)))+1 ), IF( DAY(EOMONTH($B$50,(-1*(28+1)))+1) &lt; 10, "0", "" ), DAY( EOMONTH($B$50,(-1*(28+1)))+1 ), )</f>
        <v>20210701</v>
      </c>
      <c r="AI53" t="str">
        <f ca="1">CONCATENATE(YEAR( EOMONTH($B$50,(-1*(29+1)))+1 ), IF( MONTH(EOMONTH($B$50,(-1*(29+1)))+1) &lt; 10, "0", "" ), MONTH( EOMONTH($B$50,(-1*(29+1)))+1 ), IF( DAY(EOMONTH($B$50,(-1*(29+1)))+1) &lt; 10, "0", "" ), DAY( EOMONTH($B$50,(-1*(29+1)))+1 ), )</f>
        <v>20210601</v>
      </c>
      <c r="AJ53" t="str">
        <f ca="1">CONCATENATE(YEAR( EOMONTH($B$50,(-1*(30+1)))+1 ), IF( MONTH(EOMONTH($B$50,(-1*(30+1)))+1) &lt; 10, "0", "" ), MONTH( EOMONTH($B$50,(-1*(30+1)))+1 ), IF( DAY(EOMONTH($B$50,(-1*(30+1)))+1) &lt; 10, "0", "" ), DAY( EOMONTH($B$50,(-1*(30+1)))+1 ), )</f>
        <v>20210501</v>
      </c>
      <c r="AK53" t="str">
        <f ca="1">CONCATENATE(YEAR( EOMONTH($B$50,(-1*(31+1)))+1 ), IF( MONTH(EOMONTH($B$50,(-1*(31+1)))+1) &lt; 10, "0", "" ), MONTH( EOMONTH($B$50,(-1*(31+1)))+1 ), IF( DAY(EOMONTH($B$50,(-1*(31+1)))+1) &lt; 10, "0", "" ), DAY( EOMONTH($B$50,(-1*(31+1)))+1 ), )</f>
        <v>20210401</v>
      </c>
      <c r="AL53" t="str">
        <f ca="1">CONCATENATE(YEAR( EOMONTH($B$50,(-1*(32+1)))+1 ), IF( MONTH(EOMONTH($B$50,(-1*(32+1)))+1) &lt; 10, "0", "" ), MONTH( EOMONTH($B$50,(-1*(32+1)))+1 ), IF( DAY(EOMONTH($B$50,(-1*(32+1)))+1) &lt; 10, "0", "" ), DAY( EOMONTH($B$50,(-1*(32+1)))+1 ), )</f>
        <v>20210301</v>
      </c>
      <c r="AM53" t="str">
        <f ca="1">CONCATENATE(YEAR( EOMONTH($B$50,(-1*(33+1)))+1 ), IF( MONTH(EOMONTH($B$50,(-1*(33+1)))+1) &lt; 10, "0", "" ), MONTH( EOMONTH($B$50,(-1*(33+1)))+1 ), IF( DAY(EOMONTH($B$50,(-1*(33+1)))+1) &lt; 10, "0", "" ), DAY( EOMONTH($B$50,(-1*(33+1)))+1 ), )</f>
        <v>20210201</v>
      </c>
      <c r="AN53" t="str">
        <f ca="1">CONCATENATE(YEAR( EOMONTH($B$50,(-1*(34+1)))+1 ), IF( MONTH(EOMONTH($B$50,(-1*(34+1)))+1) &lt; 10, "0", "" ), MONTH( EOMONTH($B$50,(-1*(34+1)))+1 ), IF( DAY(EOMONTH($B$50,(-1*(34+1)))+1) &lt; 10, "0", "" ), DAY( EOMONTH($B$50,(-1*(34+1)))+1 ), )</f>
        <v>20210101</v>
      </c>
      <c r="AO53" t="str">
        <f ca="1">CONCATENATE(YEAR( EOMONTH($B$50,(-1*(35+1)))+1 ), IF( MONTH(EOMONTH($B$50,(-1*(35+1)))+1) &lt; 10, "0", "" ), MONTH( EOMONTH($B$50,(-1*(35+1)))+1 ), IF( DAY(EOMONTH($B$50,(-1*(35+1)))+1) &lt; 10, "0", "" ), DAY( EOMONTH($B$50,(-1*(35+1)))+1 ), )</f>
        <v>20201201</v>
      </c>
      <c r="AP53" t="str">
        <f ca="1">CONCATENATE(YEAR( EOMONTH($B$50,(-1*(36+1)))+1 ), IF( MONTH(EOMONTH($B$50,(-1*(36+1)))+1) &lt; 10, "0", "" ), MONTH( EOMONTH($B$50,(-1*(36+1)))+1 ), IF( DAY(EOMONTH($B$50,(-1*(36+1)))+1) &lt; 10, "0", "" ), DAY( EOMONTH($B$50,(-1*(36+1)))+1 ), )</f>
        <v>20201101</v>
      </c>
      <c r="AQ53" t="str">
        <f ca="1">CONCATENATE(YEAR( EOMONTH($B$50,(-1*(37+1)))+1 ), IF( MONTH(EOMONTH($B$50,(-1*(37+1)))+1) &lt; 10, "0", "" ), MONTH( EOMONTH($B$50,(-1*(37+1)))+1 ), IF( DAY(EOMONTH($B$50,(-1*(37+1)))+1) &lt; 10, "0", "" ), DAY( EOMONTH($B$50,(-1*(37+1)))+1 ), )</f>
        <v>20201001</v>
      </c>
      <c r="AR53" t="str">
        <f ca="1">CONCATENATE(YEAR( EOMONTH($B$50,(-1*(38+1)))+1 ), IF( MONTH(EOMONTH($B$50,(-1*(38+1)))+1) &lt; 10, "0", "" ), MONTH( EOMONTH($B$50,(-1*(38+1)))+1 ), IF( DAY(EOMONTH($B$50,(-1*(38+1)))+1) &lt; 10, "0", "" ), DAY( EOMONTH($B$50,(-1*(38+1)))+1 ), )</f>
        <v>20200901</v>
      </c>
      <c r="AS53" t="str">
        <f ca="1">CONCATENATE(YEAR( EOMONTH($B$50,(-1*(39+1)))+1 ), IF( MONTH(EOMONTH($B$50,(-1*(39+1)))+1) &lt; 10, "0", "" ), MONTH( EOMONTH($B$50,(-1*(39+1)))+1 ), IF( DAY(EOMONTH($B$50,(-1*(39+1)))+1) &lt; 10, "0", "" ), DAY( EOMONTH($B$50,(-1*(39+1)))+1 ), )</f>
        <v>20200801</v>
      </c>
      <c r="AT53" t="str">
        <f ca="1">CONCATENATE(YEAR( EOMONTH($B$50,(-1*(40+1)))+1 ), IF( MONTH(EOMONTH($B$50,(-1*(40+1)))+1) &lt; 10, "0", "" ), MONTH( EOMONTH($B$50,(-1*(40+1)))+1 ), IF( DAY(EOMONTH($B$50,(-1*(40+1)))+1) &lt; 10, "0", "" ), DAY( EOMONTH($B$50,(-1*(40+1)))+1 ), )</f>
        <v>20200701</v>
      </c>
      <c r="AU53" t="str">
        <f ca="1">CONCATENATE(YEAR( EOMONTH($B$50,(-1*(41+1)))+1 ), IF( MONTH(EOMONTH($B$50,(-1*(41+1)))+1) &lt; 10, "0", "" ), MONTH( EOMONTH($B$50,(-1*(41+1)))+1 ), IF( DAY(EOMONTH($B$50,(-1*(41+1)))+1) &lt; 10, "0", "" ), DAY( EOMONTH($B$50,(-1*(41+1)))+1 ), )</f>
        <v>20200601</v>
      </c>
      <c r="AV53" t="str">
        <f ca="1">CONCATENATE(YEAR( EOMONTH($B$50,(-1*(42+1)))+1 ), IF( MONTH(EOMONTH($B$50,(-1*(42+1)))+1) &lt; 10, "0", "" ), MONTH( EOMONTH($B$50,(-1*(42+1)))+1 ), IF( DAY(EOMONTH($B$50,(-1*(42+1)))+1) &lt; 10, "0", "" ), DAY( EOMONTH($B$50,(-1*(42+1)))+1 ), )</f>
        <v>20200501</v>
      </c>
      <c r="AW53" t="str">
        <f ca="1">CONCATENATE(YEAR( EOMONTH($B$50,(-1*(43+1)))+1 ), IF( MONTH(EOMONTH($B$50,(-1*(43+1)))+1) &lt; 10, "0", "" ), MONTH( EOMONTH($B$50,(-1*(43+1)))+1 ), IF( DAY(EOMONTH($B$50,(-1*(43+1)))+1) &lt; 10, "0", "" ), DAY( EOMONTH($B$50,(-1*(43+1)))+1 ), )</f>
        <v>20200401</v>
      </c>
      <c r="AX53" t="str">
        <f ca="1">CONCATENATE(YEAR( EOMONTH($B$50,(-1*(44+1)))+1 ), IF( MONTH(EOMONTH($B$50,(-1*(44+1)))+1) &lt; 10, "0", "" ), MONTH( EOMONTH($B$50,(-1*(44+1)))+1 ), IF( DAY(EOMONTH($B$50,(-1*(44+1)))+1) &lt; 10, "0", "" ), DAY( EOMONTH($B$50,(-1*(44+1)))+1 ), )</f>
        <v>20200301</v>
      </c>
      <c r="AY53" t="str">
        <f ca="1">CONCATENATE(YEAR( EOMONTH($B$50,(-1*(45+1)))+1 ), IF( MONTH(EOMONTH($B$50,(-1*(45+1)))+1) &lt; 10, "0", "" ), MONTH( EOMONTH($B$50,(-1*(45+1)))+1 ), IF( DAY(EOMONTH($B$50,(-1*(45+1)))+1) &lt; 10, "0", "" ), DAY( EOMONTH($B$50,(-1*(45+1)))+1 ), )</f>
        <v>20200201</v>
      </c>
      <c r="AZ53" t="str">
        <f ca="1">CONCATENATE(YEAR( EOMONTH($B$50,(-1*(46+1)))+1 ), IF( MONTH(EOMONTH($B$50,(-1*(46+1)))+1) &lt; 10, "0", "" ), MONTH( EOMONTH($B$50,(-1*(46+1)))+1 ), IF( DAY(EOMONTH($B$50,(-1*(46+1)))+1) &lt; 10, "0", "" ), DAY( EOMONTH($B$50,(-1*(46+1)))+1 ), )</f>
        <v>20200101</v>
      </c>
      <c r="BA53" t="str">
        <f ca="1">CONCATENATE(YEAR( EOMONTH($B$50,(-1*(47+1)))+1 ), IF( MONTH(EOMONTH($B$50,(-1*(47+1)))+1) &lt; 10, "0", "" ), MONTH( EOMONTH($B$50,(-1*(47+1)))+1 ), IF( DAY(EOMONTH($B$50,(-1*(47+1)))+1) &lt; 10, "0", "" ), DAY( EOMONTH($B$50,(-1*(47+1)))+1 ), )</f>
        <v>20191201</v>
      </c>
      <c r="BB53" t="str">
        <f ca="1">CONCATENATE(YEAR( EOMONTH($B$50,(-1*(48+1)))+1 ), IF( MONTH(EOMONTH($B$50,(-1*(48+1)))+1) &lt; 10, "0", "" ), MONTH( EOMONTH($B$50,(-1*(48+1)))+1 ), IF( DAY(EOMONTH($B$50,(-1*(48+1)))+1) &lt; 10, "0", "" ), DAY( EOMONTH($B$50,(-1*(48+1)))+1 ), )</f>
        <v>20191101</v>
      </c>
      <c r="BC53" t="str">
        <f ca="1">CONCATENATE(YEAR( EOMONTH($B$50,(-1*(49+1)))+1 ), IF( MONTH(EOMONTH($B$50,(-1*(49+1)))+1) &lt; 10, "0", "" ), MONTH( EOMONTH($B$50,(-1*(49+1)))+1 ), IF( DAY(EOMONTH($B$50,(-1*(49+1)))+1) &lt; 10, "0", "" ), DAY( EOMONTH($B$50,(-1*(49+1)))+1 ), )</f>
        <v>20191001</v>
      </c>
      <c r="BD53" t="str">
        <f ca="1">CONCATENATE(YEAR( EOMONTH($B$50,(-1*(50+1)))+1 ), IF( MONTH(EOMONTH($B$50,(-1*(50+1)))+1) &lt; 10, "0", "" ), MONTH( EOMONTH($B$50,(-1*(50+1)))+1 ), IF( DAY(EOMONTH($B$50,(-1*(50+1)))+1) &lt; 10, "0", "" ), DAY( EOMONTH($B$50,(-1*(50+1)))+1 ), )</f>
        <v>20190901</v>
      </c>
      <c r="BE53" t="str">
        <f ca="1">CONCATENATE(YEAR( EOMONTH($B$50,(-1*(51+1)))+1 ), IF( MONTH(EOMONTH($B$50,(-1*(51+1)))+1) &lt; 10, "0", "" ), MONTH( EOMONTH($B$50,(-1*(51+1)))+1 ), IF( DAY(EOMONTH($B$50,(-1*(51+1)))+1) &lt; 10, "0", "" ), DAY( EOMONTH($B$50,(-1*(51+1)))+1 ), )</f>
        <v>20190801</v>
      </c>
      <c r="BF53" t="str">
        <f ca="1">CONCATENATE(YEAR( EOMONTH($B$50,(-1*(52+1)))+1 ), IF( MONTH(EOMONTH($B$50,(-1*(52+1)))+1) &lt; 10, "0", "" ), MONTH( EOMONTH($B$50,(-1*(52+1)))+1 ), IF( DAY(EOMONTH($B$50,(-1*(52+1)))+1) &lt; 10, "0", "" ), DAY( EOMONTH($B$50,(-1*(52+1)))+1 ), )</f>
        <v>20190701</v>
      </c>
      <c r="BG53" t="str">
        <f ca="1">CONCATENATE(YEAR( EOMONTH($B$50,(-1*(53+1)))+1 ), IF( MONTH(EOMONTH($B$50,(-1*(53+1)))+1) &lt; 10, "0", "" ), MONTH( EOMONTH($B$50,(-1*(53+1)))+1 ), IF( DAY(EOMONTH($B$50,(-1*(53+1)))+1) &lt; 10, "0", "" ), DAY( EOMONTH($B$50,(-1*(53+1)))+1 ), )</f>
        <v>20190601</v>
      </c>
      <c r="BH53" t="str">
        <f ca="1">CONCATENATE(YEAR( EOMONTH($B$50,(-1*(54+1)))+1 ), IF( MONTH(EOMONTH($B$50,(-1*(54+1)))+1) &lt; 10, "0", "" ), MONTH( EOMONTH($B$50,(-1*(54+1)))+1 ), IF( DAY(EOMONTH($B$50,(-1*(54+1)))+1) &lt; 10, "0", "" ), DAY( EOMONTH($B$50,(-1*(54+1)))+1 ), )</f>
        <v>20190501</v>
      </c>
      <c r="BI53" t="str">
        <f ca="1">CONCATENATE(YEAR( EOMONTH($B$50,(-1*(55+1)))+1 ), IF( MONTH(EOMONTH($B$50,(-1*(55+1)))+1) &lt; 10, "0", "" ), MONTH( EOMONTH($B$50,(-1*(55+1)))+1 ), IF( DAY(EOMONTH($B$50,(-1*(55+1)))+1) &lt; 10, "0", "" ), DAY( EOMONTH($B$50,(-1*(55+1)))+1 ), )</f>
        <v>20190401</v>
      </c>
      <c r="BJ53" t="str">
        <f ca="1">CONCATENATE(YEAR( EOMONTH($B$50,(-1*(56+1)))+1 ), IF( MONTH(EOMONTH($B$50,(-1*(56+1)))+1) &lt; 10, "0", "" ), MONTH( EOMONTH($B$50,(-1*(56+1)))+1 ), IF( DAY(EOMONTH($B$50,(-1*(56+1)))+1) &lt; 10, "0", "" ), DAY( EOMONTH($B$50,(-1*(56+1)))+1 ), )</f>
        <v>20190301</v>
      </c>
      <c r="BK53" t="str">
        <f ca="1">CONCATENATE(YEAR( EOMONTH($B$50,(-1*(57+1)))+1 ), IF( MONTH(EOMONTH($B$50,(-1*(57+1)))+1) &lt; 10, "0", "" ), MONTH( EOMONTH($B$50,(-1*(57+1)))+1 ), IF( DAY(EOMONTH($B$50,(-1*(57+1)))+1) &lt; 10, "0", "" ), DAY( EOMONTH($B$50,(-1*(57+1)))+1 ), )</f>
        <v>20190201</v>
      </c>
      <c r="BL53" t="str">
        <f ca="1">CONCATENATE(YEAR( EOMONTH($B$50,(-1*(58+1)))+1 ), IF( MONTH(EOMONTH($B$50,(-1*(58+1)))+1) &lt; 10, "0", "" ), MONTH( EOMONTH($B$50,(-1*(58+1)))+1 ), IF( DAY(EOMONTH($B$50,(-1*(58+1)))+1) &lt; 10, "0", "" ), DAY( EOMONTH($B$50,(-1*(58+1)))+1 ), )</f>
        <v>20190101</v>
      </c>
      <c r="BM53" t="str">
        <f ca="1">CONCATENATE(YEAR( EOMONTH($B$50,(-1*(59+1)))+1 ), IF( MONTH(EOMONTH($B$50,(-1*(59+1)))+1) &lt; 10, "0", "" ), MONTH( EOMONTH($B$50,(-1*(59+1)))+1 ), IF( DAY(EOMONTH($B$50,(-1*(59+1)))+1) &lt; 10, "0", "" ), DAY( EOMONTH($B$50,(-1*(59+1)))+1 ), )</f>
        <v>20181201</v>
      </c>
      <c r="BN53" t="str">
        <f ca="1">CONCATENATE(YEAR( EOMONTH($B$50,(-1*(60+1)))+1 ), IF( MONTH(EOMONTH($B$50,(-1*(60+1)))+1) &lt; 10, "0", "" ), MONTH( EOMONTH($B$50,(-1*(60+1)))+1 ), IF( DAY(EOMONTH($B$50,(-1*(60+1)))+1) &lt; 10, "0", "" ), DAY( EOMONTH($B$50,(-1*(60+1)))+1 ), )</f>
        <v>20181101</v>
      </c>
      <c r="BO53" t="str">
        <f ca="1">CONCATENATE(YEAR( EOMONTH($B$50,(-1*(61+1)))+1 ), IF( MONTH(EOMONTH($B$50,(-1*(61+1)))+1) &lt; 10, "0", "" ), MONTH( EOMONTH($B$50,(-1*(61+1)))+1 ), IF( DAY(EOMONTH($B$50,(-1*(61+1)))+1) &lt; 10, "0", "" ), DAY( EOMONTH($B$50,(-1*(61+1)))+1 ), )</f>
        <v>20181001</v>
      </c>
      <c r="BP53" t="str">
        <f ca="1">CONCATENATE(YEAR( EOMONTH($B$50,(-1*(62+1)))+1 ), IF( MONTH(EOMONTH($B$50,(-1*(62+1)))+1) &lt; 10, "0", "" ), MONTH( EOMONTH($B$50,(-1*(62+1)))+1 ), IF( DAY(EOMONTH($B$50,(-1*(62+1)))+1) &lt; 10, "0", "" ), DAY( EOMONTH($B$50,(-1*(62+1)))+1 ), )</f>
        <v>20180901</v>
      </c>
      <c r="BQ53" t="str">
        <f ca="1">CONCATENATE(YEAR( EOMONTH($B$50,(-1*(63+1)))+1 ), IF( MONTH(EOMONTH($B$50,(-1*(63+1)))+1) &lt; 10, "0", "" ), MONTH( EOMONTH($B$50,(-1*(63+1)))+1 ), IF( DAY(EOMONTH($B$50,(-1*(63+1)))+1) &lt; 10, "0", "" ), DAY( EOMONTH($B$50,(-1*(63+1)))+1 ), )</f>
        <v>20180801</v>
      </c>
      <c r="BR53" t="str">
        <f ca="1">CONCATENATE(YEAR( EOMONTH($B$50,(-1*(64+1)))+1 ), IF( MONTH(EOMONTH($B$50,(-1*(64+1)))+1) &lt; 10, "0", "" ), MONTH( EOMONTH($B$50,(-1*(64+1)))+1 ), IF( DAY(EOMONTH($B$50,(-1*(64+1)))+1) &lt; 10, "0", "" ), DAY( EOMONTH($B$50,(-1*(64+1)))+1 ), )</f>
        <v>20180701</v>
      </c>
      <c r="BS53" t="str">
        <f ca="1">CONCATENATE(YEAR( EOMONTH($B$50,(-1*(65+1)))+1 ), IF( MONTH(EOMONTH($B$50,(-1*(65+1)))+1) &lt; 10, "0", "" ), MONTH( EOMONTH($B$50,(-1*(65+1)))+1 ), IF( DAY(EOMONTH($B$50,(-1*(65+1)))+1) &lt; 10, "0", "" ), DAY( EOMONTH($B$50,(-1*(65+1)))+1 ), )</f>
        <v>20180601</v>
      </c>
      <c r="BT53" t="str">
        <f ca="1">CONCATENATE(YEAR( EOMONTH($B$50,(-1*(66+1)))+1 ), IF( MONTH(EOMONTH($B$50,(-1*(66+1)))+1) &lt; 10, "0", "" ), MONTH( EOMONTH($B$50,(-1*(66+1)))+1 ), IF( DAY(EOMONTH($B$50,(-1*(66+1)))+1) &lt; 10, "0", "" ), DAY( EOMONTH($B$50,(-1*(66+1)))+1 ), )</f>
        <v>20180501</v>
      </c>
      <c r="BU53" t="str">
        <f ca="1">CONCATENATE(YEAR( EOMONTH($B$50,(-1*(67+1)))+1 ), IF( MONTH(EOMONTH($B$50,(-1*(67+1)))+1) &lt; 10, "0", "" ), MONTH( EOMONTH($B$50,(-1*(67+1)))+1 ), IF( DAY(EOMONTH($B$50,(-1*(67+1)))+1) &lt; 10, "0", "" ), DAY( EOMONTH($B$50,(-1*(67+1)))+1 ), )</f>
        <v>20180401</v>
      </c>
      <c r="BV53" t="str">
        <f ca="1">CONCATENATE(YEAR( EOMONTH($B$50,(-1*(68+1)))+1 ), IF( MONTH(EOMONTH($B$50,(-1*(68+1)))+1) &lt; 10, "0", "" ), MONTH( EOMONTH($B$50,(-1*(68+1)))+1 ), IF( DAY(EOMONTH($B$50,(-1*(68+1)))+1) &lt; 10, "0", "" ), DAY( EOMONTH($B$50,(-1*(68+1)))+1 ), )</f>
        <v>20180301</v>
      </c>
      <c r="BW53" t="str">
        <f ca="1">CONCATENATE(YEAR( EOMONTH($B$50,(-1*(69+1)))+1 ), IF( MONTH(EOMONTH($B$50,(-1*(69+1)))+1) &lt; 10, "0", "" ), MONTH( EOMONTH($B$50,(-1*(69+1)))+1 ), IF( DAY(EOMONTH($B$50,(-1*(69+1)))+1) &lt; 10, "0", "" ), DAY( EOMONTH($B$50,(-1*(69+1)))+1 ), )</f>
        <v>20180201</v>
      </c>
      <c r="BX53" t="str">
        <f ca="1">CONCATENATE(YEAR( EOMONTH($B$50,(-1*(70+1)))+1 ), IF( MONTH(EOMONTH($B$50,(-1*(70+1)))+1) &lt; 10, "0", "" ), MONTH( EOMONTH($B$50,(-1*(70+1)))+1 ), IF( DAY(EOMONTH($B$50,(-1*(70+1)))+1) &lt; 10, "0", "" ), DAY( EOMONTH($B$50,(-1*(70+1)))+1 ), )</f>
        <v>20180101</v>
      </c>
      <c r="BY53" t="str">
        <f ca="1">CONCATENATE(YEAR( EOMONTH($B$50,(-1*(71+1)))+1 ), IF( MONTH(EOMONTH($B$50,(-1*(71+1)))+1) &lt; 10, "0", "" ), MONTH( EOMONTH($B$50,(-1*(71+1)))+1 ), IF( DAY(EOMONTH($B$50,(-1*(71+1)))+1) &lt; 10, "0", "" ), DAY( EOMONTH($B$50,(-1*(71+1)))+1 ), )</f>
        <v>20171201</v>
      </c>
      <c r="BZ53" t="str">
        <f ca="1">CONCATENATE(YEAR( EOMONTH($B$50,(-1*(72+1)))+1 ), IF( MONTH(EOMONTH($B$50,(-1*(72+1)))+1) &lt; 10, "0", "" ), MONTH( EOMONTH($B$50,(-1*(72+1)))+1 ), IF( DAY(EOMONTH($B$50,(-1*(72+1)))+1) &lt; 10, "0", "" ), DAY( EOMONTH($B$50,(-1*(72+1)))+1 ), )</f>
        <v>20171101</v>
      </c>
      <c r="CA53" t="str">
        <f ca="1">CONCATENATE(YEAR( EOMONTH($B$50,(-1*(73+1)))+1 ), IF( MONTH(EOMONTH($B$50,(-1*(73+1)))+1) &lt; 10, "0", "" ), MONTH( EOMONTH($B$50,(-1*(73+1)))+1 ), IF( DAY(EOMONTH($B$50,(-1*(73+1)))+1) &lt; 10, "0", "" ), DAY( EOMONTH($B$50,(-1*(73+1)))+1 ), )</f>
        <v>20171001</v>
      </c>
      <c r="CB53" t="str">
        <f ca="1">CONCATENATE(YEAR( EOMONTH($B$50,(-1*(74+1)))+1 ), IF( MONTH(EOMONTH($B$50,(-1*(74+1)))+1) &lt; 10, "0", "" ), MONTH( EOMONTH($B$50,(-1*(74+1)))+1 ), IF( DAY(EOMONTH($B$50,(-1*(74+1)))+1) &lt; 10, "0", "" ), DAY( EOMONTH($B$50,(-1*(74+1)))+1 ), )</f>
        <v>20170901</v>
      </c>
      <c r="CC53" t="str">
        <f ca="1">CONCATENATE(YEAR( EOMONTH($B$50,(-1*(75+1)))+1 ), IF( MONTH(EOMONTH($B$50,(-1*(75+1)))+1) &lt; 10, "0", "" ), MONTH( EOMONTH($B$50,(-1*(75+1)))+1 ), IF( DAY(EOMONTH($B$50,(-1*(75+1)))+1) &lt; 10, "0", "" ), DAY( EOMONTH($B$50,(-1*(75+1)))+1 ), )</f>
        <v>20170801</v>
      </c>
      <c r="CD53" t="str">
        <f ca="1">CONCATENATE(YEAR( EOMONTH($B$50,(-1*(76+1)))+1 ), IF( MONTH(EOMONTH($B$50,(-1*(76+1)))+1) &lt; 10, "0", "" ), MONTH( EOMONTH($B$50,(-1*(76+1)))+1 ), IF( DAY(EOMONTH($B$50,(-1*(76+1)))+1) &lt; 10, "0", "" ), DAY( EOMONTH($B$50,(-1*(76+1)))+1 ), )</f>
        <v>20170701</v>
      </c>
      <c r="CE53" t="str">
        <f ca="1">CONCATENATE(YEAR( EOMONTH($B$50,(-1*(77+1)))+1 ), IF( MONTH(EOMONTH($B$50,(-1*(77+1)))+1) &lt; 10, "0", "" ), MONTH( EOMONTH($B$50,(-1*(77+1)))+1 ), IF( DAY(EOMONTH($B$50,(-1*(77+1)))+1) &lt; 10, "0", "" ), DAY( EOMONTH($B$50,(-1*(77+1)))+1 ), )</f>
        <v>20170601</v>
      </c>
      <c r="CF53" t="str">
        <f ca="1">CONCATENATE(YEAR( EOMONTH($B$50,(-1*(78+1)))+1 ), IF( MONTH(EOMONTH($B$50,(-1*(78+1)))+1) &lt; 10, "0", "" ), MONTH( EOMONTH($B$50,(-1*(78+1)))+1 ), IF( DAY(EOMONTH($B$50,(-1*(78+1)))+1) &lt; 10, "0", "" ), DAY( EOMONTH($B$50,(-1*(78+1)))+1 ), )</f>
        <v>20170501</v>
      </c>
      <c r="CG53" t="str">
        <f ca="1">CONCATENATE(YEAR( EOMONTH($B$50,(-1*(79+1)))+1 ), IF( MONTH(EOMONTH($B$50,(-1*(79+1)))+1) &lt; 10, "0", "" ), MONTH( EOMONTH($B$50,(-1*(79+1)))+1 ), IF( DAY(EOMONTH($B$50,(-1*(79+1)))+1) &lt; 10, "0", "" ), DAY( EOMONTH($B$50,(-1*(79+1)))+1 ), )</f>
        <v>20170401</v>
      </c>
      <c r="CH53" t="str">
        <f ca="1">CONCATENATE(YEAR( EOMONTH($B$50,(-1*(80+1)))+1 ), IF( MONTH(EOMONTH($B$50,(-1*(80+1)))+1) &lt; 10, "0", "" ), MONTH( EOMONTH($B$50,(-1*(80+1)))+1 ), IF( DAY(EOMONTH($B$50,(-1*(80+1)))+1) &lt; 10, "0", "" ), DAY( EOMONTH($B$50,(-1*(80+1)))+1 ), )</f>
        <v>20170301</v>
      </c>
      <c r="CI53" t="str">
        <f ca="1">CONCATENATE(YEAR( EOMONTH($B$50,(-1*(81+1)))+1 ), IF( MONTH(EOMONTH($B$50,(-1*(81+1)))+1) &lt; 10, "0", "" ), MONTH( EOMONTH($B$50,(-1*(81+1)))+1 ), IF( DAY(EOMONTH($B$50,(-1*(81+1)))+1) &lt; 10, "0", "" ), DAY( EOMONTH($B$50,(-1*(81+1)))+1 ), )</f>
        <v>20170201</v>
      </c>
      <c r="CJ53" t="str">
        <f ca="1">CONCATENATE(YEAR( EOMONTH($B$50,(-1*(82+1)))+1 ), IF( MONTH(EOMONTH($B$50,(-1*(82+1)))+1) &lt; 10, "0", "" ), MONTH( EOMONTH($B$50,(-1*(82+1)))+1 ), IF( DAY(EOMONTH($B$50,(-1*(82+1)))+1) &lt; 10, "0", "" ), DAY( EOMONTH($B$50,(-1*(82+1)))+1 ), )</f>
        <v>20170101</v>
      </c>
      <c r="CK53" t="str">
        <f ca="1">CONCATENATE(YEAR( EOMONTH($B$50,(-1*(83+1)))+1 ), IF( MONTH(EOMONTH($B$50,(-1*(83+1)))+1) &lt; 10, "0", "" ), MONTH( EOMONTH($B$50,(-1*(83+1)))+1 ), IF( DAY(EOMONTH($B$50,(-1*(83+1)))+1) &lt; 10, "0", "" ), DAY( EOMONTH($B$50,(-1*(83+1)))+1 ), )</f>
        <v>20161201</v>
      </c>
      <c r="CL53" t="str">
        <f>""</f>
        <v/>
      </c>
      <c r="CM53" t="str">
        <f>""</f>
        <v/>
      </c>
      <c r="CN53" t="str">
        <f>""</f>
        <v/>
      </c>
      <c r="CO53" t="str">
        <f>""</f>
        <v/>
      </c>
      <c r="CP53" t="str">
        <f>""</f>
        <v/>
      </c>
      <c r="CQ53" t="str">
        <f>""</f>
        <v/>
      </c>
      <c r="CR53" t="str">
        <f>""</f>
        <v/>
      </c>
      <c r="CS53" t="str">
        <f>""</f>
        <v/>
      </c>
      <c r="CT53" t="str">
        <f>""</f>
        <v/>
      </c>
      <c r="CU53" t="str">
        <f>""</f>
        <v/>
      </c>
      <c r="CV53" t="str">
        <f>""</f>
        <v/>
      </c>
      <c r="CW53" t="str">
        <f>""</f>
        <v/>
      </c>
      <c r="CX53" t="str">
        <f>""</f>
        <v/>
      </c>
      <c r="CY53" t="str">
        <f>""</f>
        <v/>
      </c>
      <c r="CZ53" t="str">
        <f>""</f>
        <v/>
      </c>
      <c r="DA53" t="str">
        <f>""</f>
        <v/>
      </c>
      <c r="DB53" t="str">
        <f>""</f>
        <v/>
      </c>
      <c r="DC53" t="str">
        <f>""</f>
        <v/>
      </c>
      <c r="DD53" t="str">
        <f>""</f>
        <v/>
      </c>
      <c r="DE53" t="str">
        <f>""</f>
        <v/>
      </c>
      <c r="DF53" t="str">
        <f>""</f>
        <v/>
      </c>
      <c r="DG53" t="str">
        <f>""</f>
        <v/>
      </c>
      <c r="DH53" t="str">
        <f>""</f>
        <v/>
      </c>
      <c r="DI53" t="str">
        <f>""</f>
        <v/>
      </c>
      <c r="DJ53" t="str">
        <f>""</f>
        <v/>
      </c>
      <c r="DK53" t="str">
        <f>""</f>
        <v/>
      </c>
      <c r="DL53" t="str">
        <f>""</f>
        <v/>
      </c>
      <c r="DM53" t="str">
        <f>""</f>
        <v/>
      </c>
      <c r="DN53" t="str">
        <f>""</f>
        <v/>
      </c>
      <c r="DO53" t="str">
        <f>""</f>
        <v/>
      </c>
      <c r="DP53" t="str">
        <f>""</f>
        <v/>
      </c>
      <c r="DQ53" t="str">
        <f>""</f>
        <v/>
      </c>
      <c r="DR53" t="str">
        <f>""</f>
        <v/>
      </c>
      <c r="DS53" t="str">
        <f>""</f>
        <v/>
      </c>
      <c r="DT53" t="str">
        <f>""</f>
        <v/>
      </c>
      <c r="DU53" t="str">
        <f>""</f>
        <v/>
      </c>
      <c r="DV53" t="str">
        <f>""</f>
        <v/>
      </c>
      <c r="DW53" t="str">
        <f>""</f>
        <v/>
      </c>
      <c r="DX53" t="str">
        <f>""</f>
        <v/>
      </c>
      <c r="DY53" t="str">
        <f>""</f>
        <v/>
      </c>
      <c r="DZ53" t="str">
        <f>""</f>
        <v/>
      </c>
      <c r="EA53" t="str">
        <f>""</f>
        <v/>
      </c>
      <c r="EB53" t="str">
        <f>""</f>
        <v/>
      </c>
      <c r="EC53" t="str">
        <f>""</f>
        <v/>
      </c>
      <c r="ED53" t="str">
        <f>""</f>
        <v/>
      </c>
      <c r="EE53" t="str">
        <f>""</f>
        <v/>
      </c>
      <c r="EF53" t="str">
        <f>""</f>
        <v/>
      </c>
      <c r="EG53" t="str">
        <f>""</f>
        <v/>
      </c>
      <c r="EH53" t="str">
        <f>""</f>
        <v/>
      </c>
      <c r="EI53" t="str">
        <f>""</f>
        <v/>
      </c>
      <c r="EJ53" t="str">
        <f>""</f>
        <v/>
      </c>
      <c r="EK53" t="str">
        <f>""</f>
        <v/>
      </c>
      <c r="EL53" t="str">
        <f>""</f>
        <v/>
      </c>
      <c r="EM53" t="str">
        <f>""</f>
        <v/>
      </c>
      <c r="EN53" t="str">
        <f>""</f>
        <v/>
      </c>
      <c r="EO53" t="str">
        <f>""</f>
        <v/>
      </c>
      <c r="EP53" t="str">
        <f>""</f>
        <v/>
      </c>
      <c r="EQ53" t="str">
        <f>""</f>
        <v/>
      </c>
      <c r="ER53" t="str">
        <f>""</f>
        <v/>
      </c>
      <c r="ES53" t="str">
        <f>""</f>
        <v/>
      </c>
      <c r="ET53" t="str">
        <f>""</f>
        <v/>
      </c>
      <c r="EU53" t="str">
        <f>""</f>
        <v/>
      </c>
      <c r="EV53" t="str">
        <f>""</f>
        <v/>
      </c>
      <c r="EW53" t="str">
        <f>""</f>
        <v/>
      </c>
      <c r="EX53" t="str">
        <f>""</f>
        <v/>
      </c>
      <c r="EY53" t="str">
        <f>""</f>
        <v/>
      </c>
      <c r="EZ53" t="str">
        <f>""</f>
        <v/>
      </c>
      <c r="FA53" t="str">
        <f>""</f>
        <v/>
      </c>
      <c r="FB53" t="str">
        <f>""</f>
        <v/>
      </c>
      <c r="FC53" t="str">
        <f>""</f>
        <v/>
      </c>
      <c r="FD53" t="str">
        <f>""</f>
        <v/>
      </c>
      <c r="FE53" t="str">
        <f>""</f>
        <v/>
      </c>
      <c r="FF53" t="str">
        <f>""</f>
        <v/>
      </c>
      <c r="FG53" t="str">
        <f>""</f>
        <v/>
      </c>
      <c r="FH53" t="str">
        <f>""</f>
        <v/>
      </c>
      <c r="FI53" t="str">
        <f>""</f>
        <v/>
      </c>
      <c r="FJ53" t="str">
        <f>""</f>
        <v/>
      </c>
      <c r="FK53" t="str">
        <f>""</f>
        <v/>
      </c>
      <c r="FL53" t="str">
        <f>""</f>
        <v/>
      </c>
      <c r="FM53" t="str">
        <f>""</f>
        <v/>
      </c>
      <c r="FN53" t="str">
        <f>""</f>
        <v/>
      </c>
      <c r="FO53" t="str">
        <f>""</f>
        <v/>
      </c>
      <c r="FP53" t="str">
        <f>""</f>
        <v/>
      </c>
      <c r="FQ53" t="str">
        <f>""</f>
        <v/>
      </c>
    </row>
    <row r="54" spans="1:173" x14ac:dyDescent="0.25">
      <c r="A54" t="str">
        <f>"Period End"</f>
        <v>Period End</v>
      </c>
      <c r="C54" t="str">
        <f>"PX392"</f>
        <v>PX392</v>
      </c>
      <c r="D54" t="str">
        <f>"END_DATE_OVERRIDE"</f>
        <v>END_DATE_OVERRIDE</v>
      </c>
      <c r="E54" t="str">
        <f t="shared" si="15"/>
        <v>Dynamic</v>
      </c>
      <c r="F54" t="str">
        <f ca="1">CONCATENATE(YEAR( EOMONTH($B$50,(-1*0)) ), IF( MONTH(EOMONTH($B$50,(-1*0))) &lt; 10, "0", "" ), MONTH( EOMONTH($B$50,(-1*0)) ), IF( DAY(EOMONTH($B$50,(-1*0))) &lt; 10, "0", "" ), DAY( EOMONTH($B$50,(-1*0)) ), )</f>
        <v>20231130</v>
      </c>
      <c r="G54" t="str">
        <f ca="1">CONCATENATE(YEAR( EOMONTH($B$50,(-1*1)) ), IF( MONTH(EOMONTH($B$50,(-1*1))) &lt; 10, "0", "" ), MONTH( EOMONTH($B$50,(-1*1)) ), IF( DAY(EOMONTH($B$50,(-1*1))) &lt; 10, "0", "" ), DAY( EOMONTH($B$50,(-1*1)) ), )</f>
        <v>20231031</v>
      </c>
      <c r="H54" t="str">
        <f ca="1">CONCATENATE(YEAR( EOMONTH($B$50,(-1*2)) ), IF( MONTH(EOMONTH($B$50,(-1*2))) &lt; 10, "0", "" ), MONTH( EOMONTH($B$50,(-1*2)) ), IF( DAY(EOMONTH($B$50,(-1*2))) &lt; 10, "0", "" ), DAY( EOMONTH($B$50,(-1*2)) ), )</f>
        <v>20230930</v>
      </c>
      <c r="I54" t="str">
        <f ca="1">CONCATENATE(YEAR( EOMONTH($B$50,(-1*3)) ), IF( MONTH(EOMONTH($B$50,(-1*3))) &lt; 10, "0", "" ), MONTH( EOMONTH($B$50,(-1*3)) ), IF( DAY(EOMONTH($B$50,(-1*3))) &lt; 10, "0", "" ), DAY( EOMONTH($B$50,(-1*3)) ), )</f>
        <v>20230831</v>
      </c>
      <c r="J54" t="str">
        <f ca="1">CONCATENATE(YEAR( EOMONTH($B$50,(-1*4)) ), IF( MONTH(EOMONTH($B$50,(-1*4))) &lt; 10, "0", "" ), MONTH( EOMONTH($B$50,(-1*4)) ), IF( DAY(EOMONTH($B$50,(-1*4))) &lt; 10, "0", "" ), DAY( EOMONTH($B$50,(-1*4)) ), )</f>
        <v>20230731</v>
      </c>
      <c r="K54" t="str">
        <f ca="1">CONCATENATE(YEAR( EOMONTH($B$50,(-1*5)) ), IF( MONTH(EOMONTH($B$50,(-1*5))) &lt; 10, "0", "" ), MONTH( EOMONTH($B$50,(-1*5)) ), IF( DAY(EOMONTH($B$50,(-1*5))) &lt; 10, "0", "" ), DAY( EOMONTH($B$50,(-1*5)) ), )</f>
        <v>20230630</v>
      </c>
      <c r="L54" t="str">
        <f ca="1">CONCATENATE(YEAR( EOMONTH($B$50,(-1*6)) ), IF( MONTH(EOMONTH($B$50,(-1*6))) &lt; 10, "0", "" ), MONTH( EOMONTH($B$50,(-1*6)) ), IF( DAY(EOMONTH($B$50,(-1*6))) &lt; 10, "0", "" ), DAY( EOMONTH($B$50,(-1*6)) ), )</f>
        <v>20230531</v>
      </c>
      <c r="M54" t="str">
        <f ca="1">CONCATENATE(YEAR( EOMONTH($B$50,(-1*7)) ), IF( MONTH(EOMONTH($B$50,(-1*7))) &lt; 10, "0", "" ), MONTH( EOMONTH($B$50,(-1*7)) ), IF( DAY(EOMONTH($B$50,(-1*7))) &lt; 10, "0", "" ), DAY( EOMONTH($B$50,(-1*7)) ), )</f>
        <v>20230430</v>
      </c>
      <c r="N54" t="str">
        <f ca="1">CONCATENATE(YEAR( EOMONTH($B$50,(-1*8)) ), IF( MONTH(EOMONTH($B$50,(-1*8))) &lt; 10, "0", "" ), MONTH( EOMONTH($B$50,(-1*8)) ), IF( DAY(EOMONTH($B$50,(-1*8))) &lt; 10, "0", "" ), DAY( EOMONTH($B$50,(-1*8)) ), )</f>
        <v>20230331</v>
      </c>
      <c r="O54" t="str">
        <f ca="1">CONCATENATE(YEAR( EOMONTH($B$50,(-1*9)) ), IF( MONTH(EOMONTH($B$50,(-1*9))) &lt; 10, "0", "" ), MONTH( EOMONTH($B$50,(-1*9)) ), IF( DAY(EOMONTH($B$50,(-1*9))) &lt; 10, "0", "" ), DAY( EOMONTH($B$50,(-1*9)) ), )</f>
        <v>20230228</v>
      </c>
      <c r="P54" t="str">
        <f ca="1">CONCATENATE(YEAR( EOMONTH($B$50,(-1*10)) ), IF( MONTH(EOMONTH($B$50,(-1*10))) &lt; 10, "0", "" ), MONTH( EOMONTH($B$50,(-1*10)) ), IF( DAY(EOMONTH($B$50,(-1*10))) &lt; 10, "0", "" ), DAY( EOMONTH($B$50,(-1*10)) ), )</f>
        <v>20230131</v>
      </c>
      <c r="Q54" t="str">
        <f ca="1">CONCATENATE(YEAR( EOMONTH($B$50,(-1*11)) ), IF( MONTH(EOMONTH($B$50,(-1*11))) &lt; 10, "0", "" ), MONTH( EOMONTH($B$50,(-1*11)) ), IF( DAY(EOMONTH($B$50,(-1*11))) &lt; 10, "0", "" ), DAY( EOMONTH($B$50,(-1*11)) ), )</f>
        <v>20221231</v>
      </c>
      <c r="R54" t="str">
        <f ca="1">CONCATENATE(YEAR( EOMONTH($B$50,(-1*12)) ), IF( MONTH(EOMONTH($B$50,(-1*12))) &lt; 10, "0", "" ), MONTH( EOMONTH($B$50,(-1*12)) ), IF( DAY(EOMONTH($B$50,(-1*12))) &lt; 10, "0", "" ), DAY( EOMONTH($B$50,(-1*12)) ), )</f>
        <v>20221130</v>
      </c>
      <c r="S54" t="str">
        <f ca="1">CONCATENATE(YEAR( EOMONTH($B$50,(-1*13)) ), IF( MONTH(EOMONTH($B$50,(-1*13))) &lt; 10, "0", "" ), MONTH( EOMONTH($B$50,(-1*13)) ), IF( DAY(EOMONTH($B$50,(-1*13))) &lt; 10, "0", "" ), DAY( EOMONTH($B$50,(-1*13)) ), )</f>
        <v>20221031</v>
      </c>
      <c r="T54" t="str">
        <f ca="1">CONCATENATE(YEAR( EOMONTH($B$50,(-1*14)) ), IF( MONTH(EOMONTH($B$50,(-1*14))) &lt; 10, "0", "" ), MONTH( EOMONTH($B$50,(-1*14)) ), IF( DAY(EOMONTH($B$50,(-1*14))) &lt; 10, "0", "" ), DAY( EOMONTH($B$50,(-1*14)) ), )</f>
        <v>20220930</v>
      </c>
      <c r="U54" t="str">
        <f ca="1">CONCATENATE(YEAR( EOMONTH($B$50,(-1*15)) ), IF( MONTH(EOMONTH($B$50,(-1*15))) &lt; 10, "0", "" ), MONTH( EOMONTH($B$50,(-1*15)) ), IF( DAY(EOMONTH($B$50,(-1*15))) &lt; 10, "0", "" ), DAY( EOMONTH($B$50,(-1*15)) ), )</f>
        <v>20220831</v>
      </c>
      <c r="V54" t="str">
        <f ca="1">CONCATENATE(YEAR( EOMONTH($B$50,(-1*16)) ), IF( MONTH(EOMONTH($B$50,(-1*16))) &lt; 10, "0", "" ), MONTH( EOMONTH($B$50,(-1*16)) ), IF( DAY(EOMONTH($B$50,(-1*16))) &lt; 10, "0", "" ), DAY( EOMONTH($B$50,(-1*16)) ), )</f>
        <v>20220731</v>
      </c>
      <c r="W54" t="str">
        <f ca="1">CONCATENATE(YEAR( EOMONTH($B$50,(-1*17)) ), IF( MONTH(EOMONTH($B$50,(-1*17))) &lt; 10, "0", "" ), MONTH( EOMONTH($B$50,(-1*17)) ), IF( DAY(EOMONTH($B$50,(-1*17))) &lt; 10, "0", "" ), DAY( EOMONTH($B$50,(-1*17)) ), )</f>
        <v>20220630</v>
      </c>
      <c r="X54" t="str">
        <f ca="1">CONCATENATE(YEAR( EOMONTH($B$50,(-1*18)) ), IF( MONTH(EOMONTH($B$50,(-1*18))) &lt; 10, "0", "" ), MONTH( EOMONTH($B$50,(-1*18)) ), IF( DAY(EOMONTH($B$50,(-1*18))) &lt; 10, "0", "" ), DAY( EOMONTH($B$50,(-1*18)) ), )</f>
        <v>20220531</v>
      </c>
      <c r="Y54" t="str">
        <f ca="1">CONCATENATE(YEAR( EOMONTH($B$50,(-1*19)) ), IF( MONTH(EOMONTH($B$50,(-1*19))) &lt; 10, "0", "" ), MONTH( EOMONTH($B$50,(-1*19)) ), IF( DAY(EOMONTH($B$50,(-1*19))) &lt; 10, "0", "" ), DAY( EOMONTH($B$50,(-1*19)) ), )</f>
        <v>20220430</v>
      </c>
      <c r="Z54" t="str">
        <f ca="1">CONCATENATE(YEAR( EOMONTH($B$50,(-1*20)) ), IF( MONTH(EOMONTH($B$50,(-1*20))) &lt; 10, "0", "" ), MONTH( EOMONTH($B$50,(-1*20)) ), IF( DAY(EOMONTH($B$50,(-1*20))) &lt; 10, "0", "" ), DAY( EOMONTH($B$50,(-1*20)) ), )</f>
        <v>20220331</v>
      </c>
      <c r="AA54" t="str">
        <f ca="1">CONCATENATE(YEAR( EOMONTH($B$50,(-1*21)) ), IF( MONTH(EOMONTH($B$50,(-1*21))) &lt; 10, "0", "" ), MONTH( EOMONTH($B$50,(-1*21)) ), IF( DAY(EOMONTH($B$50,(-1*21))) &lt; 10, "0", "" ), DAY( EOMONTH($B$50,(-1*21)) ), )</f>
        <v>20220228</v>
      </c>
      <c r="AB54" t="str">
        <f ca="1">CONCATENATE(YEAR( EOMONTH($B$50,(-1*22)) ), IF( MONTH(EOMONTH($B$50,(-1*22))) &lt; 10, "0", "" ), MONTH( EOMONTH($B$50,(-1*22)) ), IF( DAY(EOMONTH($B$50,(-1*22))) &lt; 10, "0", "" ), DAY( EOMONTH($B$50,(-1*22)) ), )</f>
        <v>20220131</v>
      </c>
      <c r="AC54" t="str">
        <f ca="1">CONCATENATE(YEAR( EOMONTH($B$50,(-1*23)) ), IF( MONTH(EOMONTH($B$50,(-1*23))) &lt; 10, "0", "" ), MONTH( EOMONTH($B$50,(-1*23)) ), IF( DAY(EOMONTH($B$50,(-1*23))) &lt; 10, "0", "" ), DAY( EOMONTH($B$50,(-1*23)) ), )</f>
        <v>20211231</v>
      </c>
      <c r="AD54" t="str">
        <f ca="1">CONCATENATE(YEAR( EOMONTH($B$50,(-1*24)) ), IF( MONTH(EOMONTH($B$50,(-1*24))) &lt; 10, "0", "" ), MONTH( EOMONTH($B$50,(-1*24)) ), IF( DAY(EOMONTH($B$50,(-1*24))) &lt; 10, "0", "" ), DAY( EOMONTH($B$50,(-1*24)) ), )</f>
        <v>20211130</v>
      </c>
      <c r="AE54" t="str">
        <f ca="1">CONCATENATE(YEAR( EOMONTH($B$50,(-1*25)) ), IF( MONTH(EOMONTH($B$50,(-1*25))) &lt; 10, "0", "" ), MONTH( EOMONTH($B$50,(-1*25)) ), IF( DAY(EOMONTH($B$50,(-1*25))) &lt; 10, "0", "" ), DAY( EOMONTH($B$50,(-1*25)) ), )</f>
        <v>20211031</v>
      </c>
      <c r="AF54" t="str">
        <f ca="1">CONCATENATE(YEAR( EOMONTH($B$50,(-1*26)) ), IF( MONTH(EOMONTH($B$50,(-1*26))) &lt; 10, "0", "" ), MONTH( EOMONTH($B$50,(-1*26)) ), IF( DAY(EOMONTH($B$50,(-1*26))) &lt; 10, "0", "" ), DAY( EOMONTH($B$50,(-1*26)) ), )</f>
        <v>20210930</v>
      </c>
      <c r="AG54" t="str">
        <f ca="1">CONCATENATE(YEAR( EOMONTH($B$50,(-1*27)) ), IF( MONTH(EOMONTH($B$50,(-1*27))) &lt; 10, "0", "" ), MONTH( EOMONTH($B$50,(-1*27)) ), IF( DAY(EOMONTH($B$50,(-1*27))) &lt; 10, "0", "" ), DAY( EOMONTH($B$50,(-1*27)) ), )</f>
        <v>20210831</v>
      </c>
      <c r="AH54" t="str">
        <f ca="1">CONCATENATE(YEAR( EOMONTH($B$50,(-1*28)) ), IF( MONTH(EOMONTH($B$50,(-1*28))) &lt; 10, "0", "" ), MONTH( EOMONTH($B$50,(-1*28)) ), IF( DAY(EOMONTH($B$50,(-1*28))) &lt; 10, "0", "" ), DAY( EOMONTH($B$50,(-1*28)) ), )</f>
        <v>20210731</v>
      </c>
      <c r="AI54" t="str">
        <f ca="1">CONCATENATE(YEAR( EOMONTH($B$50,(-1*29)) ), IF( MONTH(EOMONTH($B$50,(-1*29))) &lt; 10, "0", "" ), MONTH( EOMONTH($B$50,(-1*29)) ), IF( DAY(EOMONTH($B$50,(-1*29))) &lt; 10, "0", "" ), DAY( EOMONTH($B$50,(-1*29)) ), )</f>
        <v>20210630</v>
      </c>
      <c r="AJ54" t="str">
        <f ca="1">CONCATENATE(YEAR( EOMONTH($B$50,(-1*30)) ), IF( MONTH(EOMONTH($B$50,(-1*30))) &lt; 10, "0", "" ), MONTH( EOMONTH($B$50,(-1*30)) ), IF( DAY(EOMONTH($B$50,(-1*30))) &lt; 10, "0", "" ), DAY( EOMONTH($B$50,(-1*30)) ), )</f>
        <v>20210531</v>
      </c>
      <c r="AK54" t="str">
        <f ca="1">CONCATENATE(YEAR( EOMONTH($B$50,(-1*31)) ), IF( MONTH(EOMONTH($B$50,(-1*31))) &lt; 10, "0", "" ), MONTH( EOMONTH($B$50,(-1*31)) ), IF( DAY(EOMONTH($B$50,(-1*31))) &lt; 10, "0", "" ), DAY( EOMONTH($B$50,(-1*31)) ), )</f>
        <v>20210430</v>
      </c>
      <c r="AL54" t="str">
        <f ca="1">CONCATENATE(YEAR( EOMONTH($B$50,(-1*32)) ), IF( MONTH(EOMONTH($B$50,(-1*32))) &lt; 10, "0", "" ), MONTH( EOMONTH($B$50,(-1*32)) ), IF( DAY(EOMONTH($B$50,(-1*32))) &lt; 10, "0", "" ), DAY( EOMONTH($B$50,(-1*32)) ), )</f>
        <v>20210331</v>
      </c>
      <c r="AM54" t="str">
        <f ca="1">CONCATENATE(YEAR( EOMONTH($B$50,(-1*33)) ), IF( MONTH(EOMONTH($B$50,(-1*33))) &lt; 10, "0", "" ), MONTH( EOMONTH($B$50,(-1*33)) ), IF( DAY(EOMONTH($B$50,(-1*33))) &lt; 10, "0", "" ), DAY( EOMONTH($B$50,(-1*33)) ), )</f>
        <v>20210228</v>
      </c>
      <c r="AN54" t="str">
        <f ca="1">CONCATENATE(YEAR( EOMONTH($B$50,(-1*34)) ), IF( MONTH(EOMONTH($B$50,(-1*34))) &lt; 10, "0", "" ), MONTH( EOMONTH($B$50,(-1*34)) ), IF( DAY(EOMONTH($B$50,(-1*34))) &lt; 10, "0", "" ), DAY( EOMONTH($B$50,(-1*34)) ), )</f>
        <v>20210131</v>
      </c>
      <c r="AO54" t="str">
        <f ca="1">CONCATENATE(YEAR( EOMONTH($B$50,(-1*35)) ), IF( MONTH(EOMONTH($B$50,(-1*35))) &lt; 10, "0", "" ), MONTH( EOMONTH($B$50,(-1*35)) ), IF( DAY(EOMONTH($B$50,(-1*35))) &lt; 10, "0", "" ), DAY( EOMONTH($B$50,(-1*35)) ), )</f>
        <v>20201231</v>
      </c>
      <c r="AP54" t="str">
        <f ca="1">CONCATENATE(YEAR( EOMONTH($B$50,(-1*36)) ), IF( MONTH(EOMONTH($B$50,(-1*36))) &lt; 10, "0", "" ), MONTH( EOMONTH($B$50,(-1*36)) ), IF( DAY(EOMONTH($B$50,(-1*36))) &lt; 10, "0", "" ), DAY( EOMONTH($B$50,(-1*36)) ), )</f>
        <v>20201130</v>
      </c>
      <c r="AQ54" t="str">
        <f ca="1">CONCATENATE(YEAR( EOMONTH($B$50,(-1*37)) ), IF( MONTH(EOMONTH($B$50,(-1*37))) &lt; 10, "0", "" ), MONTH( EOMONTH($B$50,(-1*37)) ), IF( DAY(EOMONTH($B$50,(-1*37))) &lt; 10, "0", "" ), DAY( EOMONTH($B$50,(-1*37)) ), )</f>
        <v>20201031</v>
      </c>
      <c r="AR54" t="str">
        <f ca="1">CONCATENATE(YEAR( EOMONTH($B$50,(-1*38)) ), IF( MONTH(EOMONTH($B$50,(-1*38))) &lt; 10, "0", "" ), MONTH( EOMONTH($B$50,(-1*38)) ), IF( DAY(EOMONTH($B$50,(-1*38))) &lt; 10, "0", "" ), DAY( EOMONTH($B$50,(-1*38)) ), )</f>
        <v>20200930</v>
      </c>
      <c r="AS54" t="str">
        <f ca="1">CONCATENATE(YEAR( EOMONTH($B$50,(-1*39)) ), IF( MONTH(EOMONTH($B$50,(-1*39))) &lt; 10, "0", "" ), MONTH( EOMONTH($B$50,(-1*39)) ), IF( DAY(EOMONTH($B$50,(-1*39))) &lt; 10, "0", "" ), DAY( EOMONTH($B$50,(-1*39)) ), )</f>
        <v>20200831</v>
      </c>
      <c r="AT54" t="str">
        <f ca="1">CONCATENATE(YEAR( EOMONTH($B$50,(-1*40)) ), IF( MONTH(EOMONTH($B$50,(-1*40))) &lt; 10, "0", "" ), MONTH( EOMONTH($B$50,(-1*40)) ), IF( DAY(EOMONTH($B$50,(-1*40))) &lt; 10, "0", "" ), DAY( EOMONTH($B$50,(-1*40)) ), )</f>
        <v>20200731</v>
      </c>
      <c r="AU54" t="str">
        <f ca="1">CONCATENATE(YEAR( EOMONTH($B$50,(-1*41)) ), IF( MONTH(EOMONTH($B$50,(-1*41))) &lt; 10, "0", "" ), MONTH( EOMONTH($B$50,(-1*41)) ), IF( DAY(EOMONTH($B$50,(-1*41))) &lt; 10, "0", "" ), DAY( EOMONTH($B$50,(-1*41)) ), )</f>
        <v>20200630</v>
      </c>
      <c r="AV54" t="str">
        <f ca="1">CONCATENATE(YEAR( EOMONTH($B$50,(-1*42)) ), IF( MONTH(EOMONTH($B$50,(-1*42))) &lt; 10, "0", "" ), MONTH( EOMONTH($B$50,(-1*42)) ), IF( DAY(EOMONTH($B$50,(-1*42))) &lt; 10, "0", "" ), DAY( EOMONTH($B$50,(-1*42)) ), )</f>
        <v>20200531</v>
      </c>
      <c r="AW54" t="str">
        <f ca="1">CONCATENATE(YEAR( EOMONTH($B$50,(-1*43)) ), IF( MONTH(EOMONTH($B$50,(-1*43))) &lt; 10, "0", "" ), MONTH( EOMONTH($B$50,(-1*43)) ), IF( DAY(EOMONTH($B$50,(-1*43))) &lt; 10, "0", "" ), DAY( EOMONTH($B$50,(-1*43)) ), )</f>
        <v>20200430</v>
      </c>
      <c r="AX54" t="str">
        <f ca="1">CONCATENATE(YEAR( EOMONTH($B$50,(-1*44)) ), IF( MONTH(EOMONTH($B$50,(-1*44))) &lt; 10, "0", "" ), MONTH( EOMONTH($B$50,(-1*44)) ), IF( DAY(EOMONTH($B$50,(-1*44))) &lt; 10, "0", "" ), DAY( EOMONTH($B$50,(-1*44)) ), )</f>
        <v>20200331</v>
      </c>
      <c r="AY54" t="str">
        <f ca="1">CONCATENATE(YEAR( EOMONTH($B$50,(-1*45)) ), IF( MONTH(EOMONTH($B$50,(-1*45))) &lt; 10, "0", "" ), MONTH( EOMONTH($B$50,(-1*45)) ), IF( DAY(EOMONTH($B$50,(-1*45))) &lt; 10, "0", "" ), DAY( EOMONTH($B$50,(-1*45)) ), )</f>
        <v>20200229</v>
      </c>
      <c r="AZ54" t="str">
        <f ca="1">CONCATENATE(YEAR( EOMONTH($B$50,(-1*46)) ), IF( MONTH(EOMONTH($B$50,(-1*46))) &lt; 10, "0", "" ), MONTH( EOMONTH($B$50,(-1*46)) ), IF( DAY(EOMONTH($B$50,(-1*46))) &lt; 10, "0", "" ), DAY( EOMONTH($B$50,(-1*46)) ), )</f>
        <v>20200131</v>
      </c>
      <c r="BA54" t="str">
        <f ca="1">CONCATENATE(YEAR( EOMONTH($B$50,(-1*47)) ), IF( MONTH(EOMONTH($B$50,(-1*47))) &lt; 10, "0", "" ), MONTH( EOMONTH($B$50,(-1*47)) ), IF( DAY(EOMONTH($B$50,(-1*47))) &lt; 10, "0", "" ), DAY( EOMONTH($B$50,(-1*47)) ), )</f>
        <v>20191231</v>
      </c>
      <c r="BB54" t="str">
        <f ca="1">CONCATENATE(YEAR( EOMONTH($B$50,(-1*48)) ), IF( MONTH(EOMONTH($B$50,(-1*48))) &lt; 10, "0", "" ), MONTH( EOMONTH($B$50,(-1*48)) ), IF( DAY(EOMONTH($B$50,(-1*48))) &lt; 10, "0", "" ), DAY( EOMONTH($B$50,(-1*48)) ), )</f>
        <v>20191130</v>
      </c>
      <c r="BC54" t="str">
        <f ca="1">CONCATENATE(YEAR( EOMONTH($B$50,(-1*49)) ), IF( MONTH(EOMONTH($B$50,(-1*49))) &lt; 10, "0", "" ), MONTH( EOMONTH($B$50,(-1*49)) ), IF( DAY(EOMONTH($B$50,(-1*49))) &lt; 10, "0", "" ), DAY( EOMONTH($B$50,(-1*49)) ), )</f>
        <v>20191031</v>
      </c>
      <c r="BD54" t="str">
        <f ca="1">CONCATENATE(YEAR( EOMONTH($B$50,(-1*50)) ), IF( MONTH(EOMONTH($B$50,(-1*50))) &lt; 10, "0", "" ), MONTH( EOMONTH($B$50,(-1*50)) ), IF( DAY(EOMONTH($B$50,(-1*50))) &lt; 10, "0", "" ), DAY( EOMONTH($B$50,(-1*50)) ), )</f>
        <v>20190930</v>
      </c>
      <c r="BE54" t="str">
        <f ca="1">CONCATENATE(YEAR( EOMONTH($B$50,(-1*51)) ), IF( MONTH(EOMONTH($B$50,(-1*51))) &lt; 10, "0", "" ), MONTH( EOMONTH($B$50,(-1*51)) ), IF( DAY(EOMONTH($B$50,(-1*51))) &lt; 10, "0", "" ), DAY( EOMONTH($B$50,(-1*51)) ), )</f>
        <v>20190831</v>
      </c>
      <c r="BF54" t="str">
        <f ca="1">CONCATENATE(YEAR( EOMONTH($B$50,(-1*52)) ), IF( MONTH(EOMONTH($B$50,(-1*52))) &lt; 10, "0", "" ), MONTH( EOMONTH($B$50,(-1*52)) ), IF( DAY(EOMONTH($B$50,(-1*52))) &lt; 10, "0", "" ), DAY( EOMONTH($B$50,(-1*52)) ), )</f>
        <v>20190731</v>
      </c>
      <c r="BG54" t="str">
        <f ca="1">CONCATENATE(YEAR( EOMONTH($B$50,(-1*53)) ), IF( MONTH(EOMONTH($B$50,(-1*53))) &lt; 10, "0", "" ), MONTH( EOMONTH($B$50,(-1*53)) ), IF( DAY(EOMONTH($B$50,(-1*53))) &lt; 10, "0", "" ), DAY( EOMONTH($B$50,(-1*53)) ), )</f>
        <v>20190630</v>
      </c>
      <c r="BH54" t="str">
        <f ca="1">CONCATENATE(YEAR( EOMONTH($B$50,(-1*54)) ), IF( MONTH(EOMONTH($B$50,(-1*54))) &lt; 10, "0", "" ), MONTH( EOMONTH($B$50,(-1*54)) ), IF( DAY(EOMONTH($B$50,(-1*54))) &lt; 10, "0", "" ), DAY( EOMONTH($B$50,(-1*54)) ), )</f>
        <v>20190531</v>
      </c>
      <c r="BI54" t="str">
        <f ca="1">CONCATENATE(YEAR( EOMONTH($B$50,(-1*55)) ), IF( MONTH(EOMONTH($B$50,(-1*55))) &lt; 10, "0", "" ), MONTH( EOMONTH($B$50,(-1*55)) ), IF( DAY(EOMONTH($B$50,(-1*55))) &lt; 10, "0", "" ), DAY( EOMONTH($B$50,(-1*55)) ), )</f>
        <v>20190430</v>
      </c>
      <c r="BJ54" t="str">
        <f ca="1">CONCATENATE(YEAR( EOMONTH($B$50,(-1*56)) ), IF( MONTH(EOMONTH($B$50,(-1*56))) &lt; 10, "0", "" ), MONTH( EOMONTH($B$50,(-1*56)) ), IF( DAY(EOMONTH($B$50,(-1*56))) &lt; 10, "0", "" ), DAY( EOMONTH($B$50,(-1*56)) ), )</f>
        <v>20190331</v>
      </c>
      <c r="BK54" t="str">
        <f ca="1">CONCATENATE(YEAR( EOMONTH($B$50,(-1*57)) ), IF( MONTH(EOMONTH($B$50,(-1*57))) &lt; 10, "0", "" ), MONTH( EOMONTH($B$50,(-1*57)) ), IF( DAY(EOMONTH($B$50,(-1*57))) &lt; 10, "0", "" ), DAY( EOMONTH($B$50,(-1*57)) ), )</f>
        <v>20190228</v>
      </c>
      <c r="BL54" t="str">
        <f ca="1">CONCATENATE(YEAR( EOMONTH($B$50,(-1*58)) ), IF( MONTH(EOMONTH($B$50,(-1*58))) &lt; 10, "0", "" ), MONTH( EOMONTH($B$50,(-1*58)) ), IF( DAY(EOMONTH($B$50,(-1*58))) &lt; 10, "0", "" ), DAY( EOMONTH($B$50,(-1*58)) ), )</f>
        <v>20190131</v>
      </c>
      <c r="BM54" t="str">
        <f ca="1">CONCATENATE(YEAR( EOMONTH($B$50,(-1*59)) ), IF( MONTH(EOMONTH($B$50,(-1*59))) &lt; 10, "0", "" ), MONTH( EOMONTH($B$50,(-1*59)) ), IF( DAY(EOMONTH($B$50,(-1*59))) &lt; 10, "0", "" ), DAY( EOMONTH($B$50,(-1*59)) ), )</f>
        <v>20181231</v>
      </c>
      <c r="BN54" t="str">
        <f ca="1">CONCATENATE(YEAR( EOMONTH($B$50,(-1*60)) ), IF( MONTH(EOMONTH($B$50,(-1*60))) &lt; 10, "0", "" ), MONTH( EOMONTH($B$50,(-1*60)) ), IF( DAY(EOMONTH($B$50,(-1*60))) &lt; 10, "0", "" ), DAY( EOMONTH($B$50,(-1*60)) ), )</f>
        <v>20181130</v>
      </c>
      <c r="BO54" t="str">
        <f ca="1">CONCATENATE(YEAR( EOMONTH($B$50,(-1*61)) ), IF( MONTH(EOMONTH($B$50,(-1*61))) &lt; 10, "0", "" ), MONTH( EOMONTH($B$50,(-1*61)) ), IF( DAY(EOMONTH($B$50,(-1*61))) &lt; 10, "0", "" ), DAY( EOMONTH($B$50,(-1*61)) ), )</f>
        <v>20181031</v>
      </c>
      <c r="BP54" t="str">
        <f ca="1">CONCATENATE(YEAR( EOMONTH($B$50,(-1*62)) ), IF( MONTH(EOMONTH($B$50,(-1*62))) &lt; 10, "0", "" ), MONTH( EOMONTH($B$50,(-1*62)) ), IF( DAY(EOMONTH($B$50,(-1*62))) &lt; 10, "0", "" ), DAY( EOMONTH($B$50,(-1*62)) ), )</f>
        <v>20180930</v>
      </c>
      <c r="BQ54" t="str">
        <f ca="1">CONCATENATE(YEAR( EOMONTH($B$50,(-1*63)) ), IF( MONTH(EOMONTH($B$50,(-1*63))) &lt; 10, "0", "" ), MONTH( EOMONTH($B$50,(-1*63)) ), IF( DAY(EOMONTH($B$50,(-1*63))) &lt; 10, "0", "" ), DAY( EOMONTH($B$50,(-1*63)) ), )</f>
        <v>20180831</v>
      </c>
      <c r="BR54" t="str">
        <f ca="1">CONCATENATE(YEAR( EOMONTH($B$50,(-1*64)) ), IF( MONTH(EOMONTH($B$50,(-1*64))) &lt; 10, "0", "" ), MONTH( EOMONTH($B$50,(-1*64)) ), IF( DAY(EOMONTH($B$50,(-1*64))) &lt; 10, "0", "" ), DAY( EOMONTH($B$50,(-1*64)) ), )</f>
        <v>20180731</v>
      </c>
      <c r="BS54" t="str">
        <f ca="1">CONCATENATE(YEAR( EOMONTH($B$50,(-1*65)) ), IF( MONTH(EOMONTH($B$50,(-1*65))) &lt; 10, "0", "" ), MONTH( EOMONTH($B$50,(-1*65)) ), IF( DAY(EOMONTH($B$50,(-1*65))) &lt; 10, "0", "" ), DAY( EOMONTH($B$50,(-1*65)) ), )</f>
        <v>20180630</v>
      </c>
      <c r="BT54" t="str">
        <f ca="1">CONCATENATE(YEAR( EOMONTH($B$50,(-1*66)) ), IF( MONTH(EOMONTH($B$50,(-1*66))) &lt; 10, "0", "" ), MONTH( EOMONTH($B$50,(-1*66)) ), IF( DAY(EOMONTH($B$50,(-1*66))) &lt; 10, "0", "" ), DAY( EOMONTH($B$50,(-1*66)) ), )</f>
        <v>20180531</v>
      </c>
      <c r="BU54" t="str">
        <f ca="1">CONCATENATE(YEAR( EOMONTH($B$50,(-1*67)) ), IF( MONTH(EOMONTH($B$50,(-1*67))) &lt; 10, "0", "" ), MONTH( EOMONTH($B$50,(-1*67)) ), IF( DAY(EOMONTH($B$50,(-1*67))) &lt; 10, "0", "" ), DAY( EOMONTH($B$50,(-1*67)) ), )</f>
        <v>20180430</v>
      </c>
      <c r="BV54" t="str">
        <f ca="1">CONCATENATE(YEAR( EOMONTH($B$50,(-1*68)) ), IF( MONTH(EOMONTH($B$50,(-1*68))) &lt; 10, "0", "" ), MONTH( EOMONTH($B$50,(-1*68)) ), IF( DAY(EOMONTH($B$50,(-1*68))) &lt; 10, "0", "" ), DAY( EOMONTH($B$50,(-1*68)) ), )</f>
        <v>20180331</v>
      </c>
      <c r="BW54" t="str">
        <f ca="1">CONCATENATE(YEAR( EOMONTH($B$50,(-1*69)) ), IF( MONTH(EOMONTH($B$50,(-1*69))) &lt; 10, "0", "" ), MONTH( EOMONTH($B$50,(-1*69)) ), IF( DAY(EOMONTH($B$50,(-1*69))) &lt; 10, "0", "" ), DAY( EOMONTH($B$50,(-1*69)) ), )</f>
        <v>20180228</v>
      </c>
      <c r="BX54" t="str">
        <f ca="1">CONCATENATE(YEAR( EOMONTH($B$50,(-1*70)) ), IF( MONTH(EOMONTH($B$50,(-1*70))) &lt; 10, "0", "" ), MONTH( EOMONTH($B$50,(-1*70)) ), IF( DAY(EOMONTH($B$50,(-1*70))) &lt; 10, "0", "" ), DAY( EOMONTH($B$50,(-1*70)) ), )</f>
        <v>20180131</v>
      </c>
      <c r="BY54" t="str">
        <f ca="1">CONCATENATE(YEAR( EOMONTH($B$50,(-1*71)) ), IF( MONTH(EOMONTH($B$50,(-1*71))) &lt; 10, "0", "" ), MONTH( EOMONTH($B$50,(-1*71)) ), IF( DAY(EOMONTH($B$50,(-1*71))) &lt; 10, "0", "" ), DAY( EOMONTH($B$50,(-1*71)) ), )</f>
        <v>20171231</v>
      </c>
      <c r="BZ54" t="str">
        <f ca="1">CONCATENATE(YEAR( EOMONTH($B$50,(-1*72)) ), IF( MONTH(EOMONTH($B$50,(-1*72))) &lt; 10, "0", "" ), MONTH( EOMONTH($B$50,(-1*72)) ), IF( DAY(EOMONTH($B$50,(-1*72))) &lt; 10, "0", "" ), DAY( EOMONTH($B$50,(-1*72)) ), )</f>
        <v>20171130</v>
      </c>
      <c r="CA54" t="str">
        <f ca="1">CONCATENATE(YEAR( EOMONTH($B$50,(-1*73)) ), IF( MONTH(EOMONTH($B$50,(-1*73))) &lt; 10, "0", "" ), MONTH( EOMONTH($B$50,(-1*73)) ), IF( DAY(EOMONTH($B$50,(-1*73))) &lt; 10, "0", "" ), DAY( EOMONTH($B$50,(-1*73)) ), )</f>
        <v>20171031</v>
      </c>
      <c r="CB54" t="str">
        <f ca="1">CONCATENATE(YEAR( EOMONTH($B$50,(-1*74)) ), IF( MONTH(EOMONTH($B$50,(-1*74))) &lt; 10, "0", "" ), MONTH( EOMONTH($B$50,(-1*74)) ), IF( DAY(EOMONTH($B$50,(-1*74))) &lt; 10, "0", "" ), DAY( EOMONTH($B$50,(-1*74)) ), )</f>
        <v>20170930</v>
      </c>
      <c r="CC54" t="str">
        <f ca="1">CONCATENATE(YEAR( EOMONTH($B$50,(-1*75)) ), IF( MONTH(EOMONTH($B$50,(-1*75))) &lt; 10, "0", "" ), MONTH( EOMONTH($B$50,(-1*75)) ), IF( DAY(EOMONTH($B$50,(-1*75))) &lt; 10, "0", "" ), DAY( EOMONTH($B$50,(-1*75)) ), )</f>
        <v>20170831</v>
      </c>
      <c r="CD54" t="str">
        <f ca="1">CONCATENATE(YEAR( EOMONTH($B$50,(-1*76)) ), IF( MONTH(EOMONTH($B$50,(-1*76))) &lt; 10, "0", "" ), MONTH( EOMONTH($B$50,(-1*76)) ), IF( DAY(EOMONTH($B$50,(-1*76))) &lt; 10, "0", "" ), DAY( EOMONTH($B$50,(-1*76)) ), )</f>
        <v>20170731</v>
      </c>
      <c r="CE54" t="str">
        <f ca="1">CONCATENATE(YEAR( EOMONTH($B$50,(-1*77)) ), IF( MONTH(EOMONTH($B$50,(-1*77))) &lt; 10, "0", "" ), MONTH( EOMONTH($B$50,(-1*77)) ), IF( DAY(EOMONTH($B$50,(-1*77))) &lt; 10, "0", "" ), DAY( EOMONTH($B$50,(-1*77)) ), )</f>
        <v>20170630</v>
      </c>
      <c r="CF54" t="str">
        <f ca="1">CONCATENATE(YEAR( EOMONTH($B$50,(-1*78)) ), IF( MONTH(EOMONTH($B$50,(-1*78))) &lt; 10, "0", "" ), MONTH( EOMONTH($B$50,(-1*78)) ), IF( DAY(EOMONTH($B$50,(-1*78))) &lt; 10, "0", "" ), DAY( EOMONTH($B$50,(-1*78)) ), )</f>
        <v>20170531</v>
      </c>
      <c r="CG54" t="str">
        <f ca="1">CONCATENATE(YEAR( EOMONTH($B$50,(-1*79)) ), IF( MONTH(EOMONTH($B$50,(-1*79))) &lt; 10, "0", "" ), MONTH( EOMONTH($B$50,(-1*79)) ), IF( DAY(EOMONTH($B$50,(-1*79))) &lt; 10, "0", "" ), DAY( EOMONTH($B$50,(-1*79)) ), )</f>
        <v>20170430</v>
      </c>
      <c r="CH54" t="str">
        <f ca="1">CONCATENATE(YEAR( EOMONTH($B$50,(-1*80)) ), IF( MONTH(EOMONTH($B$50,(-1*80))) &lt; 10, "0", "" ), MONTH( EOMONTH($B$50,(-1*80)) ), IF( DAY(EOMONTH($B$50,(-1*80))) &lt; 10, "0", "" ), DAY( EOMONTH($B$50,(-1*80)) ), )</f>
        <v>20170331</v>
      </c>
      <c r="CI54" t="str">
        <f ca="1">CONCATENATE(YEAR( EOMONTH($B$50,(-1*81)) ), IF( MONTH(EOMONTH($B$50,(-1*81))) &lt; 10, "0", "" ), MONTH( EOMONTH($B$50,(-1*81)) ), IF( DAY(EOMONTH($B$50,(-1*81))) &lt; 10, "0", "" ), DAY( EOMONTH($B$50,(-1*81)) ), )</f>
        <v>20170228</v>
      </c>
      <c r="CJ54" t="str">
        <f ca="1">CONCATENATE(YEAR( EOMONTH($B$50,(-1*82)) ), IF( MONTH(EOMONTH($B$50,(-1*82))) &lt; 10, "0", "" ), MONTH( EOMONTH($B$50,(-1*82)) ), IF( DAY(EOMONTH($B$50,(-1*82))) &lt; 10, "0", "" ), DAY( EOMONTH($B$50,(-1*82)) ), )</f>
        <v>20170131</v>
      </c>
      <c r="CK54" t="str">
        <f ca="1">CONCATENATE(YEAR( EOMONTH($B$50,(-1*83)) ), IF( MONTH(EOMONTH($B$50,(-1*83))) &lt; 10, "0", "" ), MONTH( EOMONTH($B$50,(-1*83)) ), IF( DAY(EOMONTH($B$50,(-1*83))) &lt; 10, "0", "" ), DAY( EOMONTH($B$50,(-1*83)) ), )</f>
        <v>20161231</v>
      </c>
      <c r="CL54" t="str">
        <f>""</f>
        <v/>
      </c>
      <c r="CM54" t="str">
        <f>""</f>
        <v/>
      </c>
      <c r="CN54" t="str">
        <f>""</f>
        <v/>
      </c>
      <c r="CO54" t="str">
        <f>""</f>
        <v/>
      </c>
      <c r="CP54" t="str">
        <f>""</f>
        <v/>
      </c>
      <c r="CQ54" t="str">
        <f>""</f>
        <v/>
      </c>
      <c r="CR54" t="str">
        <f>""</f>
        <v/>
      </c>
      <c r="CS54" t="str">
        <f>""</f>
        <v/>
      </c>
      <c r="CT54" t="str">
        <f>""</f>
        <v/>
      </c>
      <c r="CU54" t="str">
        <f>""</f>
        <v/>
      </c>
      <c r="CV54" t="str">
        <f>""</f>
        <v/>
      </c>
      <c r="CW54" t="str">
        <f>""</f>
        <v/>
      </c>
      <c r="CX54" t="str">
        <f>""</f>
        <v/>
      </c>
      <c r="CY54" t="str">
        <f>""</f>
        <v/>
      </c>
      <c r="CZ54" t="str">
        <f>""</f>
        <v/>
      </c>
      <c r="DA54" t="str">
        <f>""</f>
        <v/>
      </c>
      <c r="DB54" t="str">
        <f>""</f>
        <v/>
      </c>
      <c r="DC54" t="str">
        <f>""</f>
        <v/>
      </c>
      <c r="DD54" t="str">
        <f>""</f>
        <v/>
      </c>
      <c r="DE54" t="str">
        <f>""</f>
        <v/>
      </c>
      <c r="DF54" t="str">
        <f>""</f>
        <v/>
      </c>
      <c r="DG54" t="str">
        <f>""</f>
        <v/>
      </c>
      <c r="DH54" t="str">
        <f>""</f>
        <v/>
      </c>
      <c r="DI54" t="str">
        <f>""</f>
        <v/>
      </c>
      <c r="DJ54" t="str">
        <f>""</f>
        <v/>
      </c>
      <c r="DK54" t="str">
        <f>""</f>
        <v/>
      </c>
      <c r="DL54" t="str">
        <f>""</f>
        <v/>
      </c>
      <c r="DM54" t="str">
        <f>""</f>
        <v/>
      </c>
      <c r="DN54" t="str">
        <f>""</f>
        <v/>
      </c>
      <c r="DO54" t="str">
        <f>""</f>
        <v/>
      </c>
      <c r="DP54" t="str">
        <f>""</f>
        <v/>
      </c>
      <c r="DQ54" t="str">
        <f>""</f>
        <v/>
      </c>
      <c r="DR54" t="str">
        <f>""</f>
        <v/>
      </c>
      <c r="DS54" t="str">
        <f>""</f>
        <v/>
      </c>
      <c r="DT54" t="str">
        <f>""</f>
        <v/>
      </c>
      <c r="DU54" t="str">
        <f>""</f>
        <v/>
      </c>
      <c r="DV54" t="str">
        <f>""</f>
        <v/>
      </c>
      <c r="DW54" t="str">
        <f>""</f>
        <v/>
      </c>
      <c r="DX54" t="str">
        <f>""</f>
        <v/>
      </c>
      <c r="DY54" t="str">
        <f>""</f>
        <v/>
      </c>
      <c r="DZ54" t="str">
        <f>""</f>
        <v/>
      </c>
      <c r="EA54" t="str">
        <f>""</f>
        <v/>
      </c>
      <c r="EB54" t="str">
        <f>""</f>
        <v/>
      </c>
      <c r="EC54" t="str">
        <f>""</f>
        <v/>
      </c>
      <c r="ED54" t="str">
        <f>""</f>
        <v/>
      </c>
      <c r="EE54" t="str">
        <f>""</f>
        <v/>
      </c>
      <c r="EF54" t="str">
        <f>""</f>
        <v/>
      </c>
      <c r="EG54" t="str">
        <f>""</f>
        <v/>
      </c>
      <c r="EH54" t="str">
        <f>""</f>
        <v/>
      </c>
      <c r="EI54" t="str">
        <f>""</f>
        <v/>
      </c>
      <c r="EJ54" t="str">
        <f>""</f>
        <v/>
      </c>
      <c r="EK54" t="str">
        <f>""</f>
        <v/>
      </c>
      <c r="EL54" t="str">
        <f>""</f>
        <v/>
      </c>
      <c r="EM54" t="str">
        <f>""</f>
        <v/>
      </c>
      <c r="EN54" t="str">
        <f>""</f>
        <v/>
      </c>
      <c r="EO54" t="str">
        <f>""</f>
        <v/>
      </c>
      <c r="EP54" t="str">
        <f>""</f>
        <v/>
      </c>
      <c r="EQ54" t="str">
        <f>""</f>
        <v/>
      </c>
      <c r="ER54" t="str">
        <f>""</f>
        <v/>
      </c>
      <c r="ES54" t="str">
        <f>""</f>
        <v/>
      </c>
      <c r="ET54" t="str">
        <f>""</f>
        <v/>
      </c>
      <c r="EU54" t="str">
        <f>""</f>
        <v/>
      </c>
      <c r="EV54" t="str">
        <f>""</f>
        <v/>
      </c>
      <c r="EW54" t="str">
        <f>""</f>
        <v/>
      </c>
      <c r="EX54" t="str">
        <f>""</f>
        <v/>
      </c>
      <c r="EY54" t="str">
        <f>""</f>
        <v/>
      </c>
      <c r="EZ54" t="str">
        <f>""</f>
        <v/>
      </c>
      <c r="FA54" t="str">
        <f>""</f>
        <v/>
      </c>
      <c r="FB54" t="str">
        <f>""</f>
        <v/>
      </c>
      <c r="FC54" t="str">
        <f>""</f>
        <v/>
      </c>
      <c r="FD54" t="str">
        <f>""</f>
        <v/>
      </c>
      <c r="FE54" t="str">
        <f>""</f>
        <v/>
      </c>
      <c r="FF54" t="str">
        <f>""</f>
        <v/>
      </c>
      <c r="FG54" t="str">
        <f>""</f>
        <v/>
      </c>
      <c r="FH54" t="str">
        <f>""</f>
        <v/>
      </c>
      <c r="FI54" t="str">
        <f>""</f>
        <v/>
      </c>
      <c r="FJ54" t="str">
        <f>""</f>
        <v/>
      </c>
      <c r="FK54" t="str">
        <f>""</f>
        <v/>
      </c>
      <c r="FL54" t="str">
        <f>""</f>
        <v/>
      </c>
      <c r="FM54" t="str">
        <f>""</f>
        <v/>
      </c>
      <c r="FN54" t="str">
        <f>""</f>
        <v/>
      </c>
      <c r="FO54" t="str">
        <f>""</f>
        <v/>
      </c>
      <c r="FP54" t="str">
        <f>""</f>
        <v/>
      </c>
      <c r="FQ54" t="str">
        <f>""</f>
        <v/>
      </c>
    </row>
    <row r="55" spans="1:173" x14ac:dyDescent="0.25">
      <c r="B55" t="str">
        <f>"CNIFSCTT Index"</f>
        <v>CNIFSCTT Index</v>
      </c>
      <c r="C55" t="str">
        <f>"PX385"</f>
        <v>PX385</v>
      </c>
      <c r="D55" t="str">
        <f>"INTERVAL_SUM"</f>
        <v>INTERVAL_SUM</v>
      </c>
      <c r="E55" t="str">
        <f t="shared" si="15"/>
        <v>Dynamic</v>
      </c>
      <c r="F55" t="str">
        <f ca="1">_xll.BDP($B$55,$C$55,CONCATENATE("PX391=", $F$53), CONCATENATE("PX392=",$F$54), CONCATENATE("DS004=",$B$46), "Fill=B")</f>
        <v/>
      </c>
      <c r="G55" t="str">
        <f ca="1">_xll.BDP($B$55,$C$55,CONCATENATE("PX391=", $G$53), CONCATENATE("PX392=",$G$54), CONCATENATE("DS004=",$B$46), "Fill=B")</f>
        <v/>
      </c>
      <c r="H55">
        <f ca="1">_xll.BDP($B$55,$C$55,CONCATENATE("PX391=", $H$53), CONCATENATE("PX392=",$H$54), CONCATENATE("DS004=",$B$46), "Fill=B")</f>
        <v>2365</v>
      </c>
      <c r="I55">
        <f ca="1">_xll.BDP($B$55,$C$55,CONCATENATE("PX391=", $I$53), CONCATENATE("PX392=",$I$54), CONCATENATE("DS004=",$B$46), "Fill=B")</f>
        <v>2396</v>
      </c>
      <c r="J55">
        <f ca="1">_xll.BDP($B$55,$C$55,CONCATENATE("PX391=", $J$53), CONCATENATE("PX392=",$J$54), CONCATENATE("DS004=",$B$46), "Fill=B")</f>
        <v>2367</v>
      </c>
      <c r="K55">
        <f ca="1">_xll.BDP($B$55,$C$55,CONCATENATE("PX391=", $K$53), CONCATENATE("PX392=",$K$54), CONCATENATE("DS004=",$B$46), "Fill=B")</f>
        <v>2370</v>
      </c>
      <c r="L55">
        <f ca="1">_xll.BDP($B$55,$C$55,CONCATENATE("PX391=", $L$53), CONCATENATE("PX392=",$L$54), CONCATENATE("DS004=",$B$46), "Fill=B")</f>
        <v>2328</v>
      </c>
      <c r="M55">
        <f ca="1">_xll.BDP($B$55,$C$55,CONCATENATE("PX391=", $M$53), CONCATENATE("PX392=",$M$54), CONCATENATE("DS004=",$B$46), "Fill=B")</f>
        <v>2240</v>
      </c>
      <c r="N55">
        <f ca="1">_xll.BDP($B$55,$C$55,CONCATENATE("PX391=", $N$53), CONCATENATE("PX392=",$N$54), CONCATENATE("DS004=",$B$46), "Fill=B")</f>
        <v>2243</v>
      </c>
      <c r="O55" t="str">
        <f ca="1">_xll.BDP($B$55,$C$55,CONCATENATE("PX391=", $O$53), CONCATENATE("PX392=",$O$54), CONCATENATE("DS004=",$B$46), "Fill=B")</f>
        <v/>
      </c>
      <c r="P55" t="str">
        <f ca="1">_xll.BDP($B$55,$C$55,CONCATENATE("PX391=", $P$53), CONCATENATE("PX392=",$P$54), CONCATENATE("DS004=",$B$46), "Fill=B")</f>
        <v/>
      </c>
      <c r="Q55">
        <f ca="1">_xll.BDP($B$55,$C$55,CONCATENATE("PX391=", $Q$53), CONCATENATE("PX392=",$Q$54), CONCATENATE("DS004=",$B$46), "Fill=B")</f>
        <v>2226</v>
      </c>
      <c r="R55">
        <f ca="1">_xll.BDP($B$55,$C$55,CONCATENATE("PX391=", $R$53), CONCATENATE("PX392=",$R$54), CONCATENATE("DS004=",$B$46), "Fill=B")</f>
        <v>2271</v>
      </c>
      <c r="S55">
        <f ca="1">_xll.BDP($B$55,$C$55,CONCATENATE("PX391=", $S$53), CONCATENATE("PX392=",$S$54), CONCATENATE("DS004=",$B$46), "Fill=B")</f>
        <v>2237</v>
      </c>
      <c r="T55">
        <f ca="1">_xll.BDP($B$55,$C$55,CONCATENATE("PX391=", $T$53), CONCATENATE("PX392=",$T$54), CONCATENATE("DS004=",$B$46), "Fill=B")</f>
        <v>2192</v>
      </c>
      <c r="U55">
        <f ca="1">_xll.BDP($B$55,$C$55,CONCATENATE("PX391=", $U$53), CONCATENATE("PX392=",$U$54), CONCATENATE("DS004=",$B$46), "Fill=B")</f>
        <v>2258</v>
      </c>
      <c r="V55">
        <f ca="1">_xll.BDP($B$55,$C$55,CONCATENATE("PX391=", $V$53), CONCATENATE("PX392=",$V$54), CONCATENATE("DS004=",$B$46), "Fill=B")</f>
        <v>2325</v>
      </c>
      <c r="W55">
        <f ca="1">_xll.BDP($B$55,$C$55,CONCATENATE("PX391=", $W$53), CONCATENATE("PX392=",$W$54), CONCATENATE("DS004=",$B$46), "Fill=B")</f>
        <v>2271</v>
      </c>
      <c r="X55">
        <f ca="1">_xll.BDP($B$55,$C$55,CONCATENATE("PX391=", $X$53), CONCATENATE("PX392=",$X$54), CONCATENATE("DS004=",$B$46), "Fill=B")</f>
        <v>2228</v>
      </c>
      <c r="Y55">
        <f ca="1">_xll.BDP($B$55,$C$55,CONCATENATE("PX391=", $Y$53), CONCATENATE("PX392=",$Y$54), CONCATENATE("DS004=",$B$46), "Fill=B")</f>
        <v>2081</v>
      </c>
      <c r="Z55">
        <f ca="1">_xll.BDP($B$55,$C$55,CONCATENATE("PX391=", $Z$53), CONCATENATE("PX392=",$Z$54), CONCATENATE("DS004=",$B$46), "Fill=B")</f>
        <v>2098</v>
      </c>
      <c r="AA55">
        <f ca="1">_xll.BDP($B$55,$C$55,CONCATENATE("PX391=", $AA$53), CONCATENATE("PX392=",$AA$54), CONCATENATE("DS004=",$B$46), "Fill=B")</f>
        <v>1727</v>
      </c>
      <c r="AB55">
        <f ca="1">_xll.BDP($B$55,$C$55,CONCATENATE("PX391=", $AB$53), CONCATENATE("PX392=",$AB$54), CONCATENATE("DS004=",$B$46), "Fill=B")</f>
        <v>2158</v>
      </c>
      <c r="AC55">
        <f ca="1">_xll.BDP($B$55,$C$55,CONCATENATE("PX391=", $AC$53), CONCATENATE("PX392=",$AC$54), CONCATENATE("DS004=",$B$46), "Fill=B")</f>
        <v>2019</v>
      </c>
      <c r="AD55">
        <f ca="1">_xll.BDP($B$55,$C$55,CONCATENATE("PX391=", $AD$53), CONCATENATE("PX392=",$AD$54), CONCATENATE("DS004=",$B$46), "Fill=B")</f>
        <v>2113</v>
      </c>
      <c r="AE55">
        <f ca="1">_xll.BDP($B$55,$C$55,CONCATENATE("PX391=", $AE$53), CONCATENATE("PX392=",$AE$54), CONCATENATE("DS004=",$B$46), "Fill=B")</f>
        <v>2164</v>
      </c>
      <c r="AF55">
        <f ca="1">_xll.BDP($B$55,$C$55,CONCATENATE("PX391=", $AF$53), CONCATENATE("PX392=",$AF$54), CONCATENATE("DS004=",$B$46), "Fill=B")</f>
        <v>2145</v>
      </c>
      <c r="AG55">
        <f ca="1">_xll.BDP($B$55,$C$55,CONCATENATE("PX391=", $AG$53), CONCATENATE("PX392=",$AG$54), CONCATENATE("DS004=",$B$46), "Fill=B")</f>
        <v>2195</v>
      </c>
      <c r="AH55">
        <f ca="1">_xll.BDP($B$55,$C$55,CONCATENATE("PX391=", $AH$53), CONCATENATE("PX392=",$AH$54), CONCATENATE("DS004=",$B$46), "Fill=B")</f>
        <v>2099</v>
      </c>
      <c r="AI55">
        <f ca="1">_xll.BDP($B$55,$C$55,CONCATENATE("PX391=", $AI$53), CONCATENATE("PX392=",$AI$54), CONCATENATE("DS004=",$B$46), "Fill=B")</f>
        <v>2136</v>
      </c>
      <c r="AJ55">
        <f ca="1">_xll.BDP($B$55,$C$55,CONCATENATE("PX391=", $AJ$53), CONCATENATE("PX392=",$AJ$54), CONCATENATE("DS004=",$B$46), "Fill=B")</f>
        <v>2146</v>
      </c>
      <c r="AK55">
        <f ca="1">_xll.BDP($B$55,$C$55,CONCATENATE("PX391=", $AK$53), CONCATENATE("PX392=",$AK$54), CONCATENATE("DS004=",$B$46), "Fill=B")</f>
        <v>2077</v>
      </c>
      <c r="AL55">
        <f ca="1">_xll.BDP($B$55,$C$55,CONCATENATE("PX391=", $AL$53), CONCATENATE("PX392=",$AL$54), CONCATENATE("DS004=",$B$46), "Fill=B")</f>
        <v>2065</v>
      </c>
      <c r="AM55">
        <f ca="1">_xll.BDP($B$55,$C$55,CONCATENATE("PX391=", $AM$53), CONCATENATE("PX392=",$AM$54), CONCATENATE("DS004=",$B$46), "Fill=B")</f>
        <v>1659</v>
      </c>
      <c r="AN55">
        <f ca="1">_xll.BDP($B$55,$C$55,CONCATENATE("PX391=", $AN$53), CONCATENATE("PX392=",$AN$54), CONCATENATE("DS004=",$B$46), "Fill=B")</f>
        <v>2115</v>
      </c>
      <c r="AO55">
        <f ca="1">_xll.BDP($B$55,$C$55,CONCATENATE("PX391=", $AO$53), CONCATENATE("PX392=",$AO$54), CONCATENATE("DS004=",$B$46), "Fill=B")</f>
        <v>2011</v>
      </c>
      <c r="AP55">
        <f ca="1">_xll.BDP($B$55,$C$55,CONCATENATE("PX391=", $AP$53), CONCATENATE("PX392=",$AP$54), CONCATENATE("DS004=",$B$46), "Fill=B")</f>
        <v>2125</v>
      </c>
      <c r="AQ55">
        <f ca="1">_xll.BDP($B$55,$C$55,CONCATENATE("PX391=", $AQ$53), CONCATENATE("PX392=",$AQ$54), CONCATENATE("DS004=",$B$46), "Fill=B")</f>
        <v>2172</v>
      </c>
      <c r="AR55">
        <f ca="1">_xll.BDP($B$55,$C$55,CONCATENATE("PX391=", $AR$53), CONCATENATE("PX392=",$AR$54), CONCATENATE("DS004=",$B$46), "Fill=B")</f>
        <v>2159</v>
      </c>
      <c r="AS55">
        <f ca="1">_xll.BDP($B$55,$C$55,CONCATENATE("PX391=", $AS$53), CONCATENATE("PX392=",$AS$54), CONCATENATE("DS004=",$B$46), "Fill=B")</f>
        <v>2137</v>
      </c>
      <c r="AT55">
        <f ca="1">_xll.BDP($B$55,$C$55,CONCATENATE("PX391=", $AT$53), CONCATENATE("PX392=",$AT$54), CONCATENATE("DS004=",$B$46), "Fill=B")</f>
        <v>2124</v>
      </c>
      <c r="AU55">
        <f ca="1">_xll.BDP($B$55,$C$55,CONCATENATE("PX391=", $AU$53), CONCATENATE("PX392=",$AU$54), CONCATENATE("DS004=",$B$46), "Fill=B")</f>
        <v>2009</v>
      </c>
      <c r="AV55">
        <f ca="1">_xll.BDP($B$55,$C$55,CONCATENATE("PX391=", $AV$53), CONCATENATE("PX392=",$AV$54), CONCATENATE("DS004=",$B$46), "Fill=B")</f>
        <v>1927</v>
      </c>
      <c r="AW55">
        <f ca="1">_xll.BDP($B$55,$C$55,CONCATENATE("PX391=", $AW$53), CONCATENATE("PX392=",$AW$54), CONCATENATE("DS004=",$B$46), "Fill=B")</f>
        <v>1825</v>
      </c>
      <c r="AX55">
        <f ca="1">_xll.BDP($B$55,$C$55,CONCATENATE("PX391=", $AX$53), CONCATENATE("PX392=",$AX$54), CONCATENATE("DS004=",$B$46), "Fill=B")</f>
        <v>1816</v>
      </c>
      <c r="AY55">
        <f ca="1">_xll.BDP($B$55,$C$55,CONCATENATE("PX391=", $AY$53), CONCATENATE("PX392=",$AY$54), CONCATENATE("DS004=",$B$46), "Fill=B")</f>
        <v>1238</v>
      </c>
      <c r="AZ55">
        <f ca="1">_xll.BDP($B$55,$C$55,CONCATENATE("PX391=", $AZ$53), CONCATENATE("PX392=",$AZ$54), CONCATENATE("DS004=",$B$46), "Fill=B")</f>
        <v>1880</v>
      </c>
      <c r="BA55">
        <f ca="1">_xll.BDP($B$55,$C$55,CONCATENATE("PX391=", $BA$53), CONCATENATE("PX392=",$BA$54), CONCATENATE("DS004=",$B$46), "Fill=B")</f>
        <v>1883</v>
      </c>
      <c r="BB55">
        <f ca="1">_xll.BDP($B$55,$C$55,CONCATENATE("PX391=", $BB$53), CONCATENATE("PX392=",$BB$54), CONCATENATE("DS004=",$B$46), "Fill=B")</f>
        <v>1952</v>
      </c>
      <c r="BC55">
        <f ca="1">_xll.BDP($B$55,$C$55,CONCATENATE("PX391=", $BC$53), CONCATENATE("PX392=",$BC$54), CONCATENATE("DS004=",$B$46), "Fill=B")</f>
        <v>1958</v>
      </c>
      <c r="BD55">
        <f ca="1">_xll.BDP($B$55,$C$55,CONCATENATE("PX391=", $BD$53), CONCATENATE("PX392=",$BD$54), CONCATENATE("DS004=",$B$46), "Fill=B")</f>
        <v>2021</v>
      </c>
      <c r="BE55">
        <f ca="1">_xll.BDP($B$55,$C$55,CONCATENATE("PX391=", $BE$53), CONCATENATE("PX392=",$BE$54), CONCATENATE("DS004=",$B$46), "Fill=B")</f>
        <v>2004</v>
      </c>
      <c r="BF55">
        <f ca="1">_xll.BDP($B$55,$C$55,CONCATENATE("PX391=", $BF$53), CONCATENATE("PX392=",$BF$54), CONCATENATE("DS004=",$B$46), "Fill=B")</f>
        <v>2016</v>
      </c>
      <c r="BG55">
        <f ca="1">_xll.BDP($B$55,$C$55,CONCATENATE("PX391=", $BG$53), CONCATENATE("PX392=",$BG$54), CONCATENATE("DS004=",$B$46), "Fill=B")</f>
        <v>1971</v>
      </c>
      <c r="BH55">
        <f ca="1">_xll.BDP($B$55,$C$55,CONCATENATE("PX391=", $BH$53), CONCATENATE("PX392=",$BH$54), CONCATENATE("DS004=",$B$46), "Fill=B")</f>
        <v>1984</v>
      </c>
      <c r="BI55">
        <f ca="1">_xll.BDP($B$55,$C$55,CONCATENATE("PX391=", $BI$53), CONCATENATE("PX392=",$BI$54), CONCATENATE("DS004=",$B$46), "Fill=B")</f>
        <v>1924</v>
      </c>
      <c r="BJ55">
        <f ca="1">_xll.BDP($B$55,$C$55,CONCATENATE("PX391=", $BJ$53), CONCATENATE("PX392=",$BJ$54), CONCATENATE("DS004=",$B$46), "Fill=B")</f>
        <v>1910</v>
      </c>
      <c r="BK55">
        <f ca="1">_xll.BDP($B$55,$C$55,CONCATENATE("PX391=", $BK$53), CONCATENATE("PX392=",$BK$54), CONCATENATE("DS004=",$B$46), "Fill=B")</f>
        <v>1495</v>
      </c>
      <c r="BL55">
        <f ca="1">_xll.BDP($B$55,$C$55,CONCATENATE("PX391=", $BL$53), CONCATENATE("PX392=",$BL$54), CONCATENATE("DS004=",$B$46), "Fill=B")</f>
        <v>1973</v>
      </c>
      <c r="BM55">
        <f ca="1">_xll.BDP($B$55,$C$55,CONCATENATE("PX391=", $BM$53), CONCATENATE("PX392=",$BM$54), CONCATENATE("DS004=",$B$46), "Fill=B")</f>
        <v>1809</v>
      </c>
      <c r="BN55">
        <f ca="1">_xll.BDP($B$55,$C$55,CONCATENATE("PX391=", $BN$53), CONCATENATE("PX392=",$BN$54), CONCATENATE("DS004=",$B$46), "Fill=B")</f>
        <v>1882</v>
      </c>
      <c r="BO55">
        <f ca="1">_xll.BDP($B$55,$C$55,CONCATENATE("PX391=", $BO$53), CONCATENATE("PX392=",$BO$54), CONCATENATE("DS004=",$B$46), "Fill=B")</f>
        <v>1883</v>
      </c>
      <c r="BP55">
        <f ca="1">_xll.BDP($B$55,$C$55,CONCATENATE("PX391=", $BP$53), CONCATENATE("PX392=",$BP$54), CONCATENATE("DS004=",$B$46), "Fill=B")</f>
        <v>1928</v>
      </c>
      <c r="BQ55">
        <f ca="1">_xll.BDP($B$55,$C$55,CONCATENATE("PX391=", $BQ$53), CONCATENATE("PX392=",$BQ$54), CONCATENATE("DS004=",$B$46), "Fill=B")</f>
        <v>1920</v>
      </c>
      <c r="BR55">
        <f ca="1">_xll.BDP($B$55,$C$55,CONCATENATE("PX391=", $BR$53), CONCATENATE("PX392=",$BR$54), CONCATENATE("DS004=",$B$46), "Fill=B")</f>
        <v>1891</v>
      </c>
      <c r="BS55">
        <f ca="1">_xll.BDP($B$55,$C$55,CONCATENATE("PX391=", $BS$53), CONCATENATE("PX392=",$BS$54), CONCATENATE("DS004=",$B$46), "Fill=B")</f>
        <v>1882</v>
      </c>
      <c r="BT55">
        <f ca="1">_xll.BDP($B$55,$C$55,CONCATENATE("PX391=", $BT$53), CONCATENATE("PX392=",$BT$54), CONCATENATE("DS004=",$B$46), "Fill=B")</f>
        <v>1902</v>
      </c>
      <c r="BU55">
        <f ca="1">_xll.BDP($B$55,$C$55,CONCATENATE("PX391=", $BU$53), CONCATENATE("PX392=",$BU$54), CONCATENATE("DS004=",$B$46), "Fill=B")</f>
        <v>1836</v>
      </c>
      <c r="BV55">
        <f ca="1">_xll.BDP($B$55,$C$55,CONCATENATE("PX391=", $BV$53), CONCATENATE("PX392=",$BV$54), CONCATENATE("DS004=",$B$46), "Fill=B")</f>
        <v>1756</v>
      </c>
      <c r="BW55">
        <f ca="1">_xll.BDP($B$55,$C$55,CONCATENATE("PX391=", $BW$53), CONCATENATE("PX392=",$BW$54), CONCATENATE("DS004=",$B$46), "Fill=B")</f>
        <v>1499</v>
      </c>
      <c r="BX55">
        <f ca="1">_xll.BDP($B$55,$C$55,CONCATENATE("PX391=", $BX$53), CONCATENATE("PX392=",$BX$54), CONCATENATE("DS004=",$B$46), "Fill=B")</f>
        <v>1843</v>
      </c>
      <c r="BY55">
        <f ca="1">_xll.BDP($B$55,$C$55,CONCATENATE("PX391=", $BY$53), CONCATENATE("PX392=",$BY$54), CONCATENATE("DS004=",$B$46), "Fill=B")</f>
        <v>1721</v>
      </c>
      <c r="BZ55">
        <f ca="1">_xll.BDP($B$55,$C$55,CONCATENATE("PX391=", $BZ$53), CONCATENATE("PX392=",$BZ$54), CONCATENATE("DS004=",$B$46), "Fill=B")</f>
        <v>1784</v>
      </c>
      <c r="CA55">
        <f ca="1">_xll.BDP($B$55,$C$55,CONCATENATE("PX391=", $CA$53), CONCATENATE("PX392=",$CA$54), CONCATENATE("DS004=",$B$46), "Fill=B")</f>
        <v>1778</v>
      </c>
      <c r="CB55">
        <f ca="1">_xll.BDP($B$55,$C$55,CONCATENATE("PX391=", $CB$53), CONCATENATE("PX392=",$CB$54), CONCATENATE("DS004=",$B$46), "Fill=B")</f>
        <v>1831</v>
      </c>
      <c r="CC55">
        <f ca="1">_xll.BDP($B$55,$C$55,CONCATENATE("PX391=", $CC$53), CONCATENATE("PX392=",$CC$54), CONCATENATE("DS004=",$B$46), "Fill=B")</f>
        <v>1829</v>
      </c>
      <c r="CD55">
        <f ca="1">_xll.BDP($B$55,$C$55,CONCATENATE("PX391=", $CD$53), CONCATENATE("PX392=",$CD$54), CONCATENATE("DS004=",$B$46), "Fill=B")</f>
        <v>1844</v>
      </c>
      <c r="CE55">
        <f ca="1">_xll.BDP($B$55,$C$55,CONCATENATE("PX391=", $CE$53), CONCATENATE("PX392=",$CE$54), CONCATENATE("DS004=",$B$46), "Fill=B")</f>
        <v>1788</v>
      </c>
      <c r="CF55">
        <f ca="1">_xll.BDP($B$55,$C$55,CONCATENATE("PX391=", $CF$53), CONCATENATE("PX392=",$CF$54), CONCATENATE("DS004=",$B$46), "Fill=B")</f>
        <v>1810</v>
      </c>
      <c r="CG55">
        <f ca="1">_xll.BDP($B$55,$C$55,CONCATENATE("PX391=", $CG$53), CONCATENATE("PX392=",$CG$54), CONCATENATE("DS004=",$B$46), "Fill=B")</f>
        <v>1735</v>
      </c>
      <c r="CH55">
        <f ca="1">_xll.BDP($B$55,$C$55,CONCATENATE("PX391=", $CH$53), CONCATENATE("PX392=",$CH$54), CONCATENATE("DS004=",$B$46), "Fill=B")</f>
        <v>1725</v>
      </c>
      <c r="CI55">
        <f ca="1">_xll.BDP($B$55,$C$55,CONCATENATE("PX391=", $CI$53), CONCATENATE("PX392=",$CI$54), CONCATENATE("DS004=",$B$46), "Fill=B")</f>
        <v>1368</v>
      </c>
      <c r="CJ55">
        <f ca="1">_xll.BDP($B$55,$C$55,CONCATENATE("PX391=", $CJ$53), CONCATENATE("PX392=",$CJ$54), CONCATENATE("DS004=",$B$46), "Fill=B")</f>
        <v>1678</v>
      </c>
      <c r="CK55">
        <f ca="1">_xll.BDP($B$55,$C$55,CONCATENATE("PX391=", $CK$53), CONCATENATE("PX392=",$CK$54), CONCATENATE("DS004=",$B$46), "Fill=B")</f>
        <v>1674</v>
      </c>
      <c r="CL55" t="str">
        <f>""</f>
        <v/>
      </c>
      <c r="CM55" t="str">
        <f>""</f>
        <v/>
      </c>
      <c r="CN55" t="str">
        <f>""</f>
        <v/>
      </c>
      <c r="CO55" t="str">
        <f>""</f>
        <v/>
      </c>
      <c r="CP55" t="str">
        <f>""</f>
        <v/>
      </c>
      <c r="CQ55" t="str">
        <f>""</f>
        <v/>
      </c>
      <c r="CR55" t="str">
        <f>""</f>
        <v/>
      </c>
      <c r="CS55" t="str">
        <f>""</f>
        <v/>
      </c>
      <c r="CT55" t="str">
        <f>""</f>
        <v/>
      </c>
      <c r="CU55" t="str">
        <f>""</f>
        <v/>
      </c>
      <c r="CV55" t="str">
        <f>""</f>
        <v/>
      </c>
      <c r="CW55" t="str">
        <f>""</f>
        <v/>
      </c>
      <c r="CX55" t="str">
        <f>""</f>
        <v/>
      </c>
      <c r="CY55" t="str">
        <f>""</f>
        <v/>
      </c>
      <c r="CZ55" t="str">
        <f>""</f>
        <v/>
      </c>
      <c r="DA55" t="str">
        <f>""</f>
        <v/>
      </c>
      <c r="DB55" t="str">
        <f>""</f>
        <v/>
      </c>
      <c r="DC55" t="str">
        <f>""</f>
        <v/>
      </c>
      <c r="DD55" t="str">
        <f>""</f>
        <v/>
      </c>
      <c r="DE55" t="str">
        <f>""</f>
        <v/>
      </c>
      <c r="DF55" t="str">
        <f>""</f>
        <v/>
      </c>
      <c r="DG55" t="str">
        <f>""</f>
        <v/>
      </c>
      <c r="DH55" t="str">
        <f>""</f>
        <v/>
      </c>
      <c r="DI55" t="str">
        <f>""</f>
        <v/>
      </c>
      <c r="DJ55" t="str">
        <f>""</f>
        <v/>
      </c>
      <c r="DK55" t="str">
        <f>""</f>
        <v/>
      </c>
      <c r="DL55" t="str">
        <f>""</f>
        <v/>
      </c>
      <c r="DM55" t="str">
        <f>""</f>
        <v/>
      </c>
      <c r="DN55" t="str">
        <f>""</f>
        <v/>
      </c>
      <c r="DO55" t="str">
        <f>""</f>
        <v/>
      </c>
      <c r="DP55" t="str">
        <f>""</f>
        <v/>
      </c>
      <c r="DQ55" t="str">
        <f>""</f>
        <v/>
      </c>
      <c r="DR55" t="str">
        <f>""</f>
        <v/>
      </c>
      <c r="DS55" t="str">
        <f>""</f>
        <v/>
      </c>
      <c r="DT55" t="str">
        <f>""</f>
        <v/>
      </c>
      <c r="DU55" t="str">
        <f>""</f>
        <v/>
      </c>
      <c r="DV55" t="str">
        <f>""</f>
        <v/>
      </c>
      <c r="DW55" t="str">
        <f>""</f>
        <v/>
      </c>
      <c r="DX55" t="str">
        <f>""</f>
        <v/>
      </c>
      <c r="DY55" t="str">
        <f>""</f>
        <v/>
      </c>
      <c r="DZ55" t="str">
        <f>""</f>
        <v/>
      </c>
      <c r="EA55" t="str">
        <f>""</f>
        <v/>
      </c>
      <c r="EB55" t="str">
        <f>""</f>
        <v/>
      </c>
      <c r="EC55" t="str">
        <f>""</f>
        <v/>
      </c>
      <c r="ED55" t="str">
        <f>""</f>
        <v/>
      </c>
      <c r="EE55" t="str">
        <f>""</f>
        <v/>
      </c>
      <c r="EF55" t="str">
        <f>""</f>
        <v/>
      </c>
      <c r="EG55" t="str">
        <f>""</f>
        <v/>
      </c>
      <c r="EH55" t="str">
        <f>""</f>
        <v/>
      </c>
      <c r="EI55" t="str">
        <f>""</f>
        <v/>
      </c>
      <c r="EJ55" t="str">
        <f>""</f>
        <v/>
      </c>
      <c r="EK55" t="str">
        <f>""</f>
        <v/>
      </c>
      <c r="EL55" t="str">
        <f>""</f>
        <v/>
      </c>
      <c r="EM55" t="str">
        <f>""</f>
        <v/>
      </c>
      <c r="EN55" t="str">
        <f>""</f>
        <v/>
      </c>
      <c r="EO55" t="str">
        <f>""</f>
        <v/>
      </c>
      <c r="EP55" t="str">
        <f>""</f>
        <v/>
      </c>
      <c r="EQ55" t="str">
        <f>""</f>
        <v/>
      </c>
      <c r="ER55" t="str">
        <f>""</f>
        <v/>
      </c>
      <c r="ES55" t="str">
        <f>""</f>
        <v/>
      </c>
      <c r="ET55" t="str">
        <f>""</f>
        <v/>
      </c>
      <c r="EU55" t="str">
        <f>""</f>
        <v/>
      </c>
      <c r="EV55" t="str">
        <f>""</f>
        <v/>
      </c>
      <c r="EW55" t="str">
        <f>""</f>
        <v/>
      </c>
      <c r="EX55" t="str">
        <f>""</f>
        <v/>
      </c>
      <c r="EY55" t="str">
        <f>""</f>
        <v/>
      </c>
      <c r="EZ55" t="str">
        <f>""</f>
        <v/>
      </c>
      <c r="FA55" t="str">
        <f>""</f>
        <v/>
      </c>
      <c r="FB55" t="str">
        <f>""</f>
        <v/>
      </c>
      <c r="FC55" t="str">
        <f>""</f>
        <v/>
      </c>
      <c r="FD55" t="str">
        <f>""</f>
        <v/>
      </c>
      <c r="FE55" t="str">
        <f>""</f>
        <v/>
      </c>
      <c r="FF55" t="str">
        <f>""</f>
        <v/>
      </c>
      <c r="FG55" t="str">
        <f>""</f>
        <v/>
      </c>
      <c r="FH55" t="str">
        <f>""</f>
        <v/>
      </c>
      <c r="FI55" t="str">
        <f>""</f>
        <v/>
      </c>
      <c r="FJ55" t="str">
        <f>""</f>
        <v/>
      </c>
      <c r="FK55" t="str">
        <f>""</f>
        <v/>
      </c>
      <c r="FL55" t="str">
        <f>""</f>
        <v/>
      </c>
      <c r="FM55" t="str">
        <f>""</f>
        <v/>
      </c>
      <c r="FN55" t="str">
        <f>""</f>
        <v/>
      </c>
      <c r="FO55" t="str">
        <f>""</f>
        <v/>
      </c>
      <c r="FP55" t="str">
        <f>""</f>
        <v/>
      </c>
      <c r="FQ55" t="str">
        <f>""</f>
        <v/>
      </c>
    </row>
    <row r="56" spans="1:173" x14ac:dyDescent="0.25">
      <c r="B56" t="str">
        <f>"CNIFSCSH Index"</f>
        <v>CNIFSCSH Index</v>
      </c>
      <c r="C56" t="str">
        <f>"PX385"</f>
        <v>PX385</v>
      </c>
      <c r="D56" t="str">
        <f>"INTERVAL_SUM"</f>
        <v>INTERVAL_SUM</v>
      </c>
      <c r="E56" t="str">
        <f t="shared" si="15"/>
        <v>Dynamic</v>
      </c>
      <c r="F56" t="str">
        <f ca="1">_xll.BDP($B$56,$C$56,CONCATENATE("PX391=", $F$53), CONCATENATE("PX392=",$F$54), CONCATENATE("DS004=",$B$46), "Fill=B")</f>
        <v/>
      </c>
      <c r="G56" t="str">
        <f ca="1">_xll.BDP($B$56,$C$56,CONCATENATE("PX391=", $G$53), CONCATENATE("PX392=",$G$54), CONCATENATE("DS004=",$B$46), "Fill=B")</f>
        <v/>
      </c>
      <c r="H56">
        <f ca="1">_xll.BDP($B$56,$C$56,CONCATENATE("PX391=", $H$53), CONCATENATE("PX392=",$H$54), CONCATENATE("DS004=",$B$46), "Fill=B")</f>
        <v>405</v>
      </c>
      <c r="I56">
        <f ca="1">_xll.BDP($B$56,$C$56,CONCATENATE("PX391=", $I$53), CONCATENATE("PX392=",$I$54), CONCATENATE("DS004=",$B$46), "Fill=B")</f>
        <v>420</v>
      </c>
      <c r="J56">
        <f ca="1">_xll.BDP($B$56,$C$56,CONCATENATE("PX391=", $J$53), CONCATENATE("PX392=",$J$54), CONCATENATE("DS004=",$B$46), "Fill=B")</f>
        <v>420</v>
      </c>
      <c r="K56">
        <f ca="1">_xll.BDP($B$56,$C$56,CONCATENATE("PX391=", $K$53), CONCATENATE("PX392=",$K$54), CONCATENATE("DS004=",$B$46), "Fill=B")</f>
        <v>415</v>
      </c>
      <c r="L56">
        <f ca="1">_xll.BDP($B$56,$C$56,CONCATENATE("PX391=", $L$53), CONCATENATE("PX392=",$L$54), CONCATENATE("DS004=",$B$46), "Fill=B")</f>
        <v>410</v>
      </c>
      <c r="M56">
        <f ca="1">_xll.BDP($B$56,$C$56,CONCATENATE("PX391=", $M$53), CONCATENATE("PX392=",$M$54), CONCATENATE("DS004=",$B$46), "Fill=B")</f>
        <v>401</v>
      </c>
      <c r="N56">
        <f ca="1">_xll.BDP($B$56,$C$56,CONCATENATE("PX391=", $N$53), CONCATENATE("PX392=",$N$54), CONCATENATE("DS004=",$B$46), "Fill=B")</f>
        <v>402</v>
      </c>
      <c r="O56" t="str">
        <f ca="1">_xll.BDP($B$56,$C$56,CONCATENATE("PX391=", $O$53), CONCATENATE("PX392=",$O$54), CONCATENATE("DS004=",$B$46), "Fill=B")</f>
        <v/>
      </c>
      <c r="P56" t="str">
        <f ca="1">_xll.BDP($B$56,$C$56,CONCATENATE("PX391=", $P$53), CONCATENATE("PX392=",$P$54), CONCATENATE("DS004=",$B$46), "Fill=B")</f>
        <v/>
      </c>
      <c r="Q56">
        <f ca="1">_xll.BDP($B$56,$C$56,CONCATENATE("PX391=", $Q$53), CONCATENATE("PX392=",$Q$54), CONCATENATE("DS004=",$B$46), "Fill=B")</f>
        <v>411</v>
      </c>
      <c r="R56">
        <f ca="1">_xll.BDP($B$56,$C$56,CONCATENATE("PX391=", $R$53), CONCATENATE("PX392=",$R$54), CONCATENATE("DS004=",$B$46), "Fill=B")</f>
        <v>411</v>
      </c>
      <c r="S56">
        <f ca="1">_xll.BDP($B$56,$C$56,CONCATENATE("PX391=", $S$53), CONCATENATE("PX392=",$S$54), CONCATENATE("DS004=",$B$46), "Fill=B")</f>
        <v>419</v>
      </c>
      <c r="T56">
        <f ca="1">_xll.BDP($B$56,$C$56,CONCATENATE("PX391=", $T$53), CONCATENATE("PX392=",$T$54), CONCATENATE("DS004=",$B$46), "Fill=B")</f>
        <v>387</v>
      </c>
      <c r="U56">
        <f ca="1">_xll.BDP($B$56,$C$56,CONCATENATE("PX391=", $U$53), CONCATENATE("PX392=",$U$54), CONCATENATE("DS004=",$B$46), "Fill=B")</f>
        <v>417</v>
      </c>
      <c r="V56">
        <f ca="1">_xll.BDP($B$56,$C$56,CONCATENATE("PX391=", $V$53), CONCATENATE("PX392=",$V$54), CONCATENATE("DS004=",$B$46), "Fill=B")</f>
        <v>430</v>
      </c>
      <c r="W56">
        <f ca="1">_xll.BDP($B$56,$C$56,CONCATENATE("PX391=", $W$53), CONCATENATE("PX392=",$W$54), CONCATENATE("DS004=",$B$46), "Fill=B")</f>
        <v>379</v>
      </c>
      <c r="X56">
        <f ca="1">_xll.BDP($B$56,$C$56,CONCATENATE("PX391=", $X$53), CONCATENATE("PX392=",$X$54), CONCATENATE("DS004=",$B$46), "Fill=B")</f>
        <v>340</v>
      </c>
      <c r="Y56">
        <f ca="1">_xll.BDP($B$56,$C$56,CONCATENATE("PX391=", $Y$53), CONCATENATE("PX392=",$Y$54), CONCATENATE("DS004=",$B$46), "Fill=B")</f>
        <v>308</v>
      </c>
      <c r="Z56">
        <f ca="1">_xll.BDP($B$56,$C$56,CONCATENATE("PX391=", $Z$53), CONCATENATE("PX392=",$Z$54), CONCATENATE("DS004=",$B$46), "Fill=B")</f>
        <v>410</v>
      </c>
      <c r="AA56">
        <f ca="1">_xll.BDP($B$56,$C$56,CONCATENATE("PX391=", $AA$53), CONCATENATE("PX392=",$AA$54), CONCATENATE("DS004=",$B$46), "Fill=B")</f>
        <v>381</v>
      </c>
      <c r="AB56">
        <f ca="1">_xll.BDP($B$56,$C$56,CONCATENATE("PX391=", $AB$53), CONCATENATE("PX392=",$AB$54), CONCATENATE("DS004=",$B$46), "Fill=B")</f>
        <v>435</v>
      </c>
      <c r="AC56">
        <f ca="1">_xll.BDP($B$56,$C$56,CONCATENATE("PX391=", $AC$53), CONCATENATE("PX392=",$AC$54), CONCATENATE("DS004=",$B$46), "Fill=B")</f>
        <v>398</v>
      </c>
      <c r="AD56">
        <f ca="1">_xll.BDP($B$56,$C$56,CONCATENATE("PX391=", $AD$53), CONCATENATE("PX392=",$AD$54), CONCATENATE("DS004=",$B$46), "Fill=B")</f>
        <v>406</v>
      </c>
      <c r="AE56">
        <f ca="1">_xll.BDP($B$56,$C$56,CONCATENATE("PX391=", $AE$53), CONCATENATE("PX392=",$AE$54), CONCATENATE("DS004=",$B$46), "Fill=B")</f>
        <v>419</v>
      </c>
      <c r="AF56">
        <f ca="1">_xll.BDP($B$56,$C$56,CONCATENATE("PX391=", $AF$53), CONCATENATE("PX392=",$AF$54), CONCATENATE("DS004=",$B$46), "Fill=B")</f>
        <v>383</v>
      </c>
      <c r="AG56">
        <f ca="1">_xll.BDP($B$56,$C$56,CONCATENATE("PX391=", $AG$53), CONCATENATE("PX392=",$AG$54), CONCATENATE("DS004=",$B$46), "Fill=B")</f>
        <v>432</v>
      </c>
      <c r="AH56">
        <f ca="1">_xll.BDP($B$56,$C$56,CONCATENATE("PX391=", $AH$53), CONCATENATE("PX392=",$AH$54), CONCATENATE("DS004=",$B$46), "Fill=B")</f>
        <v>370</v>
      </c>
      <c r="AI56">
        <f ca="1">_xll.BDP($B$56,$C$56,CONCATENATE("PX391=", $AI$53), CONCATENATE("PX392=",$AI$54), CONCATENATE("DS004=",$B$46), "Fill=B")</f>
        <v>409</v>
      </c>
      <c r="AJ56">
        <f ca="1">_xll.BDP($B$56,$C$56,CONCATENATE("PX391=", $AJ$53), CONCATENATE("PX392=",$AJ$54), CONCATENATE("DS004=",$B$46), "Fill=B")</f>
        <v>379</v>
      </c>
      <c r="AK56">
        <f ca="1">_xll.BDP($B$56,$C$56,CONCATENATE("PX391=", $AK$53), CONCATENATE("PX392=",$AK$54), CONCATENATE("DS004=",$B$46), "Fill=B")</f>
        <v>372</v>
      </c>
      <c r="AL56">
        <f ca="1">_xll.BDP($B$56,$C$56,CONCATENATE("PX391=", $AL$53), CONCATENATE("PX392=",$AL$54), CONCATENATE("DS004=",$B$46), "Fill=B")</f>
        <v>390</v>
      </c>
      <c r="AM56">
        <f ca="1">_xll.BDP($B$56,$C$56,CONCATENATE("PX391=", $AM$53), CONCATENATE("PX392=",$AM$54), CONCATENATE("DS004=",$B$46), "Fill=B")</f>
        <v>341</v>
      </c>
      <c r="AN56">
        <f ca="1">_xll.BDP($B$56,$C$56,CONCATENATE("PX391=", $AN$53), CONCATENATE("PX392=",$AN$54), CONCATENATE("DS004=",$B$46), "Fill=B")</f>
        <v>404</v>
      </c>
      <c r="AO56">
        <f ca="1">_xll.BDP($B$56,$C$56,CONCATENATE("PX391=", $AO$53), CONCATENATE("PX392=",$AO$54), CONCATENATE("DS004=",$B$46), "Fill=B")</f>
        <v>364</v>
      </c>
      <c r="AP56">
        <f ca="1">_xll.BDP($B$56,$C$56,CONCATENATE("PX391=", $AP$53), CONCATENATE("PX392=",$AP$54), CONCATENATE("DS004=",$B$46), "Fill=B")</f>
        <v>401</v>
      </c>
      <c r="AQ56">
        <f ca="1">_xll.BDP($B$56,$C$56,CONCATENATE("PX391=", $AQ$53), CONCATENATE("PX392=",$AQ$54), CONCATENATE("DS004=",$B$46), "Fill=B")</f>
        <v>420</v>
      </c>
      <c r="AR56">
        <f ca="1">_xll.BDP($B$56,$C$56,CONCATENATE("PX391=", $AR$53), CONCATENATE("PX392=",$AR$54), CONCATENATE("DS004=",$B$46), "Fill=B")</f>
        <v>385</v>
      </c>
      <c r="AS56">
        <f ca="1">_xll.BDP($B$56,$C$56,CONCATENATE("PX391=", $AS$53), CONCATENATE("PX392=",$AS$54), CONCATENATE("DS004=",$B$46), "Fill=B")</f>
        <v>384</v>
      </c>
      <c r="AT56">
        <f ca="1">_xll.BDP($B$56,$C$56,CONCATENATE("PX391=", $AT$53), CONCATENATE("PX392=",$AT$54), CONCATENATE("DS004=",$B$46), "Fill=B")</f>
        <v>390</v>
      </c>
      <c r="AU56">
        <f ca="1">_xll.BDP($B$56,$C$56,CONCATENATE("PX391=", $AU$53), CONCATENATE("PX392=",$AU$54), CONCATENATE("DS004=",$B$46), "Fill=B")</f>
        <v>360</v>
      </c>
      <c r="AV56">
        <f ca="1">_xll.BDP($B$56,$C$56,CONCATENATE("PX391=", $AV$53), CONCATENATE("PX392=",$AV$54), CONCATENATE("DS004=",$B$46), "Fill=B")</f>
        <v>362</v>
      </c>
      <c r="AW56">
        <f ca="1">_xll.BDP($B$56,$C$56,CONCATENATE("PX391=", $AW$53), CONCATENATE("PX392=",$AW$54), CONCATENATE("DS004=",$B$46), "Fill=B")</f>
        <v>351</v>
      </c>
      <c r="AX56">
        <f ca="1">_xll.BDP($B$56,$C$56,CONCATENATE("PX391=", $AX$53), CONCATENATE("PX392=",$AX$54), CONCATENATE("DS004=",$B$46), "Fill=B")</f>
        <v>343</v>
      </c>
      <c r="AY56">
        <f ca="1">_xll.BDP($B$56,$C$56,CONCATENATE("PX391=", $AY$53), CONCATENATE("PX392=",$AY$54), CONCATENATE("DS004=",$B$46), "Fill=B")</f>
        <v>230</v>
      </c>
      <c r="AZ56">
        <f ca="1">_xll.BDP($B$56,$C$56,CONCATENATE("PX391=", $AZ$53), CONCATENATE("PX392=",$AZ$54), CONCATENATE("DS004=",$B$46), "Fill=B")</f>
        <v>360</v>
      </c>
      <c r="BA56">
        <f ca="1">_xll.BDP($B$56,$C$56,CONCATENATE("PX391=", $BA$53), CONCATENATE("PX392=",$BA$54), CONCATENATE("DS004=",$B$46), "Fill=B")</f>
        <v>327</v>
      </c>
      <c r="BB56">
        <f ca="1">_xll.BDP($B$56,$C$56,CONCATENATE("PX391=", $BB$53), CONCATENATE("PX392=",$BB$54), CONCATENATE("DS004=",$B$46), "Fill=B")</f>
        <v>355</v>
      </c>
      <c r="BC56">
        <f ca="1">_xll.BDP($B$56,$C$56,CONCATENATE("PX391=", $BC$53), CONCATENATE("PX392=",$BC$54), CONCATENATE("DS004=",$B$46), "Fill=B")</f>
        <v>363</v>
      </c>
      <c r="BD56">
        <f ca="1">_xll.BDP($B$56,$C$56,CONCATENATE("PX391=", $BD$53), CONCATENATE("PX392=",$BD$54), CONCATENATE("DS004=",$B$46), "Fill=B")</f>
        <v>371</v>
      </c>
      <c r="BE56">
        <f ca="1">_xll.BDP($B$56,$C$56,CONCATENATE("PX391=", $BE$53), CONCATENATE("PX392=",$BE$54), CONCATENATE("DS004=",$B$46), "Fill=B")</f>
        <v>376</v>
      </c>
      <c r="BF56">
        <f ca="1">_xll.BDP($B$56,$C$56,CONCATENATE("PX391=", $BF$53), CONCATENATE("PX392=",$BF$54), CONCATENATE("DS004=",$B$46), "Fill=B")</f>
        <v>385</v>
      </c>
      <c r="BG56">
        <f ca="1">_xll.BDP($B$56,$C$56,CONCATENATE("PX391=", $BG$53), CONCATENATE("PX392=",$BG$54), CONCATENATE("DS004=",$B$46), "Fill=B")</f>
        <v>376</v>
      </c>
      <c r="BH56">
        <f ca="1">_xll.BDP($B$56,$C$56,CONCATENATE("PX391=", $BH$53), CONCATENATE("PX392=",$BH$54), CONCATENATE("DS004=",$B$46), "Fill=B")</f>
        <v>376</v>
      </c>
      <c r="BI56">
        <f ca="1">_xll.BDP($B$56,$C$56,CONCATENATE("PX391=", $BI$53), CONCATENATE("PX392=",$BI$54), CONCATENATE("DS004=",$B$46), "Fill=B")</f>
        <v>361</v>
      </c>
      <c r="BJ56">
        <f ca="1">_xll.BDP($B$56,$C$56,CONCATENATE("PX391=", $BJ$53), CONCATENATE("PX392=",$BJ$54), CONCATENATE("DS004=",$B$46), "Fill=B")</f>
        <v>381</v>
      </c>
      <c r="BK56">
        <f ca="1">_xll.BDP($B$56,$C$56,CONCATENATE("PX391=", $BK$53), CONCATENATE("PX392=",$BK$54), CONCATENATE("DS004=",$B$46), "Fill=B")</f>
        <v>286</v>
      </c>
      <c r="BL56">
        <f ca="1">_xll.BDP($B$56,$C$56,CONCATENATE("PX391=", $BL$53), CONCATENATE("PX392=",$BL$54), CONCATENATE("DS004=",$B$46), "Fill=B")</f>
        <v>375</v>
      </c>
      <c r="BM56">
        <f ca="1">_xll.BDP($B$56,$C$56,CONCATENATE("PX391=", $BM$53), CONCATENATE("PX392=",$BM$54), CONCATENATE("DS004=",$B$46), "Fill=B")</f>
        <v>358</v>
      </c>
      <c r="BN56">
        <f ca="1">_xll.BDP($B$56,$C$56,CONCATENATE("PX391=", $BN$53), CONCATENATE("PX392=",$BN$54), CONCATENATE("DS004=",$B$46), "Fill=B")</f>
        <v>350</v>
      </c>
      <c r="BO56">
        <f ca="1">_xll.BDP($B$56,$C$56,CONCATENATE("PX391=", $BO$53), CONCATENATE("PX392=",$BO$54), CONCATENATE("DS004=",$B$46), "Fill=B")</f>
        <v>353</v>
      </c>
      <c r="BP56">
        <f ca="1">_xll.BDP($B$56,$C$56,CONCATENATE("PX391=", $BP$53), CONCATENATE("PX392=",$BP$54), CONCATENATE("DS004=",$B$46), "Fill=B")</f>
        <v>381</v>
      </c>
      <c r="BQ56">
        <f ca="1">_xll.BDP($B$56,$C$56,CONCATENATE("PX391=", $BQ$53), CONCATENATE("PX392=",$BQ$54), CONCATENATE("DS004=",$B$46), "Fill=B")</f>
        <v>347</v>
      </c>
      <c r="BR56">
        <f ca="1">_xll.BDP($B$56,$C$56,CONCATENATE("PX391=", $BR$53), CONCATENATE("PX392=",$BR$54), CONCATENATE("DS004=",$B$46), "Fill=B")</f>
        <v>355</v>
      </c>
      <c r="BS56">
        <f ca="1">_xll.BDP($B$56,$C$56,CONCATENATE("PX391=", $BS$53), CONCATENATE("PX392=",$BS$54), CONCATENATE("DS004=",$B$46), "Fill=B")</f>
        <v>360</v>
      </c>
      <c r="BT56">
        <f ca="1">_xll.BDP($B$56,$C$56,CONCATENATE("PX391=", $BT$53), CONCATENATE("PX392=",$BT$54), CONCATENATE("DS004=",$B$46), "Fill=B")</f>
        <v>362</v>
      </c>
      <c r="BU56">
        <f ca="1">_xll.BDP($B$56,$C$56,CONCATENATE("PX391=", $BU$53), CONCATENATE("PX392=",$BU$54), CONCATENATE("DS004=",$B$46), "Fill=B")</f>
        <v>352</v>
      </c>
      <c r="BV56">
        <f ca="1">_xll.BDP($B$56,$C$56,CONCATENATE("PX391=", $BV$53), CONCATENATE("PX392=",$BV$54), CONCATENATE("DS004=",$B$46), "Fill=B")</f>
        <v>338</v>
      </c>
      <c r="BW56">
        <f ca="1">_xll.BDP($B$56,$C$56,CONCATENATE("PX391=", $BW$53), CONCATENATE("PX392=",$BW$54), CONCATENATE("DS004=",$B$46), "Fill=B")</f>
        <v>293</v>
      </c>
      <c r="BX56">
        <f ca="1">_xll.BDP($B$56,$C$56,CONCATENATE("PX391=", $BX$53), CONCATENATE("PX392=",$BX$54), CONCATENATE("DS004=",$B$46), "Fill=B")</f>
        <v>339</v>
      </c>
      <c r="BY56">
        <f ca="1">_xll.BDP($B$56,$C$56,CONCATENATE("PX391=", $BY$53), CONCATENATE("PX392=",$BY$54), CONCATENATE("DS004=",$B$46), "Fill=B")</f>
        <v>336</v>
      </c>
      <c r="BZ56">
        <f ca="1">_xll.BDP($B$56,$C$56,CONCATENATE("PX391=", $BZ$53), CONCATENATE("PX392=",$BZ$54), CONCATENATE("DS004=",$B$46), "Fill=B")</f>
        <v>355</v>
      </c>
      <c r="CA56">
        <f ca="1">_xll.BDP($B$56,$C$56,CONCATENATE("PX391=", $CA$53), CONCATENATE("PX392=",$CA$54), CONCATENATE("DS004=",$B$46), "Fill=B")</f>
        <v>340</v>
      </c>
      <c r="CB56">
        <f ca="1">_xll.BDP($B$56,$C$56,CONCATENATE("PX391=", $CB$53), CONCATENATE("PX392=",$CB$54), CONCATENATE("DS004=",$B$46), "Fill=B")</f>
        <v>338</v>
      </c>
      <c r="CC56">
        <f ca="1">_xll.BDP($B$56,$C$56,CONCATENATE("PX391=", $CC$53), CONCATENATE("PX392=",$CC$54), CONCATENATE("DS004=",$B$46), "Fill=B")</f>
        <v>345</v>
      </c>
      <c r="CD56">
        <f ca="1">_xll.BDP($B$56,$C$56,CONCATENATE("PX391=", $CD$53), CONCATENATE("PX392=",$CD$54), CONCATENATE("DS004=",$B$46), "Fill=B")</f>
        <v>350</v>
      </c>
      <c r="CE56">
        <f ca="1">_xll.BDP($B$56,$C$56,CONCATENATE("PX391=", $CE$53), CONCATENATE("PX392=",$CE$54), CONCATENATE("DS004=",$B$46), "Fill=B")</f>
        <v>340</v>
      </c>
      <c r="CF56">
        <f ca="1">_xll.BDP($B$56,$C$56,CONCATENATE("PX391=", $CF$53), CONCATENATE("PX392=",$CF$54), CONCATENATE("DS004=",$B$46), "Fill=B")</f>
        <v>350</v>
      </c>
      <c r="CG56">
        <f ca="1">_xll.BDP($B$56,$C$56,CONCATENATE("PX391=", $CG$53), CONCATENATE("PX392=",$CG$54), CONCATENATE("DS004=",$B$46), "Fill=B")</f>
        <v>323</v>
      </c>
      <c r="CH56">
        <f ca="1">_xll.BDP($B$56,$C$56,CONCATENATE("PX391=", $CH$53), CONCATENATE("PX392=",$CH$54), CONCATENATE("DS004=",$B$46), "Fill=B")</f>
        <v>340</v>
      </c>
      <c r="CI56">
        <f ca="1">_xll.BDP($B$56,$C$56,CONCATENATE("PX391=", $CI$53), CONCATENATE("PX392=",$CI$54), CONCATENATE("DS004=",$B$46), "Fill=B")</f>
        <v>262</v>
      </c>
      <c r="CJ56">
        <f ca="1">_xll.BDP($B$56,$C$56,CONCATENATE("PX391=", $CJ$53), CONCATENATE("PX392=",$CJ$54), CONCATENATE("DS004=",$B$46), "Fill=B")</f>
        <v>328</v>
      </c>
      <c r="CK56">
        <f ca="1">_xll.BDP($B$56,$C$56,CONCATENATE("PX391=", $CK$53), CONCATENATE("PX392=",$CK$54), CONCATENATE("DS004=",$B$46), "Fill=B")</f>
        <v>314</v>
      </c>
      <c r="CL56" t="str">
        <f>""</f>
        <v/>
      </c>
      <c r="CM56" t="str">
        <f>""</f>
        <v/>
      </c>
      <c r="CN56" t="str">
        <f>""</f>
        <v/>
      </c>
      <c r="CO56" t="str">
        <f>""</f>
        <v/>
      </c>
      <c r="CP56" t="str">
        <f>""</f>
        <v/>
      </c>
      <c r="CQ56" t="str">
        <f>""</f>
        <v/>
      </c>
      <c r="CR56" t="str">
        <f>""</f>
        <v/>
      </c>
      <c r="CS56" t="str">
        <f>""</f>
        <v/>
      </c>
      <c r="CT56" t="str">
        <f>""</f>
        <v/>
      </c>
      <c r="CU56" t="str">
        <f>""</f>
        <v/>
      </c>
      <c r="CV56" t="str">
        <f>""</f>
        <v/>
      </c>
      <c r="CW56" t="str">
        <f>""</f>
        <v/>
      </c>
      <c r="CX56" t="str">
        <f>""</f>
        <v/>
      </c>
      <c r="CY56" t="str">
        <f>""</f>
        <v/>
      </c>
      <c r="CZ56" t="str">
        <f>""</f>
        <v/>
      </c>
      <c r="DA56" t="str">
        <f>""</f>
        <v/>
      </c>
      <c r="DB56" t="str">
        <f>""</f>
        <v/>
      </c>
      <c r="DC56" t="str">
        <f>""</f>
        <v/>
      </c>
      <c r="DD56" t="str">
        <f>""</f>
        <v/>
      </c>
      <c r="DE56" t="str">
        <f>""</f>
        <v/>
      </c>
      <c r="DF56" t="str">
        <f>""</f>
        <v/>
      </c>
      <c r="DG56" t="str">
        <f>""</f>
        <v/>
      </c>
      <c r="DH56" t="str">
        <f>""</f>
        <v/>
      </c>
      <c r="DI56" t="str">
        <f>""</f>
        <v/>
      </c>
      <c r="DJ56" t="str">
        <f>""</f>
        <v/>
      </c>
      <c r="DK56" t="str">
        <f>""</f>
        <v/>
      </c>
      <c r="DL56" t="str">
        <f>""</f>
        <v/>
      </c>
      <c r="DM56" t="str">
        <f>""</f>
        <v/>
      </c>
      <c r="DN56" t="str">
        <f>""</f>
        <v/>
      </c>
      <c r="DO56" t="str">
        <f>""</f>
        <v/>
      </c>
      <c r="DP56" t="str">
        <f>""</f>
        <v/>
      </c>
      <c r="DQ56" t="str">
        <f>""</f>
        <v/>
      </c>
      <c r="DR56" t="str">
        <f>""</f>
        <v/>
      </c>
      <c r="DS56" t="str">
        <f>""</f>
        <v/>
      </c>
      <c r="DT56" t="str">
        <f>""</f>
        <v/>
      </c>
      <c r="DU56" t="str">
        <f>""</f>
        <v/>
      </c>
      <c r="DV56" t="str">
        <f>""</f>
        <v/>
      </c>
      <c r="DW56" t="str">
        <f>""</f>
        <v/>
      </c>
      <c r="DX56" t="str">
        <f>""</f>
        <v/>
      </c>
      <c r="DY56" t="str">
        <f>""</f>
        <v/>
      </c>
      <c r="DZ56" t="str">
        <f>""</f>
        <v/>
      </c>
      <c r="EA56" t="str">
        <f>""</f>
        <v/>
      </c>
      <c r="EB56" t="str">
        <f>""</f>
        <v/>
      </c>
      <c r="EC56" t="str">
        <f>""</f>
        <v/>
      </c>
      <c r="ED56" t="str">
        <f>""</f>
        <v/>
      </c>
      <c r="EE56" t="str">
        <f>""</f>
        <v/>
      </c>
      <c r="EF56" t="str">
        <f>""</f>
        <v/>
      </c>
      <c r="EG56" t="str">
        <f>""</f>
        <v/>
      </c>
      <c r="EH56" t="str">
        <f>""</f>
        <v/>
      </c>
      <c r="EI56" t="str">
        <f>""</f>
        <v/>
      </c>
      <c r="EJ56" t="str">
        <f>""</f>
        <v/>
      </c>
      <c r="EK56" t="str">
        <f>""</f>
        <v/>
      </c>
      <c r="EL56" t="str">
        <f>""</f>
        <v/>
      </c>
      <c r="EM56" t="str">
        <f>""</f>
        <v/>
      </c>
      <c r="EN56" t="str">
        <f>""</f>
        <v/>
      </c>
      <c r="EO56" t="str">
        <f>""</f>
        <v/>
      </c>
      <c r="EP56" t="str">
        <f>""</f>
        <v/>
      </c>
      <c r="EQ56" t="str">
        <f>""</f>
        <v/>
      </c>
      <c r="ER56" t="str">
        <f>""</f>
        <v/>
      </c>
      <c r="ES56" t="str">
        <f>""</f>
        <v/>
      </c>
      <c r="ET56" t="str">
        <f>""</f>
        <v/>
      </c>
      <c r="EU56" t="str">
        <f>""</f>
        <v/>
      </c>
      <c r="EV56" t="str">
        <f>""</f>
        <v/>
      </c>
      <c r="EW56" t="str">
        <f>""</f>
        <v/>
      </c>
      <c r="EX56" t="str">
        <f>""</f>
        <v/>
      </c>
      <c r="EY56" t="str">
        <f>""</f>
        <v/>
      </c>
      <c r="EZ56" t="str">
        <f>""</f>
        <v/>
      </c>
      <c r="FA56" t="str">
        <f>""</f>
        <v/>
      </c>
      <c r="FB56" t="str">
        <f>""</f>
        <v/>
      </c>
      <c r="FC56" t="str">
        <f>""</f>
        <v/>
      </c>
      <c r="FD56" t="str">
        <f>""</f>
        <v/>
      </c>
      <c r="FE56" t="str">
        <f>""</f>
        <v/>
      </c>
      <c r="FF56" t="str">
        <f>""</f>
        <v/>
      </c>
      <c r="FG56" t="str">
        <f>""</f>
        <v/>
      </c>
      <c r="FH56" t="str">
        <f>""</f>
        <v/>
      </c>
      <c r="FI56" t="str">
        <f>""</f>
        <v/>
      </c>
      <c r="FJ56" t="str">
        <f>""</f>
        <v/>
      </c>
      <c r="FK56" t="str">
        <f>""</f>
        <v/>
      </c>
      <c r="FL56" t="str">
        <f>""</f>
        <v/>
      </c>
      <c r="FM56" t="str">
        <f>""</f>
        <v/>
      </c>
      <c r="FN56" t="str">
        <f>""</f>
        <v/>
      </c>
      <c r="FO56" t="str">
        <f>""</f>
        <v/>
      </c>
      <c r="FP56" t="str">
        <f>""</f>
        <v/>
      </c>
      <c r="FQ56" t="str">
        <f>""</f>
        <v/>
      </c>
    </row>
    <row r="57" spans="1:173" x14ac:dyDescent="0.25">
      <c r="B57" t="str">
        <f>"CNIFSCSZ Index"</f>
        <v>CNIFSCSZ Index</v>
      </c>
      <c r="C57" t="str">
        <f>"PX385"</f>
        <v>PX385</v>
      </c>
      <c r="D57" t="str">
        <f>"INTERVAL_SUM"</f>
        <v>INTERVAL_SUM</v>
      </c>
      <c r="E57" t="str">
        <f t="shared" si="15"/>
        <v>Dynamic</v>
      </c>
      <c r="F57" t="str">
        <f ca="1">_xll.BDP($B$57,$C$57,CONCATENATE("PX391=", $F$53), CONCATENATE("PX392=",$F$54), CONCATENATE("DS004=",$B$46), "Fill=B")</f>
        <v/>
      </c>
      <c r="G57" t="str">
        <f ca="1">_xll.BDP($B$57,$C$57,CONCATENATE("PX391=", $G$53), CONCATENATE("PX392=",$G$54), CONCATENATE("DS004=",$B$46), "Fill=B")</f>
        <v/>
      </c>
      <c r="H57">
        <f ca="1">_xll.BDP($B$57,$C$57,CONCATENATE("PX391=", $H$53), CONCATENATE("PX392=",$H$54), CONCATENATE("DS004=",$B$46), "Fill=B")</f>
        <v>263</v>
      </c>
      <c r="I57">
        <f ca="1">_xll.BDP($B$57,$C$57,CONCATENATE("PX391=", $I$53), CONCATENATE("PX392=",$I$54), CONCATENATE("DS004=",$B$46), "Fill=B")</f>
        <v>275</v>
      </c>
      <c r="J57">
        <f ca="1">_xll.BDP($B$57,$C$57,CONCATENATE("PX391=", $J$53), CONCATENATE("PX392=",$J$54), CONCATENATE("DS004=",$B$46), "Fill=B")</f>
        <v>282</v>
      </c>
      <c r="K57">
        <f ca="1">_xll.BDP($B$57,$C$57,CONCATENATE("PX391=", $K$53), CONCATENATE("PX392=",$K$54), CONCATENATE("DS004=",$B$46), "Fill=B")</f>
        <v>262</v>
      </c>
      <c r="L57">
        <f ca="1">_xll.BDP($B$57,$C$57,CONCATENATE("PX391=", $L$53), CONCATENATE("PX392=",$L$54), CONCATENATE("DS004=",$B$46), "Fill=B")</f>
        <v>248</v>
      </c>
      <c r="M57">
        <f ca="1">_xll.BDP($B$57,$C$57,CONCATENATE("PX391=", $M$53), CONCATENATE("PX392=",$M$54), CONCATENATE("DS004=",$B$46), "Fill=B")</f>
        <v>226</v>
      </c>
      <c r="N57">
        <f ca="1">_xll.BDP($B$57,$C$57,CONCATENATE("PX391=", $N$53), CONCATENATE("PX392=",$N$54), CONCATENATE("DS004=",$B$46), "Fill=B")</f>
        <v>226</v>
      </c>
      <c r="O57" t="str">
        <f ca="1">_xll.BDP($B$57,$C$57,CONCATENATE("PX391=", $O$53), CONCATENATE("PX392=",$O$54), CONCATENATE("DS004=",$B$46), "Fill=B")</f>
        <v/>
      </c>
      <c r="P57" t="str">
        <f ca="1">_xll.BDP($B$57,$C$57,CONCATENATE("PX391=", $P$53), CONCATENATE("PX392=",$P$54), CONCATENATE("DS004=",$B$46), "Fill=B")</f>
        <v/>
      </c>
      <c r="Q57">
        <f ca="1">_xll.BDP($B$57,$C$57,CONCATENATE("PX391=", $Q$53), CONCATENATE("PX392=",$Q$54), CONCATENATE("DS004=",$B$46), "Fill=B")</f>
        <v>320</v>
      </c>
      <c r="R57">
        <f ca="1">_xll.BDP($B$57,$C$57,CONCATENATE("PX391=", $R$53), CONCATENATE("PX392=",$R$54), CONCATENATE("DS004=",$B$46), "Fill=B")</f>
        <v>266</v>
      </c>
      <c r="S57">
        <f ca="1">_xll.BDP($B$57,$C$57,CONCATENATE("PX391=", $S$53), CONCATENATE("PX392=",$S$54), CONCATENATE("DS004=",$B$46), "Fill=B")</f>
        <v>224</v>
      </c>
      <c r="T57">
        <f ca="1">_xll.BDP($B$57,$C$57,CONCATENATE("PX391=", $T$53), CONCATENATE("PX392=",$T$54), CONCATENATE("DS004=",$B$46), "Fill=B")</f>
        <v>243</v>
      </c>
      <c r="U57">
        <f ca="1">_xll.BDP($B$57,$C$57,CONCATENATE("PX391=", $U$53), CONCATENATE("PX392=",$U$54), CONCATENATE("DS004=",$B$46), "Fill=B")</f>
        <v>249</v>
      </c>
      <c r="V57">
        <f ca="1">_xll.BDP($B$57,$C$57,CONCATENATE("PX391=", $V$53), CONCATENATE("PX392=",$V$54), CONCATENATE("DS004=",$B$46), "Fill=B")</f>
        <v>262</v>
      </c>
      <c r="W57">
        <f ca="1">_xll.BDP($B$57,$C$57,CONCATENATE("PX391=", $W$53), CONCATENATE("PX392=",$W$54), CONCATENATE("DS004=",$B$46), "Fill=B")</f>
        <v>262</v>
      </c>
      <c r="X57">
        <f ca="1">_xll.BDP($B$57,$C$57,CONCATENATE("PX391=", $X$53), CONCATENATE("PX392=",$X$54), CONCATENATE("DS004=",$B$46), "Fill=B")</f>
        <v>268</v>
      </c>
      <c r="Y57">
        <f ca="1">_xll.BDP($B$57,$C$57,CONCATENATE("PX391=", $Y$53), CONCATENATE("PX392=",$Y$54), CONCATENATE("DS004=",$B$46), "Fill=B")</f>
        <v>261</v>
      </c>
      <c r="Z57">
        <f ca="1">_xll.BDP($B$57,$C$57,CONCATENATE("PX391=", $Z$53), CONCATENATE("PX392=",$Z$54), CONCATENATE("DS004=",$B$46), "Fill=B")</f>
        <v>221</v>
      </c>
      <c r="AA57">
        <f ca="1">_xll.BDP($B$57,$C$57,CONCATENATE("PX391=", $AA$53), CONCATENATE("PX392=",$AA$54), CONCATENATE("DS004=",$B$46), "Fill=B")</f>
        <v>182</v>
      </c>
      <c r="AB57">
        <f ca="1">_xll.BDP($B$57,$C$57,CONCATENATE("PX391=", $AB$53), CONCATENATE("PX392=",$AB$54), CONCATENATE("DS004=",$B$46), "Fill=B")</f>
        <v>246</v>
      </c>
      <c r="AC57">
        <f ca="1">_xll.BDP($B$57,$C$57,CONCATENATE("PX391=", $AC$53), CONCATENATE("PX392=",$AC$54), CONCATENATE("DS004=",$B$46), "Fill=B")</f>
        <v>253</v>
      </c>
      <c r="AD57">
        <f ca="1">_xll.BDP($B$57,$C$57,CONCATENATE("PX391=", $AD$53), CONCATENATE("PX392=",$AD$54), CONCATENATE("DS004=",$B$46), "Fill=B")</f>
        <v>245</v>
      </c>
      <c r="AE57">
        <f ca="1">_xll.BDP($B$57,$C$57,CONCATENATE("PX391=", $AE$53), CONCATENATE("PX392=",$AE$54), CONCATENATE("DS004=",$B$46), "Fill=B")</f>
        <v>237</v>
      </c>
      <c r="AF57">
        <f ca="1">_xll.BDP($B$57,$C$57,CONCATENATE("PX391=", $AF$53), CONCATENATE("PX392=",$AF$54), CONCATENATE("DS004=",$B$46), "Fill=B")</f>
        <v>272</v>
      </c>
      <c r="AG57">
        <f ca="1">_xll.BDP($B$57,$C$57,CONCATENATE("PX391=", $AG$53), CONCATENATE("PX392=",$AG$54), CONCATENATE("DS004=",$B$46), "Fill=B")</f>
        <v>254</v>
      </c>
      <c r="AH57">
        <f ca="1">_xll.BDP($B$57,$C$57,CONCATENATE("PX391=", $AH$53), CONCATENATE("PX392=",$AH$54), CONCATENATE("DS004=",$B$46), "Fill=B")</f>
        <v>238</v>
      </c>
      <c r="AI57">
        <f ca="1">_xll.BDP($B$57,$C$57,CONCATENATE("PX391=", $AI$53), CONCATENATE("PX392=",$AI$54), CONCATENATE("DS004=",$B$46), "Fill=B")</f>
        <v>185</v>
      </c>
      <c r="AJ57">
        <f ca="1">_xll.BDP($B$57,$C$57,CONCATENATE("PX391=", $AJ$53), CONCATENATE("PX392=",$AJ$54), CONCATENATE("DS004=",$B$46), "Fill=B")</f>
        <v>234</v>
      </c>
      <c r="AK57">
        <f ca="1">_xll.BDP($B$57,$C$57,CONCATENATE("PX391=", $AK$53), CONCATENATE("PX392=",$AK$54), CONCATENATE("DS004=",$B$46), "Fill=B")</f>
        <v>236</v>
      </c>
      <c r="AL57">
        <f ca="1">_xll.BDP($B$57,$C$57,CONCATENATE("PX391=", $AL$53), CONCATENATE("PX392=",$AL$54), CONCATENATE("DS004=",$B$46), "Fill=B")</f>
        <v>241</v>
      </c>
      <c r="AM57">
        <f ca="1">_xll.BDP($B$57,$C$57,CONCATENATE("PX391=", $AM$53), CONCATENATE("PX392=",$AM$54), CONCATENATE("DS004=",$B$46), "Fill=B")</f>
        <v>210</v>
      </c>
      <c r="AN57">
        <f ca="1">_xll.BDP($B$57,$C$57,CONCATENATE("PX391=", $AN$53), CONCATENATE("PX392=",$AN$54), CONCATENATE("DS004=",$B$46), "Fill=B")</f>
        <v>271</v>
      </c>
      <c r="AO57">
        <f ca="1">_xll.BDP($B$57,$C$57,CONCATENATE("PX391=", $AO$53), CONCATENATE("PX392=",$AO$54), CONCATENATE("DS004=",$B$46), "Fill=B")</f>
        <v>257</v>
      </c>
      <c r="AP57">
        <f ca="1">_xll.BDP($B$57,$C$57,CONCATENATE("PX391=", $AP$53), CONCATENATE("PX392=",$AP$54), CONCATENATE("DS004=",$B$46), "Fill=B")</f>
        <v>248</v>
      </c>
      <c r="AQ57">
        <f ca="1">_xll.BDP($B$57,$C$57,CONCATENATE("PX391=", $AQ$53), CONCATENATE("PX392=",$AQ$54), CONCATENATE("DS004=",$B$46), "Fill=B")</f>
        <v>258</v>
      </c>
      <c r="AR57">
        <f ca="1">_xll.BDP($B$57,$C$57,CONCATENATE("PX391=", $AR$53), CONCATENATE("PX392=",$AR$54), CONCATENATE("DS004=",$B$46), "Fill=B")</f>
        <v>282</v>
      </c>
      <c r="AS57">
        <f ca="1">_xll.BDP($B$57,$C$57,CONCATENATE("PX391=", $AS$53), CONCATENATE("PX392=",$AS$54), CONCATENATE("DS004=",$B$46), "Fill=B")</f>
        <v>262</v>
      </c>
      <c r="AT57">
        <f ca="1">_xll.BDP($B$57,$C$57,CONCATENATE("PX391=", $AT$53), CONCATENATE("PX392=",$AT$54), CONCATENATE("DS004=",$B$46), "Fill=B")</f>
        <v>240</v>
      </c>
      <c r="AU57">
        <f ca="1">_xll.BDP($B$57,$C$57,CONCATENATE("PX391=", $AU$53), CONCATENATE("PX392=",$AU$54), CONCATENATE("DS004=",$B$46), "Fill=B")</f>
        <v>221</v>
      </c>
      <c r="AV57">
        <f ca="1">_xll.BDP($B$57,$C$57,CONCATENATE("PX391=", $AV$53), CONCATENATE("PX392=",$AV$54), CONCATENATE("DS004=",$B$46), "Fill=B")</f>
        <v>181</v>
      </c>
      <c r="AW57">
        <f ca="1">_xll.BDP($B$57,$C$57,CONCATENATE("PX391=", $AW$53), CONCATENATE("PX392=",$AW$54), CONCATENATE("DS004=",$B$46), "Fill=B")</f>
        <v>171</v>
      </c>
      <c r="AX57">
        <f ca="1">_xll.BDP($B$57,$C$57,CONCATENATE("PX391=", $AX$53), CONCATENATE("PX392=",$AX$54), CONCATENATE("DS004=",$B$46), "Fill=B")</f>
        <v>184</v>
      </c>
      <c r="AY57">
        <f ca="1">_xll.BDP($B$57,$C$57,CONCATENATE("PX391=", $AY$53), CONCATENATE("PX392=",$AY$54), CONCATENATE("DS004=",$B$46), "Fill=B")</f>
        <v>121</v>
      </c>
      <c r="AZ57">
        <f ca="1">_xll.BDP($B$57,$C$57,CONCATENATE("PX391=", $AZ$53), CONCATENATE("PX392=",$AZ$54), CONCATENATE("DS004=",$B$46), "Fill=B")</f>
        <v>229</v>
      </c>
      <c r="BA57">
        <f ca="1">_xll.BDP($B$57,$C$57,CONCATENATE("PX391=", $BA$53), CONCATENATE("PX392=",$BA$54), CONCATENATE("DS004=",$B$46), "Fill=B")</f>
        <v>218</v>
      </c>
      <c r="BB57">
        <f ca="1">_xll.BDP($B$57,$C$57,CONCATENATE("PX391=", $BB$53), CONCATENATE("PX392=",$BB$54), CONCATENATE("DS004=",$B$46), "Fill=B")</f>
        <v>215</v>
      </c>
      <c r="BC57">
        <f ca="1">_xll.BDP($B$57,$C$57,CONCATENATE("PX391=", $BC$53), CONCATENATE("PX392=",$BC$54), CONCATENATE("DS004=",$B$46), "Fill=B")</f>
        <v>212</v>
      </c>
      <c r="BD57">
        <f ca="1">_xll.BDP($B$57,$C$57,CONCATENATE("PX391=", $BD$53), CONCATENATE("PX392=",$BD$54), CONCATENATE("DS004=",$B$46), "Fill=B")</f>
        <v>230</v>
      </c>
      <c r="BE57">
        <f ca="1">_xll.BDP($B$57,$C$57,CONCATENATE("PX391=", $BE$53), CONCATENATE("PX392=",$BE$54), CONCATENATE("DS004=",$B$46), "Fill=B")</f>
        <v>234</v>
      </c>
      <c r="BF57">
        <f ca="1">_xll.BDP($B$57,$C$57,CONCATENATE("PX391=", $BF$53), CONCATENATE("PX392=",$BF$54), CONCATENATE("DS004=",$B$46), "Fill=B")</f>
        <v>227</v>
      </c>
      <c r="BG57">
        <f ca="1">_xll.BDP($B$57,$C$57,CONCATENATE("PX391=", $BG$53), CONCATENATE("PX392=",$BG$54), CONCATENATE("DS004=",$B$46), "Fill=B")</f>
        <v>218</v>
      </c>
      <c r="BH57">
        <f ca="1">_xll.BDP($B$57,$C$57,CONCATENATE("PX391=", $BH$53), CONCATENATE("PX392=",$BH$54), CONCATENATE("DS004=",$B$46), "Fill=B")</f>
        <v>209</v>
      </c>
      <c r="BI57">
        <f ca="1">_xll.BDP($B$57,$C$57,CONCATENATE("PX391=", $BI$53), CONCATENATE("PX392=",$BI$54), CONCATENATE("DS004=",$B$46), "Fill=B")</f>
        <v>208</v>
      </c>
      <c r="BJ57">
        <f ca="1">_xll.BDP($B$57,$C$57,CONCATENATE("PX391=", $BJ$53), CONCATENATE("PX392=",$BJ$54), CONCATENATE("DS004=",$B$46), "Fill=B")</f>
        <v>205</v>
      </c>
      <c r="BK57">
        <f ca="1">_xll.BDP($B$57,$C$57,CONCATENATE("PX391=", $BK$53), CONCATENATE("PX392=",$BK$54), CONCATENATE("DS004=",$B$46), "Fill=B")</f>
        <v>160</v>
      </c>
      <c r="BL57">
        <f ca="1">_xll.BDP($B$57,$C$57,CONCATENATE("PX391=", $BL$53), CONCATENATE("PX392=",$BL$54), CONCATENATE("DS004=",$B$46), "Fill=B")</f>
        <v>241</v>
      </c>
      <c r="BM57">
        <f ca="1">_xll.BDP($B$57,$C$57,CONCATENATE("PX391=", $BM$53), CONCATENATE("PX392=",$BM$54), CONCATENATE("DS004=",$B$46), "Fill=B")</f>
        <v>211</v>
      </c>
      <c r="BN57">
        <f ca="1">_xll.BDP($B$57,$C$57,CONCATENATE("PX391=", $BN$53), CONCATENATE("PX392=",$BN$54), CONCATENATE("DS004=",$B$46), "Fill=B")</f>
        <v>230</v>
      </c>
      <c r="BO57">
        <f ca="1">_xll.BDP($B$57,$C$57,CONCATENATE("PX391=", $BO$53), CONCATENATE("PX392=",$BO$54), CONCATENATE("DS004=",$B$46), "Fill=B")</f>
        <v>219</v>
      </c>
      <c r="BP57">
        <f ca="1">_xll.BDP($B$57,$C$57,CONCATENATE("PX391=", $BP$53), CONCATENATE("PX392=",$BP$54), CONCATENATE("DS004=",$B$46), "Fill=B")</f>
        <v>229</v>
      </c>
      <c r="BQ57">
        <f ca="1">_xll.BDP($B$57,$C$57,CONCATENATE("PX391=", $BQ$53), CONCATENATE("PX392=",$BQ$54), CONCATENATE("DS004=",$B$46), "Fill=B")</f>
        <v>234</v>
      </c>
      <c r="BR57">
        <f ca="1">_xll.BDP($B$57,$C$57,CONCATENATE("PX391=", $BR$53), CONCATENATE("PX392=",$BR$54), CONCATENATE("DS004=",$B$46), "Fill=B")</f>
        <v>228</v>
      </c>
      <c r="BS57">
        <f ca="1">_xll.BDP($B$57,$C$57,CONCATENATE("PX391=", $BS$53), CONCATENATE("PX392=",$BS$54), CONCATENATE("DS004=",$B$46), "Fill=B")</f>
        <v>208</v>
      </c>
      <c r="BT57">
        <f ca="1">_xll.BDP($B$57,$C$57,CONCATENATE("PX391=", $BT$53), CONCATENATE("PX392=",$BT$54), CONCATENATE("DS004=",$B$46), "Fill=B")</f>
        <v>209</v>
      </c>
      <c r="BU57">
        <f ca="1">_xll.BDP($B$57,$C$57,CONCATENATE("PX391=", $BU$53), CONCATENATE("PX392=",$BU$54), CONCATENATE("DS004=",$B$46), "Fill=B")</f>
        <v>195</v>
      </c>
      <c r="BV57">
        <f ca="1">_xll.BDP($B$57,$C$57,CONCATENATE("PX391=", $BV$53), CONCATENATE("PX392=",$BV$54), CONCATENATE("DS004=",$B$46), "Fill=B")</f>
        <v>179</v>
      </c>
      <c r="BW57">
        <f ca="1">_xll.BDP($B$57,$C$57,CONCATENATE("PX391=", $BW$53), CONCATENATE("PX392=",$BW$54), CONCATENATE("DS004=",$B$46), "Fill=B")</f>
        <v>188</v>
      </c>
      <c r="BX57">
        <f ca="1">_xll.BDP($B$57,$C$57,CONCATENATE("PX391=", $BX$53), CONCATENATE("PX392=",$BX$54), CONCATENATE("DS004=",$B$46), "Fill=B")</f>
        <v>236</v>
      </c>
      <c r="BY57">
        <f ca="1">_xll.BDP($B$57,$C$57,CONCATENATE("PX391=", $BY$53), CONCATENATE("PX392=",$BY$54), CONCATENATE("DS004=",$B$46), "Fill=B")</f>
        <v>205</v>
      </c>
      <c r="BZ57">
        <f ca="1">_xll.BDP($B$57,$C$57,CONCATENATE("PX391=", $BZ$53), CONCATENATE("PX392=",$BZ$54), CONCATENATE("DS004=",$B$46), "Fill=B")</f>
        <v>210</v>
      </c>
      <c r="CA57">
        <f ca="1">_xll.BDP($B$57,$C$57,CONCATENATE("PX391=", $CA$53), CONCATENATE("PX392=",$CA$54), CONCATENATE("DS004=",$B$46), "Fill=B")</f>
        <v>215</v>
      </c>
      <c r="CB57">
        <f ca="1">_xll.BDP($B$57,$C$57,CONCATENATE("PX391=", $CB$53), CONCATENATE("PX392=",$CB$54), CONCATENATE("DS004=",$B$46), "Fill=B")</f>
        <v>246</v>
      </c>
      <c r="CC57">
        <f ca="1">_xll.BDP($B$57,$C$57,CONCATENATE("PX391=", $CC$53), CONCATENATE("PX392=",$CC$54), CONCATENATE("DS004=",$B$46), "Fill=B")</f>
        <v>228</v>
      </c>
      <c r="CD57">
        <f ca="1">_xll.BDP($B$57,$C$57,CONCATENATE("PX391=", $CD$53), CONCATENATE("PX392=",$CD$54), CONCATENATE("DS004=",$B$46), "Fill=B")</f>
        <v>235</v>
      </c>
      <c r="CE57">
        <f ca="1">_xll.BDP($B$57,$C$57,CONCATENATE("PX391=", $CE$53), CONCATENATE("PX392=",$CE$54), CONCATENATE("DS004=",$B$46), "Fill=B")</f>
        <v>209</v>
      </c>
      <c r="CF57">
        <f ca="1">_xll.BDP($B$57,$C$57,CONCATENATE("PX391=", $CF$53), CONCATENATE("PX392=",$CF$54), CONCATENATE("DS004=",$B$46), "Fill=B")</f>
        <v>216</v>
      </c>
      <c r="CG57">
        <f ca="1">_xll.BDP($B$57,$C$57,CONCATENATE("PX391=", $CG$53), CONCATENATE("PX392=",$CG$54), CONCATENATE("DS004=",$B$46), "Fill=B")</f>
        <v>202</v>
      </c>
      <c r="CH57">
        <f ca="1">_xll.BDP($B$57,$C$57,CONCATENATE("PX391=", $CH$53), CONCATENATE("PX392=",$CH$54), CONCATENATE("DS004=",$B$46), "Fill=B")</f>
        <v>192</v>
      </c>
      <c r="CI57">
        <f ca="1">_xll.BDP($B$57,$C$57,CONCATENATE("PX391=", $CI$53), CONCATENATE("PX392=",$CI$54), CONCATENATE("DS004=",$B$46), "Fill=B")</f>
        <v>136</v>
      </c>
      <c r="CJ57">
        <f ca="1">_xll.BDP($B$57,$C$57,CONCATENATE("PX391=", $CJ$53), CONCATENATE("PX392=",$CJ$54), CONCATENATE("DS004=",$B$46), "Fill=B")</f>
        <v>216</v>
      </c>
      <c r="CK57">
        <f ca="1">_xll.BDP($B$57,$C$57,CONCATENATE("PX391=", $CK$53), CONCATENATE("PX392=",$CK$54), CONCATENATE("DS004=",$B$46), "Fill=B")</f>
        <v>208</v>
      </c>
      <c r="CL57" t="str">
        <f>""</f>
        <v/>
      </c>
      <c r="CM57" t="str">
        <f>""</f>
        <v/>
      </c>
      <c r="CN57" t="str">
        <f>""</f>
        <v/>
      </c>
      <c r="CO57" t="str">
        <f>""</f>
        <v/>
      </c>
      <c r="CP57" t="str">
        <f>""</f>
        <v/>
      </c>
      <c r="CQ57" t="str">
        <f>""</f>
        <v/>
      </c>
      <c r="CR57" t="str">
        <f>""</f>
        <v/>
      </c>
      <c r="CS57" t="str">
        <f>""</f>
        <v/>
      </c>
      <c r="CT57" t="str">
        <f>""</f>
        <v/>
      </c>
      <c r="CU57" t="str">
        <f>""</f>
        <v/>
      </c>
      <c r="CV57" t="str">
        <f>""</f>
        <v/>
      </c>
      <c r="CW57" t="str">
        <f>""</f>
        <v/>
      </c>
      <c r="CX57" t="str">
        <f>""</f>
        <v/>
      </c>
      <c r="CY57" t="str">
        <f>""</f>
        <v/>
      </c>
      <c r="CZ57" t="str">
        <f>""</f>
        <v/>
      </c>
      <c r="DA57" t="str">
        <f>""</f>
        <v/>
      </c>
      <c r="DB57" t="str">
        <f>""</f>
        <v/>
      </c>
      <c r="DC57" t="str">
        <f>""</f>
        <v/>
      </c>
      <c r="DD57" t="str">
        <f>""</f>
        <v/>
      </c>
      <c r="DE57" t="str">
        <f>""</f>
        <v/>
      </c>
      <c r="DF57" t="str">
        <f>""</f>
        <v/>
      </c>
      <c r="DG57" t="str">
        <f>""</f>
        <v/>
      </c>
      <c r="DH57" t="str">
        <f>""</f>
        <v/>
      </c>
      <c r="DI57" t="str">
        <f>""</f>
        <v/>
      </c>
      <c r="DJ57" t="str">
        <f>""</f>
        <v/>
      </c>
      <c r="DK57" t="str">
        <f>""</f>
        <v/>
      </c>
      <c r="DL57" t="str">
        <f>""</f>
        <v/>
      </c>
      <c r="DM57" t="str">
        <f>""</f>
        <v/>
      </c>
      <c r="DN57" t="str">
        <f>""</f>
        <v/>
      </c>
      <c r="DO57" t="str">
        <f>""</f>
        <v/>
      </c>
      <c r="DP57" t="str">
        <f>""</f>
        <v/>
      </c>
      <c r="DQ57" t="str">
        <f>""</f>
        <v/>
      </c>
      <c r="DR57" t="str">
        <f>""</f>
        <v/>
      </c>
      <c r="DS57" t="str">
        <f>""</f>
        <v/>
      </c>
      <c r="DT57" t="str">
        <f>""</f>
        <v/>
      </c>
      <c r="DU57" t="str">
        <f>""</f>
        <v/>
      </c>
      <c r="DV57" t="str">
        <f>""</f>
        <v/>
      </c>
      <c r="DW57" t="str">
        <f>""</f>
        <v/>
      </c>
      <c r="DX57" t="str">
        <f>""</f>
        <v/>
      </c>
      <c r="DY57" t="str">
        <f>""</f>
        <v/>
      </c>
      <c r="DZ57" t="str">
        <f>""</f>
        <v/>
      </c>
      <c r="EA57" t="str">
        <f>""</f>
        <v/>
      </c>
      <c r="EB57" t="str">
        <f>""</f>
        <v/>
      </c>
      <c r="EC57" t="str">
        <f>""</f>
        <v/>
      </c>
      <c r="ED57" t="str">
        <f>""</f>
        <v/>
      </c>
      <c r="EE57" t="str">
        <f>""</f>
        <v/>
      </c>
      <c r="EF57" t="str">
        <f>""</f>
        <v/>
      </c>
      <c r="EG57" t="str">
        <f>""</f>
        <v/>
      </c>
      <c r="EH57" t="str">
        <f>""</f>
        <v/>
      </c>
      <c r="EI57" t="str">
        <f>""</f>
        <v/>
      </c>
      <c r="EJ57" t="str">
        <f>""</f>
        <v/>
      </c>
      <c r="EK57" t="str">
        <f>""</f>
        <v/>
      </c>
      <c r="EL57" t="str">
        <f>""</f>
        <v/>
      </c>
      <c r="EM57" t="str">
        <f>""</f>
        <v/>
      </c>
      <c r="EN57" t="str">
        <f>""</f>
        <v/>
      </c>
      <c r="EO57" t="str">
        <f>""</f>
        <v/>
      </c>
      <c r="EP57" t="str">
        <f>""</f>
        <v/>
      </c>
      <c r="EQ57" t="str">
        <f>""</f>
        <v/>
      </c>
      <c r="ER57" t="str">
        <f>""</f>
        <v/>
      </c>
      <c r="ES57" t="str">
        <f>""</f>
        <v/>
      </c>
      <c r="ET57" t="str">
        <f>""</f>
        <v/>
      </c>
      <c r="EU57" t="str">
        <f>""</f>
        <v/>
      </c>
      <c r="EV57" t="str">
        <f>""</f>
        <v/>
      </c>
      <c r="EW57" t="str">
        <f>""</f>
        <v/>
      </c>
      <c r="EX57" t="str">
        <f>""</f>
        <v/>
      </c>
      <c r="EY57" t="str">
        <f>""</f>
        <v/>
      </c>
      <c r="EZ57" t="str">
        <f>""</f>
        <v/>
      </c>
      <c r="FA57" t="str">
        <f>""</f>
        <v/>
      </c>
      <c r="FB57" t="str">
        <f>""</f>
        <v/>
      </c>
      <c r="FC57" t="str">
        <f>""</f>
        <v/>
      </c>
      <c r="FD57" t="str">
        <f>""</f>
        <v/>
      </c>
      <c r="FE57" t="str">
        <f>""</f>
        <v/>
      </c>
      <c r="FF57" t="str">
        <f>""</f>
        <v/>
      </c>
      <c r="FG57" t="str">
        <f>""</f>
        <v/>
      </c>
      <c r="FH57" t="str">
        <f>""</f>
        <v/>
      </c>
      <c r="FI57" t="str">
        <f>""</f>
        <v/>
      </c>
      <c r="FJ57" t="str">
        <f>""</f>
        <v/>
      </c>
      <c r="FK57" t="str">
        <f>""</f>
        <v/>
      </c>
      <c r="FL57" t="str">
        <f>""</f>
        <v/>
      </c>
      <c r="FM57" t="str">
        <f>""</f>
        <v/>
      </c>
      <c r="FN57" t="str">
        <f>""</f>
        <v/>
      </c>
      <c r="FO57" t="str">
        <f>""</f>
        <v/>
      </c>
      <c r="FP57" t="str">
        <f>""</f>
        <v/>
      </c>
      <c r="FQ57" t="str">
        <f>""</f>
        <v/>
      </c>
    </row>
    <row r="58" spans="1:173" x14ac:dyDescent="0.25">
      <c r="B58" t="str">
        <f>"CNIFSCNZ Index"</f>
        <v>CNIFSCNZ Index</v>
      </c>
      <c r="C58" t="str">
        <f>"PX385"</f>
        <v>PX385</v>
      </c>
      <c r="D58" t="str">
        <f>"INTERVAL_SUM"</f>
        <v>INTERVAL_SUM</v>
      </c>
      <c r="E58" t="str">
        <f t="shared" si="15"/>
        <v>Dynamic</v>
      </c>
      <c r="F58" t="str">
        <f ca="1">_xll.BDP($B$58,$C$58,CONCATENATE("PX391=", $F$53), CONCATENATE("PX392=",$F$54), CONCATENATE("DS004=",$B$46), "Fill=B")</f>
        <v/>
      </c>
      <c r="G58" t="str">
        <f ca="1">_xll.BDP($B$58,$C$58,CONCATENATE("PX391=", $G$53), CONCATENATE("PX392=",$G$54), CONCATENATE("DS004=",$B$46), "Fill=B")</f>
        <v/>
      </c>
      <c r="H58">
        <f ca="1">_xll.BDP($B$58,$C$58,CONCATENATE("PX391=", $H$53), CONCATENATE("PX392=",$H$54), CONCATENATE("DS004=",$B$46), "Fill=B")</f>
        <v>320</v>
      </c>
      <c r="I58">
        <f ca="1">_xll.BDP($B$58,$C$58,CONCATENATE("PX391=", $I$53), CONCATENATE("PX392=",$I$54), CONCATENATE("DS004=",$B$46), "Fill=B")</f>
        <v>319</v>
      </c>
      <c r="J58">
        <f ca="1">_xll.BDP($B$58,$C$58,CONCATENATE("PX391=", $J$53), CONCATENATE("PX392=",$J$54), CONCATENATE("DS004=",$B$46), "Fill=B")</f>
        <v>318</v>
      </c>
      <c r="K58">
        <f ca="1">_xll.BDP($B$58,$C$58,CONCATENATE("PX391=", $K$53), CONCATENATE("PX392=",$K$54), CONCATENATE("DS004=",$B$46), "Fill=B")</f>
        <v>322</v>
      </c>
      <c r="L58">
        <f ca="1">_xll.BDP($B$58,$C$58,CONCATENATE("PX391=", $L$53), CONCATENATE("PX392=",$L$54), CONCATENATE("DS004=",$B$46), "Fill=B")</f>
        <v>315</v>
      </c>
      <c r="M58">
        <f ca="1">_xll.BDP($B$58,$C$58,CONCATENATE("PX391=", $M$53), CONCATENATE("PX392=",$M$54), CONCATENATE("DS004=",$B$46), "Fill=B")</f>
        <v>313</v>
      </c>
      <c r="N58">
        <f ca="1">_xll.BDP($B$58,$C$58,CONCATENATE("PX391=", $N$53), CONCATENATE("PX392=",$N$54), CONCATENATE("DS004=",$B$46), "Fill=B")</f>
        <v>288</v>
      </c>
      <c r="O58" t="str">
        <f ca="1">_xll.BDP($B$58,$C$58,CONCATENATE("PX391=", $O$53), CONCATENATE("PX392=",$O$54), CONCATENATE("DS004=",$B$46), "Fill=B")</f>
        <v/>
      </c>
      <c r="P58" t="str">
        <f ca="1">_xll.BDP($B$58,$C$58,CONCATENATE("PX391=", $P$53), CONCATENATE("PX392=",$P$54), CONCATENATE("DS004=",$B$46), "Fill=B")</f>
        <v/>
      </c>
      <c r="Q58">
        <f ca="1">_xll.BDP($B$58,$C$58,CONCATENATE("PX391=", $Q$53), CONCATENATE("PX392=",$Q$54), CONCATENATE("DS004=",$B$46), "Fill=B")</f>
        <v>209</v>
      </c>
      <c r="R58">
        <f ca="1">_xll.BDP($B$58,$C$58,CONCATENATE("PX391=", $R$53), CONCATENATE("PX392=",$R$54), CONCATENATE("DS004=",$B$46), "Fill=B")</f>
        <v>237</v>
      </c>
      <c r="S58">
        <f ca="1">_xll.BDP($B$58,$C$58,CONCATENATE("PX391=", $S$53), CONCATENATE("PX392=",$S$54), CONCATENATE("DS004=",$B$46), "Fill=B")</f>
        <v>257</v>
      </c>
      <c r="T58">
        <f ca="1">_xll.BDP($B$58,$C$58,CONCATENATE("PX391=", $T$53), CONCATENATE("PX392=",$T$54), CONCATENATE("DS004=",$B$46), "Fill=B")</f>
        <v>263</v>
      </c>
      <c r="U58">
        <f ca="1">_xll.BDP($B$58,$C$58,CONCATENATE("PX391=", $U$53), CONCATENATE("PX392=",$U$54), CONCATENATE("DS004=",$B$46), "Fill=B")</f>
        <v>294</v>
      </c>
      <c r="V58">
        <f ca="1">_xll.BDP($B$58,$C$58,CONCATENATE("PX391=", $V$53), CONCATENATE("PX392=",$V$54), CONCATENATE("DS004=",$B$46), "Fill=B")</f>
        <v>328</v>
      </c>
      <c r="W58">
        <f ca="1">_xll.BDP($B$58,$C$58,CONCATENATE("PX391=", $W$53), CONCATENATE("PX392=",$W$54), CONCATENATE("DS004=",$B$46), "Fill=B")</f>
        <v>316</v>
      </c>
      <c r="X58">
        <f ca="1">_xll.BDP($B$58,$C$58,CONCATENATE("PX391=", $X$53), CONCATENATE("PX392=",$X$54), CONCATENATE("DS004=",$B$46), "Fill=B")</f>
        <v>337</v>
      </c>
      <c r="Y58">
        <f ca="1">_xll.BDP($B$58,$C$58,CONCATENATE("PX391=", $Y$53), CONCATENATE("PX392=",$Y$54), CONCATENATE("DS004=",$B$46), "Fill=B")</f>
        <v>303</v>
      </c>
      <c r="Z58">
        <f ca="1">_xll.BDP($B$58,$C$58,CONCATENATE("PX391=", $Z$53), CONCATENATE("PX392=",$Z$54), CONCATENATE("DS004=",$B$46), "Fill=B")</f>
        <v>266</v>
      </c>
      <c r="AA58">
        <f ca="1">_xll.BDP($B$58,$C$58,CONCATENATE("PX391=", $AA$53), CONCATENATE("PX392=",$AA$54), CONCATENATE("DS004=",$B$46), "Fill=B")</f>
        <v>229</v>
      </c>
      <c r="AB58">
        <f ca="1">_xll.BDP($B$58,$C$58,CONCATENATE("PX391=", $AB$53), CONCATENATE("PX392=",$AB$54), CONCATENATE("DS004=",$B$46), "Fill=B")</f>
        <v>297</v>
      </c>
      <c r="AC58">
        <f ca="1">_xll.BDP($B$58,$C$58,CONCATENATE("PX391=", $AC$53), CONCATENATE("PX392=",$AC$54), CONCATENATE("DS004=",$B$46), "Fill=B")</f>
        <v>209</v>
      </c>
      <c r="AD58">
        <f ca="1">_xll.BDP($B$58,$C$58,CONCATENATE("PX391=", $AD$53), CONCATENATE("PX392=",$AD$54), CONCATENATE("DS004=",$B$46), "Fill=B")</f>
        <v>227</v>
      </c>
      <c r="AE58">
        <f ca="1">_xll.BDP($B$58,$C$58,CONCATENATE("PX391=", $AE$53), CONCATENATE("PX392=",$AE$54), CONCATENATE("DS004=",$B$46), "Fill=B")</f>
        <v>275</v>
      </c>
      <c r="AF58">
        <f ca="1">_xll.BDP($B$58,$C$58,CONCATENATE("PX391=", $AF$53), CONCATENATE("PX392=",$AF$54), CONCATENATE("DS004=",$B$46), "Fill=B")</f>
        <v>261</v>
      </c>
      <c r="AG58">
        <f ca="1">_xll.BDP($B$58,$C$58,CONCATENATE("PX391=", $AG$53), CONCATENATE("PX392=",$AG$54), CONCATENATE("DS004=",$B$46), "Fill=B")</f>
        <v>268</v>
      </c>
      <c r="AH58">
        <f ca="1">_xll.BDP($B$58,$C$58,CONCATENATE("PX391=", $AH$53), CONCATENATE("PX392=",$AH$54), CONCATENATE("DS004=",$B$46), "Fill=B")</f>
        <v>261</v>
      </c>
      <c r="AI58">
        <f ca="1">_xll.BDP($B$58,$C$58,CONCATENATE("PX391=", $AI$53), CONCATENATE("PX392=",$AI$54), CONCATENATE("DS004=",$B$46), "Fill=B")</f>
        <v>283</v>
      </c>
      <c r="AJ58">
        <f ca="1">_xll.BDP($B$58,$C$58,CONCATENATE("PX391=", $AJ$53), CONCATENATE("PX392=",$AJ$54), CONCATENATE("DS004=",$B$46), "Fill=B")</f>
        <v>284</v>
      </c>
      <c r="AK58">
        <f ca="1">_xll.BDP($B$58,$C$58,CONCATENATE("PX391=", $AK$53), CONCATENATE("PX392=",$AK$54), CONCATENATE("DS004=",$B$46), "Fill=B")</f>
        <v>271</v>
      </c>
      <c r="AL58">
        <f ca="1">_xll.BDP($B$58,$C$58,CONCATENATE("PX391=", $AL$53), CONCATENATE("PX392=",$AL$54), CONCATENATE("DS004=",$B$46), "Fill=B")</f>
        <v>249</v>
      </c>
      <c r="AM58">
        <f ca="1">_xll.BDP($B$58,$C$58,CONCATENATE("PX391=", $AM$53), CONCATENATE("PX392=",$AM$54), CONCATENATE("DS004=",$B$46), "Fill=B")</f>
        <v>231</v>
      </c>
      <c r="AN58">
        <f ca="1">_xll.BDP($B$58,$C$58,CONCATENATE("PX391=", $AN$53), CONCATENATE("PX392=",$AN$54), CONCATENATE("DS004=",$B$46), "Fill=B")</f>
        <v>289</v>
      </c>
      <c r="AO58">
        <f ca="1">_xll.BDP($B$58,$C$58,CONCATENATE("PX391=", $AO$53), CONCATENATE("PX392=",$AO$54), CONCATENATE("DS004=",$B$46), "Fill=B")</f>
        <v>224</v>
      </c>
      <c r="AP58">
        <f ca="1">_xll.BDP($B$58,$C$58,CONCATENATE("PX391=", $AP$53), CONCATENATE("PX392=",$AP$54), CONCATENATE("DS004=",$B$46), "Fill=B")</f>
        <v>242</v>
      </c>
      <c r="AQ58">
        <f ca="1">_xll.BDP($B$58,$C$58,CONCATENATE("PX391=", $AQ$53), CONCATENATE("PX392=",$AQ$54), CONCATENATE("DS004=",$B$46), "Fill=B")</f>
        <v>271</v>
      </c>
      <c r="AR58">
        <f ca="1">_xll.BDP($B$58,$C$58,CONCATENATE("PX391=", $AR$53), CONCATENATE("PX392=",$AR$54), CONCATENATE("DS004=",$B$46), "Fill=B")</f>
        <v>273</v>
      </c>
      <c r="AS58">
        <f ca="1">_xll.BDP($B$58,$C$58,CONCATENATE("PX391=", $AS$53), CONCATENATE("PX392=",$AS$54), CONCATENATE("DS004=",$B$46), "Fill=B")</f>
        <v>267</v>
      </c>
      <c r="AT58">
        <f ca="1">_xll.BDP($B$58,$C$58,CONCATENATE("PX391=", $AT$53), CONCATENATE("PX392=",$AT$54), CONCATENATE("DS004=",$B$46), "Fill=B")</f>
        <v>271</v>
      </c>
      <c r="AU58">
        <f ca="1">_xll.BDP($B$58,$C$58,CONCATENATE("PX391=", $AU$53), CONCATENATE("PX392=",$AU$54), CONCATENATE("DS004=",$B$46), "Fill=B")</f>
        <v>253</v>
      </c>
      <c r="AV58">
        <f ca="1">_xll.BDP($B$58,$C$58,CONCATENATE("PX391=", $AV$53), CONCATENATE("PX392=",$AV$54), CONCATENATE("DS004=",$B$46), "Fill=B")</f>
        <v>243</v>
      </c>
      <c r="AW58">
        <f ca="1">_xll.BDP($B$58,$C$58,CONCATENATE("PX391=", $AW$53), CONCATENATE("PX392=",$AW$54), CONCATENATE("DS004=",$B$46), "Fill=B")</f>
        <v>214</v>
      </c>
      <c r="AX58">
        <f ca="1">_xll.BDP($B$58,$C$58,CONCATENATE("PX391=", $AX$53), CONCATENATE("PX392=",$AX$54), CONCATENATE("DS004=",$B$46), "Fill=B")</f>
        <v>209</v>
      </c>
      <c r="AY58">
        <f ca="1">_xll.BDP($B$58,$C$58,CONCATENATE("PX391=", $AY$53), CONCATENATE("PX392=",$AY$54), CONCATENATE("DS004=",$B$46), "Fill=B")</f>
        <v>154</v>
      </c>
      <c r="AZ58">
        <f ca="1">_xll.BDP($B$58,$C$58,CONCATENATE("PX391=", $AZ$53), CONCATENATE("PX392=",$AZ$54), CONCATENATE("DS004=",$B$46), "Fill=B")</f>
        <v>252</v>
      </c>
      <c r="BA58">
        <f ca="1">_xll.BDP($B$58,$C$58,CONCATENATE("PX391=", $BA$53), CONCATENATE("PX392=",$BA$54), CONCATENATE("DS004=",$B$46), "Fill=B")</f>
        <v>194</v>
      </c>
      <c r="BB58">
        <f ca="1">_xll.BDP($B$58,$C$58,CONCATENATE("PX391=", $BB$53), CONCATENATE("PX392=",$BB$54), CONCATENATE("DS004=",$B$46), "Fill=B")</f>
        <v>210</v>
      </c>
      <c r="BC58">
        <f ca="1">_xll.BDP($B$58,$C$58,CONCATENATE("PX391=", $BC$53), CONCATENATE("PX392=",$BC$54), CONCATENATE("DS004=",$B$46), "Fill=B")</f>
        <v>223</v>
      </c>
      <c r="BD58">
        <f ca="1">_xll.BDP($B$58,$C$58,CONCATENATE("PX391=", $BD$53), CONCATENATE("PX392=",$BD$54), CONCATENATE("DS004=",$B$46), "Fill=B")</f>
        <v>240</v>
      </c>
      <c r="BE58">
        <f ca="1">_xll.BDP($B$58,$C$58,CONCATENATE("PX391=", $BE$53), CONCATENATE("PX392=",$BE$54), CONCATENATE("DS004=",$B$46), "Fill=B")</f>
        <v>244</v>
      </c>
      <c r="BF58">
        <f ca="1">_xll.BDP($B$58,$C$58,CONCATENATE("PX391=", $BF$53), CONCATENATE("PX392=",$BF$54), CONCATENATE("DS004=",$B$46), "Fill=B")</f>
        <v>251</v>
      </c>
      <c r="BG58">
        <f ca="1">_xll.BDP($B$58,$C$58,CONCATENATE("PX391=", $BG$53), CONCATENATE("PX392=",$BG$54), CONCATENATE("DS004=",$B$46), "Fill=B")</f>
        <v>242</v>
      </c>
      <c r="BH58">
        <f ca="1">_xll.BDP($B$58,$C$58,CONCATENATE("PX391=", $BH$53), CONCATENATE("PX392=",$BH$54), CONCATENATE("DS004=",$B$46), "Fill=B")</f>
        <v>255</v>
      </c>
      <c r="BI58">
        <f ca="1">_xll.BDP($B$58,$C$58,CONCATENATE("PX391=", $BI$53), CONCATENATE("PX392=",$BI$54), CONCATENATE("DS004=",$B$46), "Fill=B")</f>
        <v>225</v>
      </c>
      <c r="BJ58">
        <f ca="1">_xll.BDP($B$58,$C$58,CONCATENATE("PX391=", $BJ$53), CONCATENATE("PX392=",$BJ$54), CONCATENATE("DS004=",$B$46), "Fill=B")</f>
        <v>215</v>
      </c>
      <c r="BK58">
        <f ca="1">_xll.BDP($B$58,$C$58,CONCATENATE("PX391=", $BK$53), CONCATENATE("PX392=",$BK$54), CONCATENATE("DS004=",$B$46), "Fill=B")</f>
        <v>195</v>
      </c>
      <c r="BL58">
        <f ca="1">_xll.BDP($B$58,$C$58,CONCATENATE("PX391=", $BL$53), CONCATENATE("PX392=",$BL$54), CONCATENATE("DS004=",$B$46), "Fill=B")</f>
        <v>260</v>
      </c>
      <c r="BM58">
        <f ca="1">_xll.BDP($B$58,$C$58,CONCATENATE("PX391=", $BM$53), CONCATENATE("PX392=",$BM$54), CONCATENATE("DS004=",$B$46), "Fill=B")</f>
        <v>188</v>
      </c>
      <c r="BN58">
        <f ca="1">_xll.BDP($B$58,$C$58,CONCATENATE("PX391=", $BN$53), CONCATENATE("PX392=",$BN$54), CONCATENATE("DS004=",$B$46), "Fill=B")</f>
        <v>210</v>
      </c>
      <c r="BO58">
        <f ca="1">_xll.BDP($B$58,$C$58,CONCATENATE("PX391=", $BO$53), CONCATENATE("PX392=",$BO$54), CONCATENATE("DS004=",$B$46), "Fill=B")</f>
        <v>214</v>
      </c>
      <c r="BP58">
        <f ca="1">_xll.BDP($B$58,$C$58,CONCATENATE("PX391=", $BP$53), CONCATENATE("PX392=",$BP$54), CONCATENATE("DS004=",$B$46), "Fill=B")</f>
        <v>236</v>
      </c>
      <c r="BQ58">
        <f ca="1">_xll.BDP($B$58,$C$58,CONCATENATE("PX391=", $BQ$53), CONCATENATE("PX392=",$BQ$54), CONCATENATE("DS004=",$B$46), "Fill=B")</f>
        <v>228</v>
      </c>
      <c r="BR58">
        <f ca="1">_xll.BDP($B$58,$C$58,CONCATENATE("PX391=", $BR$53), CONCATENATE("PX392=",$BR$54), CONCATENATE("DS004=",$B$46), "Fill=B")</f>
        <v>215</v>
      </c>
      <c r="BS58">
        <f ca="1">_xll.BDP($B$58,$C$58,CONCATENATE("PX391=", $BS$53), CONCATENATE("PX392=",$BS$54), CONCATENATE("DS004=",$B$46), "Fill=B")</f>
        <v>227</v>
      </c>
      <c r="BT58">
        <f ca="1">_xll.BDP($B$58,$C$58,CONCATENATE("PX391=", $BT$53), CONCATENATE("PX392=",$BT$54), CONCATENATE("DS004=",$B$46), "Fill=B")</f>
        <v>239</v>
      </c>
      <c r="BU58">
        <f ca="1">_xll.BDP($B$58,$C$58,CONCATENATE("PX391=", $BU$53), CONCATENATE("PX392=",$BU$54), CONCATENATE("DS004=",$B$46), "Fill=B")</f>
        <v>222</v>
      </c>
      <c r="BV58">
        <f ca="1">_xll.BDP($B$58,$C$58,CONCATENATE("PX391=", $BV$53), CONCATENATE("PX392=",$BV$54), CONCATENATE("DS004=",$B$46), "Fill=B")</f>
        <v>209</v>
      </c>
      <c r="BW58">
        <f ca="1">_xll.BDP($B$58,$C$58,CONCATENATE("PX391=", $BW$53), CONCATENATE("PX392=",$BW$54), CONCATENATE("DS004=",$B$46), "Fill=B")</f>
        <v>204</v>
      </c>
      <c r="BX58">
        <f ca="1">_xll.BDP($B$58,$C$58,CONCATENATE("PX391=", $BX$53), CONCATENATE("PX392=",$BX$54), CONCATENATE("DS004=",$B$46), "Fill=B")</f>
        <v>236</v>
      </c>
      <c r="BY58">
        <f ca="1">_xll.BDP($B$58,$C$58,CONCATENATE("PX391=", $BY$53), CONCATENATE("PX392=",$BY$54), CONCATENATE("DS004=",$B$46), "Fill=B")</f>
        <v>183</v>
      </c>
      <c r="BZ58">
        <f ca="1">_xll.BDP($B$58,$C$58,CONCATENATE("PX391=", $BZ$53), CONCATENATE("PX392=",$BZ$54), CONCATENATE("DS004=",$B$46), "Fill=B")</f>
        <v>203</v>
      </c>
      <c r="CA58">
        <f ca="1">_xll.BDP($B$58,$C$58,CONCATENATE("PX391=", $CA$53), CONCATENATE("PX392=",$CA$54), CONCATENATE("DS004=",$B$46), "Fill=B")</f>
        <v>200</v>
      </c>
      <c r="CB58">
        <f ca="1">_xll.BDP($B$58,$C$58,CONCATENATE("PX391=", $CB$53), CONCATENATE("PX392=",$CB$54), CONCATENATE("DS004=",$B$46), "Fill=B")</f>
        <v>200</v>
      </c>
      <c r="CC58">
        <f ca="1">_xll.BDP($B$58,$C$58,CONCATENATE("PX391=", $CC$53), CONCATENATE("PX392=",$CC$54), CONCATENATE("DS004=",$B$46), "Fill=B")</f>
        <v>216</v>
      </c>
      <c r="CD58">
        <f ca="1">_xll.BDP($B$58,$C$58,CONCATENATE("PX391=", $CD$53), CONCATENATE("PX392=",$CD$54), CONCATENATE("DS004=",$B$46), "Fill=B")</f>
        <v>218</v>
      </c>
      <c r="CE58">
        <f ca="1">_xll.BDP($B$58,$C$58,CONCATENATE("PX391=", $CE$53), CONCATENATE("PX392=",$CE$54), CONCATENATE("DS004=",$B$46), "Fill=B")</f>
        <v>214</v>
      </c>
      <c r="CF58">
        <f ca="1">_xll.BDP($B$58,$C$58,CONCATENATE("PX391=", $CF$53), CONCATENATE("PX392=",$CF$54), CONCATENATE("DS004=",$B$46), "Fill=B")</f>
        <v>227</v>
      </c>
      <c r="CG58">
        <f ca="1">_xll.BDP($B$58,$C$58,CONCATENATE("PX391=", $CG$53), CONCATENATE("PX392=",$CG$54), CONCATENATE("DS004=",$B$46), "Fill=B")</f>
        <v>202</v>
      </c>
      <c r="CH58">
        <f ca="1">_xll.BDP($B$58,$C$58,CONCATENATE("PX391=", $CH$53), CONCATENATE("PX392=",$CH$54), CONCATENATE("DS004=",$B$46), "Fill=B")</f>
        <v>200</v>
      </c>
      <c r="CI58">
        <f ca="1">_xll.BDP($B$58,$C$58,CONCATENATE("PX391=", $CI$53), CONCATENATE("PX392=",$CI$54), CONCATENATE("DS004=",$B$46), "Fill=B")</f>
        <v>176</v>
      </c>
      <c r="CJ58">
        <f ca="1">_xll.BDP($B$58,$C$58,CONCATENATE("PX391=", $CJ$53), CONCATENATE("PX392=",$CJ$54), CONCATENATE("DS004=",$B$46), "Fill=B")</f>
        <v>214</v>
      </c>
      <c r="CK58">
        <f ca="1">_xll.BDP($B$58,$C$58,CONCATENATE("PX391=", $CK$53), CONCATENATE("PX392=",$CK$54), CONCATENATE("DS004=",$B$46), "Fill=B")</f>
        <v>168</v>
      </c>
      <c r="CL58" t="str">
        <f>""</f>
        <v/>
      </c>
      <c r="CM58" t="str">
        <f>""</f>
        <v/>
      </c>
      <c r="CN58" t="str">
        <f>""</f>
        <v/>
      </c>
      <c r="CO58" t="str">
        <f>""</f>
        <v/>
      </c>
      <c r="CP58" t="str">
        <f>""</f>
        <v/>
      </c>
      <c r="CQ58" t="str">
        <f>""</f>
        <v/>
      </c>
      <c r="CR58" t="str">
        <f>""</f>
        <v/>
      </c>
      <c r="CS58" t="str">
        <f>""</f>
        <v/>
      </c>
      <c r="CT58" t="str">
        <f>""</f>
        <v/>
      </c>
      <c r="CU58" t="str">
        <f>""</f>
        <v/>
      </c>
      <c r="CV58" t="str">
        <f>""</f>
        <v/>
      </c>
      <c r="CW58" t="str">
        <f>""</f>
        <v/>
      </c>
      <c r="CX58" t="str">
        <f>""</f>
        <v/>
      </c>
      <c r="CY58" t="str">
        <f>""</f>
        <v/>
      </c>
      <c r="CZ58" t="str">
        <f>""</f>
        <v/>
      </c>
      <c r="DA58" t="str">
        <f>""</f>
        <v/>
      </c>
      <c r="DB58" t="str">
        <f>""</f>
        <v/>
      </c>
      <c r="DC58" t="str">
        <f>""</f>
        <v/>
      </c>
      <c r="DD58" t="str">
        <f>""</f>
        <v/>
      </c>
      <c r="DE58" t="str">
        <f>""</f>
        <v/>
      </c>
      <c r="DF58" t="str">
        <f>""</f>
        <v/>
      </c>
      <c r="DG58" t="str">
        <f>""</f>
        <v/>
      </c>
      <c r="DH58" t="str">
        <f>""</f>
        <v/>
      </c>
      <c r="DI58" t="str">
        <f>""</f>
        <v/>
      </c>
      <c r="DJ58" t="str">
        <f>""</f>
        <v/>
      </c>
      <c r="DK58" t="str">
        <f>""</f>
        <v/>
      </c>
      <c r="DL58" t="str">
        <f>""</f>
        <v/>
      </c>
      <c r="DM58" t="str">
        <f>""</f>
        <v/>
      </c>
      <c r="DN58" t="str">
        <f>""</f>
        <v/>
      </c>
      <c r="DO58" t="str">
        <f>""</f>
        <v/>
      </c>
      <c r="DP58" t="str">
        <f>""</f>
        <v/>
      </c>
      <c r="DQ58" t="str">
        <f>""</f>
        <v/>
      </c>
      <c r="DR58" t="str">
        <f>""</f>
        <v/>
      </c>
      <c r="DS58" t="str">
        <f>""</f>
        <v/>
      </c>
      <c r="DT58" t="str">
        <f>""</f>
        <v/>
      </c>
      <c r="DU58" t="str">
        <f>""</f>
        <v/>
      </c>
      <c r="DV58" t="str">
        <f>""</f>
        <v/>
      </c>
      <c r="DW58" t="str">
        <f>""</f>
        <v/>
      </c>
      <c r="DX58" t="str">
        <f>""</f>
        <v/>
      </c>
      <c r="DY58" t="str">
        <f>""</f>
        <v/>
      </c>
      <c r="DZ58" t="str">
        <f>""</f>
        <v/>
      </c>
      <c r="EA58" t="str">
        <f>""</f>
        <v/>
      </c>
      <c r="EB58" t="str">
        <f>""</f>
        <v/>
      </c>
      <c r="EC58" t="str">
        <f>""</f>
        <v/>
      </c>
      <c r="ED58" t="str">
        <f>""</f>
        <v/>
      </c>
      <c r="EE58" t="str">
        <f>""</f>
        <v/>
      </c>
      <c r="EF58" t="str">
        <f>""</f>
        <v/>
      </c>
      <c r="EG58" t="str">
        <f>""</f>
        <v/>
      </c>
      <c r="EH58" t="str">
        <f>""</f>
        <v/>
      </c>
      <c r="EI58" t="str">
        <f>""</f>
        <v/>
      </c>
      <c r="EJ58" t="str">
        <f>""</f>
        <v/>
      </c>
      <c r="EK58" t="str">
        <f>""</f>
        <v/>
      </c>
      <c r="EL58" t="str">
        <f>""</f>
        <v/>
      </c>
      <c r="EM58" t="str">
        <f>""</f>
        <v/>
      </c>
      <c r="EN58" t="str">
        <f>""</f>
        <v/>
      </c>
      <c r="EO58" t="str">
        <f>""</f>
        <v/>
      </c>
      <c r="EP58" t="str">
        <f>""</f>
        <v/>
      </c>
      <c r="EQ58" t="str">
        <f>""</f>
        <v/>
      </c>
      <c r="ER58" t="str">
        <f>""</f>
        <v/>
      </c>
      <c r="ES58" t="str">
        <f>""</f>
        <v/>
      </c>
      <c r="ET58" t="str">
        <f>""</f>
        <v/>
      </c>
      <c r="EU58" t="str">
        <f>""</f>
        <v/>
      </c>
      <c r="EV58" t="str">
        <f>""</f>
        <v/>
      </c>
      <c r="EW58" t="str">
        <f>""</f>
        <v/>
      </c>
      <c r="EX58" t="str">
        <f>""</f>
        <v/>
      </c>
      <c r="EY58" t="str">
        <f>""</f>
        <v/>
      </c>
      <c r="EZ58" t="str">
        <f>""</f>
        <v/>
      </c>
      <c r="FA58" t="str">
        <f>""</f>
        <v/>
      </c>
      <c r="FB58" t="str">
        <f>""</f>
        <v/>
      </c>
      <c r="FC58" t="str">
        <f>""</f>
        <v/>
      </c>
      <c r="FD58" t="str">
        <f>""</f>
        <v/>
      </c>
      <c r="FE58" t="str">
        <f>""</f>
        <v/>
      </c>
      <c r="FF58" t="str">
        <f>""</f>
        <v/>
      </c>
      <c r="FG58" t="str">
        <f>""</f>
        <v/>
      </c>
      <c r="FH58" t="str">
        <f>""</f>
        <v/>
      </c>
      <c r="FI58" t="str">
        <f>""</f>
        <v/>
      </c>
      <c r="FJ58" t="str">
        <f>""</f>
        <v/>
      </c>
      <c r="FK58" t="str">
        <f>""</f>
        <v/>
      </c>
      <c r="FL58" t="str">
        <f>""</f>
        <v/>
      </c>
      <c r="FM58" t="str">
        <f>""</f>
        <v/>
      </c>
      <c r="FN58" t="str">
        <f>""</f>
        <v/>
      </c>
      <c r="FO58" t="str">
        <f>""</f>
        <v/>
      </c>
      <c r="FP58" t="str">
        <f>""</f>
        <v/>
      </c>
      <c r="FQ58" t="str">
        <f>""</f>
        <v/>
      </c>
    </row>
    <row r="59" spans="1:173" x14ac:dyDescent="0.25">
      <c r="A59" t="str">
        <f>$A$4</f>
        <v xml:space="preserve">    Singapore Port Container Throughput (000 TEU)</v>
      </c>
      <c r="B59" t="str">
        <f>$B$4</f>
        <v>SICTTOTL Index</v>
      </c>
      <c r="C59" t="str">
        <f>$C$4</f>
        <v>PX385</v>
      </c>
      <c r="D59" t="str">
        <f>$D$4</f>
        <v>INTERVAL_SUM</v>
      </c>
      <c r="E59" t="str">
        <f>$E$4</f>
        <v>Dynamic</v>
      </c>
      <c r="F59" t="str">
        <f ca="1">_xll.BDP($B$4,$C$4,CONCATENATE("PX391=", $F$53), CONCATENATE("PX392=",$F$54), CONCATENATE("DS004=",$B$46), "Fill=B")</f>
        <v/>
      </c>
      <c r="G59" t="str">
        <f ca="1">_xll.BDP($B$4,$C$4,CONCATENATE("PX391=", $G$53), CONCATENATE("PX392=",$G$54), CONCATENATE("DS004=",$B$46), "Fill=B")</f>
        <v/>
      </c>
      <c r="H59">
        <f ca="1">_xll.BDP($B$4,$C$4,CONCATENATE("PX391=", $H$53), CONCATENATE("PX392=",$H$54), CONCATENATE("DS004=",$B$46), "Fill=B")</f>
        <v>3206.7</v>
      </c>
      <c r="I59">
        <f ca="1">_xll.BDP($B$4,$C$4,CONCATENATE("PX391=", $I$53), CONCATENATE("PX392=",$I$54), CONCATENATE("DS004=",$B$46), "Fill=B")</f>
        <v>3328.4</v>
      </c>
      <c r="J59">
        <f ca="1">_xll.BDP($B$4,$C$4,CONCATENATE("PX391=", $J$53), CONCATENATE("PX392=",$J$54), CONCATENATE("DS004=",$B$46), "Fill=B")</f>
        <v>3431.3</v>
      </c>
      <c r="K59">
        <f ca="1">_xll.BDP($B$4,$C$4,CONCATENATE("PX391=", $K$53), CONCATENATE("PX392=",$K$54), CONCATENATE("DS004=",$B$46), "Fill=B")</f>
        <v>3345.6</v>
      </c>
      <c r="L59">
        <f ca="1">_xll.BDP($B$4,$C$4,CONCATENATE("PX391=", $L$53), CONCATENATE("PX392=",$L$54), CONCATENATE("DS004=",$B$46), "Fill=B")</f>
        <v>3409.7</v>
      </c>
      <c r="M59">
        <f ca="1">_xll.BDP($B$4,$C$4,CONCATENATE("PX391=", $M$53), CONCATENATE("PX392=",$M$54), CONCATENATE("DS004=",$B$46), "Fill=B")</f>
        <v>3264.7</v>
      </c>
      <c r="N59">
        <f ca="1">_xll.BDP($B$4,$C$4,CONCATENATE("PX391=", $N$53), CONCATENATE("PX392=",$N$54), CONCATENATE("DS004=",$B$46), "Fill=B")</f>
        <v>3335.5</v>
      </c>
      <c r="O59">
        <f ca="1">_xll.BDP($B$4,$C$4,CONCATENATE("PX391=", $O$53), CONCATENATE("PX392=",$O$54), CONCATENATE("DS004=",$B$46), "Fill=B")</f>
        <v>2684.4</v>
      </c>
      <c r="P59">
        <f ca="1">_xll.BDP($B$4,$C$4,CONCATENATE("PX391=", $P$53), CONCATENATE("PX392=",$P$54), CONCATENATE("DS004=",$B$46), "Fill=B")</f>
        <v>2989.5</v>
      </c>
      <c r="Q59">
        <f ca="1">_xll.BDP($B$4,$C$4,CONCATENATE("PX391=", $Q$53), CONCATENATE("PX392=",$Q$54), CONCATENATE("DS004=",$B$46), "Fill=B")</f>
        <v>3252.9</v>
      </c>
      <c r="R59">
        <f ca="1">_xll.BDP($B$4,$C$4,CONCATENATE("PX391=", $R$53), CONCATENATE("PX392=",$R$54), CONCATENATE("DS004=",$B$46), "Fill=B")</f>
        <v>2955.5</v>
      </c>
      <c r="S59">
        <f ca="1">_xll.BDP($B$4,$C$4,CONCATENATE("PX391=", $S$53), CONCATENATE("PX392=",$S$54), CONCATENATE("DS004=",$B$46), "Fill=B")</f>
        <v>3061.8</v>
      </c>
      <c r="T59">
        <f ca="1">_xll.BDP($B$4,$C$4,CONCATENATE("PX391=", $T$53), CONCATENATE("PX392=",$T$54), CONCATENATE("DS004=",$B$46), "Fill=B")</f>
        <v>3063.8</v>
      </c>
      <c r="U59">
        <f ca="1">_xll.BDP($B$4,$C$4,CONCATENATE("PX391=", $U$53), CONCATENATE("PX392=",$U$54), CONCATENATE("DS004=",$B$46), "Fill=B")</f>
        <v>3262.3</v>
      </c>
      <c r="V59">
        <f ca="1">_xll.BDP($B$4,$C$4,CONCATENATE("PX391=", $V$53), CONCATENATE("PX392=",$V$54), CONCATENATE("DS004=",$B$46), "Fill=B")</f>
        <v>3286.3</v>
      </c>
      <c r="W59">
        <f ca="1">_xll.BDP($B$4,$C$4,CONCATENATE("PX391=", $W$53), CONCATENATE("PX392=",$W$54), CONCATENATE("DS004=",$B$46), "Fill=B")</f>
        <v>3166.2</v>
      </c>
      <c r="X59">
        <f ca="1">_xll.BDP($B$4,$C$4,CONCATENATE("PX391=", $X$53), CONCATENATE("PX392=",$X$54), CONCATENATE("DS004=",$B$46), "Fill=B")</f>
        <v>3122</v>
      </c>
      <c r="Y59">
        <f ca="1">_xll.BDP($B$4,$C$4,CONCATENATE("PX391=", $Y$53), CONCATENATE("PX392=",$Y$54), CONCATENATE("DS004=",$B$46), "Fill=B")</f>
        <v>3042</v>
      </c>
      <c r="Z59">
        <f ca="1">_xll.BDP($B$4,$C$4,CONCATENATE("PX391=", $Z$53), CONCATENATE("PX392=",$Z$54), CONCATENATE("DS004=",$B$46), "Fill=B")</f>
        <v>3089.5</v>
      </c>
      <c r="AA59">
        <f ca="1">_xll.BDP($B$4,$C$4,CONCATENATE("PX391=", $AA$53), CONCATENATE("PX392=",$AA$54), CONCATENATE("DS004=",$B$46), "Fill=B")</f>
        <v>2843.5</v>
      </c>
      <c r="AB59">
        <f ca="1">_xll.BDP($B$4,$C$4,CONCATENATE("PX391=", $AB$53), CONCATENATE("PX392=",$AB$54), CONCATENATE("DS004=",$B$46), "Fill=B")</f>
        <v>3143.7</v>
      </c>
      <c r="AC59">
        <f ca="1">_xll.BDP($B$4,$C$4,CONCATENATE("PX391=", $AC$53), CONCATENATE("PX392=",$AC$54), CONCATENATE("DS004=",$B$46), "Fill=B")</f>
        <v>3292.2</v>
      </c>
      <c r="AD59">
        <f ca="1">_xll.BDP($B$4,$C$4,CONCATENATE("PX391=", $AD$53), CONCATENATE("PX392=",$AD$54), CONCATENATE("DS004=",$B$46), "Fill=B")</f>
        <v>3150</v>
      </c>
      <c r="AE59">
        <f ca="1">_xll.BDP($B$4,$C$4,CONCATENATE("PX391=", $AE$53), CONCATENATE("PX392=",$AE$54), CONCATENATE("DS004=",$B$46), "Fill=B")</f>
        <v>2974.9</v>
      </c>
      <c r="AF59">
        <f ca="1">_xll.BDP($B$4,$C$4,CONCATENATE("PX391=", $AF$53), CONCATENATE("PX392=",$AF$54), CONCATENATE("DS004=",$B$46), "Fill=B")</f>
        <v>3117.4</v>
      </c>
      <c r="AG59">
        <f ca="1">_xll.BDP($B$4,$C$4,CONCATENATE("PX391=", $AG$53), CONCATENATE("PX392=",$AG$54), CONCATENATE("DS004=",$B$46), "Fill=B")</f>
        <v>3182.3</v>
      </c>
      <c r="AH59">
        <f ca="1">_xll.BDP($B$4,$C$4,CONCATENATE("PX391=", $AH$53), CONCATENATE("PX392=",$AH$54), CONCATENATE("DS004=",$B$46), "Fill=B")</f>
        <v>3123.6</v>
      </c>
      <c r="AI59">
        <f ca="1">_xll.BDP($B$4,$C$4,CONCATENATE("PX391=", $AI$53), CONCATENATE("PX392=",$AI$54), CONCATENATE("DS004=",$B$46), "Fill=B")</f>
        <v>3114.5</v>
      </c>
      <c r="AJ59">
        <f ca="1">_xll.BDP($B$4,$C$4,CONCATENATE("PX391=", $AJ$53), CONCATENATE("PX392=",$AJ$54), CONCATENATE("DS004=",$B$46), "Fill=B")</f>
        <v>3216.9</v>
      </c>
      <c r="AK59">
        <f ca="1">_xll.BDP($B$4,$C$4,CONCATENATE("PX391=", $AK$53), CONCATENATE("PX392=",$AK$54), CONCATENATE("DS004=",$B$46), "Fill=B")</f>
        <v>3091.3</v>
      </c>
      <c r="AL59">
        <f ca="1">_xll.BDP($B$4,$C$4,CONCATENATE("PX391=", $AL$53), CONCATENATE("PX392=",$AL$54), CONCATENATE("DS004=",$B$46), "Fill=B")</f>
        <v>3270.6</v>
      </c>
      <c r="AM59">
        <f ca="1">_xll.BDP($B$4,$C$4,CONCATENATE("PX391=", $AM$53), CONCATENATE("PX392=",$AM$54), CONCATENATE("DS004=",$B$46), "Fill=B")</f>
        <v>2881.6</v>
      </c>
      <c r="AN59">
        <f ca="1">_xll.BDP($B$4,$C$4,CONCATENATE("PX391=", $AN$53), CONCATENATE("PX392=",$AN$54), CONCATENATE("DS004=",$B$46), "Fill=B")</f>
        <v>3156</v>
      </c>
      <c r="AO59">
        <f ca="1">_xll.BDP($B$4,$C$4,CONCATENATE("PX391=", $AO$53), CONCATENATE("PX392=",$AO$54), CONCATENATE("DS004=",$B$46), "Fill=B")</f>
        <v>3261.8</v>
      </c>
      <c r="AP59">
        <f ca="1">_xll.BDP($B$4,$C$4,CONCATENATE("PX391=", $AP$53), CONCATENATE("PX392=",$AP$54), CONCATENATE("DS004=",$B$46), "Fill=B")</f>
        <v>3134.6</v>
      </c>
      <c r="AQ59">
        <f ca="1">_xll.BDP($B$4,$C$4,CONCATENATE("PX391=", $AQ$53), CONCATENATE("PX392=",$AQ$54), CONCATENATE("DS004=",$B$46), "Fill=B")</f>
        <v>3238.7</v>
      </c>
      <c r="AR59">
        <f ca="1">_xll.BDP($B$4,$C$4,CONCATENATE("PX391=", $AR$53), CONCATENATE("PX392=",$AR$54), CONCATENATE("DS004=",$B$46), "Fill=B")</f>
        <v>3207.7</v>
      </c>
      <c r="AS59">
        <f ca="1">_xll.BDP($B$4,$C$4,CONCATENATE("PX391=", $AS$53), CONCATENATE("PX392=",$AS$54), CONCATENATE("DS004=",$B$46), "Fill=B")</f>
        <v>3174.7</v>
      </c>
      <c r="AT59">
        <f ca="1">_xll.BDP($B$4,$C$4,CONCATENATE("PX391=", $AT$53), CONCATENATE("PX392=",$AT$54), CONCATENATE("DS004=",$B$46), "Fill=B")</f>
        <v>3016.3</v>
      </c>
      <c r="AU59">
        <f ca="1">_xll.BDP($B$4,$C$4,CONCATENATE("PX391=", $AU$53), CONCATENATE("PX392=",$AU$54), CONCATENATE("DS004=",$B$46), "Fill=B")</f>
        <v>2907.7</v>
      </c>
      <c r="AV59">
        <f ca="1">_xll.BDP($B$4,$C$4,CONCATENATE("PX391=", $AV$53), CONCATENATE("PX392=",$AV$54), CONCATENATE("DS004=",$B$46), "Fill=B")</f>
        <v>2806.7</v>
      </c>
      <c r="AW59">
        <f ca="1">_xll.BDP($B$4,$C$4,CONCATENATE("PX391=", $AW$53), CONCATENATE("PX392=",$AW$54), CONCATENATE("DS004=",$B$46), "Fill=B")</f>
        <v>2843.5</v>
      </c>
      <c r="AX59">
        <f ca="1">_xll.BDP($B$4,$C$4,CONCATENATE("PX391=", $AX$53), CONCATENATE("PX392=",$AX$54), CONCATENATE("DS004=",$B$46), "Fill=B")</f>
        <v>3197.9</v>
      </c>
      <c r="AY59">
        <f ca="1">_xll.BDP($B$4,$C$4,CONCATENATE("PX391=", $AY$53), CONCATENATE("PX392=",$AY$54), CONCATENATE("DS004=",$B$46), "Fill=B")</f>
        <v>2898.7</v>
      </c>
      <c r="AZ59">
        <f ca="1">_xll.BDP($B$4,$C$4,CONCATENATE("PX391=", $AZ$53), CONCATENATE("PX392=",$AZ$54), CONCATENATE("DS004=",$B$46), "Fill=B")</f>
        <v>3182.6</v>
      </c>
      <c r="BA59">
        <f ca="1">_xll.BDP($B$4,$C$4,CONCATENATE("PX391=", $BA$53), CONCATENATE("PX392=",$BA$54), CONCATENATE("DS004=",$B$46), "Fill=B")</f>
        <v>3200.2</v>
      </c>
      <c r="BB59">
        <f ca="1">_xll.BDP($B$4,$C$4,CONCATENATE("PX391=", $BB$53), CONCATENATE("PX392=",$BB$54), CONCATENATE("DS004=",$B$46), "Fill=B")</f>
        <v>3267.7</v>
      </c>
      <c r="BC59">
        <f ca="1">_xll.BDP($B$4,$C$4,CONCATENATE("PX391=", $BC$53), CONCATENATE("PX392=",$BC$54), CONCATENATE("DS004=",$B$46), "Fill=B")</f>
        <v>3234.4</v>
      </c>
      <c r="BD59">
        <f ca="1">_xll.BDP($B$4,$C$4,CONCATENATE("PX391=", $BD$53), CONCATENATE("PX392=",$BD$54), CONCATENATE("DS004=",$B$46), "Fill=B")</f>
        <v>3093.9</v>
      </c>
      <c r="BE59">
        <f ca="1">_xll.BDP($B$4,$C$4,CONCATENATE("PX391=", $BE$53), CONCATENATE("PX392=",$BE$54), CONCATENATE("DS004=",$B$46), "Fill=B")</f>
        <v>3133.7</v>
      </c>
      <c r="BF59">
        <f ca="1">_xll.BDP($B$4,$C$4,CONCATENATE("PX391=", $BF$53), CONCATENATE("PX392=",$BF$54), CONCATENATE("DS004=",$B$46), "Fill=B")</f>
        <v>3235.4</v>
      </c>
      <c r="BG59">
        <f ca="1">_xll.BDP($B$4,$C$4,CONCATENATE("PX391=", $BG$53), CONCATENATE("PX392=",$BG$54), CONCATENATE("DS004=",$B$46), "Fill=B")</f>
        <v>2997</v>
      </c>
      <c r="BH59">
        <f ca="1">_xll.BDP($B$4,$C$4,CONCATENATE("PX391=", $BH$53), CONCATENATE("PX392=",$BH$54), CONCATENATE("DS004=",$B$46), "Fill=B")</f>
        <v>3137.8</v>
      </c>
      <c r="BI59">
        <f ca="1">_xll.BDP($B$4,$C$4,CONCATENATE("PX391=", $BI$53), CONCATENATE("PX392=",$BI$54), CONCATENATE("DS004=",$B$46), "Fill=B")</f>
        <v>2992.1</v>
      </c>
      <c r="BJ59">
        <f ca="1">_xll.BDP($B$4,$C$4,CONCATENATE("PX391=", $BJ$53), CONCATENATE("PX392=",$BJ$54), CONCATENATE("DS004=",$B$46), "Fill=B")</f>
        <v>3163.9</v>
      </c>
      <c r="BK59">
        <f ca="1">_xll.BDP($B$4,$C$4,CONCATENATE("PX391=", $BK$53), CONCATENATE("PX392=",$BK$54), CONCATENATE("DS004=",$B$46), "Fill=B")</f>
        <v>2740.5</v>
      </c>
      <c r="BL59">
        <f ca="1">_xll.BDP($B$4,$C$4,CONCATENATE("PX391=", $BL$53), CONCATENATE("PX392=",$BL$54), CONCATENATE("DS004=",$B$46), "Fill=B")</f>
        <v>2999.1</v>
      </c>
      <c r="BM59">
        <f ca="1">_xll.BDP($B$4,$C$4,CONCATENATE("PX391=", $BM$53), CONCATENATE("PX392=",$BM$54), CONCATENATE("DS004=",$B$46), "Fill=B")</f>
        <v>3131.3</v>
      </c>
      <c r="BN59">
        <f ca="1">_xll.BDP($B$4,$C$4,CONCATENATE("PX391=", $BN$53), CONCATENATE("PX392=",$BN$54), CONCATENATE("DS004=",$B$46), "Fill=B")</f>
        <v>3014.7</v>
      </c>
      <c r="BO59">
        <f ca="1">_xll.BDP($B$4,$C$4,CONCATENATE("PX391=", $BO$53), CONCATENATE("PX392=",$BO$54), CONCATENATE("DS004=",$B$46), "Fill=B")</f>
        <v>3153.1</v>
      </c>
      <c r="BP59">
        <f ca="1">_xll.BDP($B$4,$C$4,CONCATENATE("PX391=", $BP$53), CONCATENATE("PX392=",$BP$54), CONCATENATE("DS004=",$B$46), "Fill=B")</f>
        <v>2988.9</v>
      </c>
      <c r="BQ59">
        <f ca="1">_xll.BDP($B$4,$C$4,CONCATENATE("PX391=", $BQ$53), CONCATENATE("PX392=",$BQ$54), CONCATENATE("DS004=",$B$46), "Fill=B")</f>
        <v>3156.3</v>
      </c>
      <c r="BR59">
        <f ca="1">_xll.BDP($B$4,$C$4,CONCATENATE("PX391=", $BR$53), CONCATENATE("PX392=",$BR$54), CONCATENATE("DS004=",$B$46), "Fill=B")</f>
        <v>3133.5</v>
      </c>
      <c r="BS59">
        <f ca="1">_xll.BDP($B$4,$C$4,CONCATENATE("PX391=", $BS$53), CONCATENATE("PX392=",$BS$54), CONCATENATE("DS004=",$B$46), "Fill=B")</f>
        <v>3058.7</v>
      </c>
      <c r="BT59">
        <f ca="1">_xll.BDP($B$4,$C$4,CONCATENATE("PX391=", $BT$53), CONCATENATE("PX392=",$BT$54), CONCATENATE("DS004=",$B$46), "Fill=B")</f>
        <v>3182.8</v>
      </c>
      <c r="BU59">
        <f ca="1">_xll.BDP($B$4,$C$4,CONCATENATE("PX391=", $BU$53), CONCATENATE("PX392=",$BU$54), CONCATENATE("DS004=",$B$46), "Fill=B")</f>
        <v>2915.3</v>
      </c>
      <c r="BV59">
        <f ca="1">_xll.BDP($B$4,$C$4,CONCATENATE("PX391=", $BV$53), CONCATENATE("PX392=",$BV$54), CONCATENATE("DS004=",$B$46), "Fill=B")</f>
        <v>3048.8</v>
      </c>
      <c r="BW59">
        <f ca="1">_xll.BDP($B$4,$C$4,CONCATENATE("PX391=", $BW$53), CONCATENATE("PX392=",$BW$54), CONCATENATE("DS004=",$B$46), "Fill=B")</f>
        <v>2822.9</v>
      </c>
      <c r="BX59">
        <f ca="1">_xll.BDP($B$4,$C$4,CONCATENATE("PX391=", $BX$53), CONCATENATE("PX392=",$BX$54), CONCATENATE("DS004=",$B$46), "Fill=B")</f>
        <v>2992.9</v>
      </c>
      <c r="BY59">
        <f ca="1">_xll.BDP($B$4,$C$4,CONCATENATE("PX391=", $BY$53), CONCATENATE("PX392=",$BY$54), CONCATENATE("DS004=",$B$46), "Fill=B")</f>
        <v>2958.1</v>
      </c>
      <c r="BZ59">
        <f ca="1">_xll.BDP($B$4,$C$4,CONCATENATE("PX391=", $BZ$53), CONCATENATE("PX392=",$BZ$54), CONCATENATE("DS004=",$B$46), "Fill=B")</f>
        <v>2977.1</v>
      </c>
      <c r="CA59">
        <f ca="1">_xll.BDP($B$4,$C$4,CONCATENATE("PX391=", $CA$53), CONCATENATE("PX392=",$CA$54), CONCATENATE("DS004=",$B$46), "Fill=B")</f>
        <v>2957.1</v>
      </c>
      <c r="CB59">
        <f ca="1">_xll.BDP($B$4,$C$4,CONCATENATE("PX391=", $CB$53), CONCATENATE("PX392=",$CB$54), CONCATENATE("DS004=",$B$46), "Fill=B")</f>
        <v>2800</v>
      </c>
      <c r="CC59">
        <f ca="1">_xll.BDP($B$4,$C$4,CONCATENATE("PX391=", $CC$53), CONCATENATE("PX392=",$CC$54), CONCATENATE("DS004=",$B$46), "Fill=B")</f>
        <v>2947.4</v>
      </c>
      <c r="CD59">
        <f ca="1">_xll.BDP($B$4,$C$4,CONCATENATE("PX391=", $CD$53), CONCATENATE("PX392=",$CD$54), CONCATENATE("DS004=",$B$46), "Fill=B")</f>
        <v>2877</v>
      </c>
      <c r="CE59">
        <f ca="1">_xll.BDP($B$4,$C$4,CONCATENATE("PX391=", $CE$53), CONCATENATE("PX392=",$CE$54), CONCATENATE("DS004=",$B$46), "Fill=B")</f>
        <v>2822.4</v>
      </c>
      <c r="CF59">
        <f ca="1">_xll.BDP($B$4,$C$4,CONCATENATE("PX391=", $CF$53), CONCATENATE("PX392=",$CF$54), CONCATENATE("DS004=",$B$46), "Fill=B")</f>
        <v>2990.9</v>
      </c>
      <c r="CG59">
        <f ca="1">_xll.BDP($B$4,$C$4,CONCATENATE("PX391=", $CG$53), CONCATENATE("PX392=",$CG$54), CONCATENATE("DS004=",$B$46), "Fill=B")</f>
        <v>2724.4</v>
      </c>
      <c r="CH59">
        <f ca="1">_xll.BDP($B$4,$C$4,CONCATENATE("PX391=", $CH$53), CONCATENATE("PX392=",$CH$54), CONCATENATE("DS004=",$B$46), "Fill=B")</f>
        <v>2691.6</v>
      </c>
      <c r="CI59">
        <f ca="1">_xll.BDP($B$4,$C$4,CONCATENATE("PX391=", $CI$53), CONCATENATE("PX392=",$CI$54), CONCATENATE("DS004=",$B$46), "Fill=B")</f>
        <v>2297.1999999999998</v>
      </c>
      <c r="CJ59">
        <f ca="1">_xll.BDP($B$4,$C$4,CONCATENATE("PX391=", $CJ$53), CONCATENATE("PX392=",$CJ$54), CONCATENATE("DS004=",$B$46), "Fill=B")</f>
        <v>2623.3</v>
      </c>
      <c r="CK59">
        <f ca="1">_xll.BDP($B$4,$C$4,CONCATENATE("PX391=", $CK$53), CONCATENATE("PX392=",$CK$54), CONCATENATE("DS004=",$B$46), "Fill=B")</f>
        <v>2765.5</v>
      </c>
      <c r="CL59" t="str">
        <f>""</f>
        <v/>
      </c>
      <c r="CM59" t="str">
        <f>""</f>
        <v/>
      </c>
      <c r="CN59" t="str">
        <f>""</f>
        <v/>
      </c>
      <c r="CO59" t="str">
        <f>""</f>
        <v/>
      </c>
      <c r="CP59" t="str">
        <f>""</f>
        <v/>
      </c>
      <c r="CQ59" t="str">
        <f>""</f>
        <v/>
      </c>
      <c r="CR59" t="str">
        <f>""</f>
        <v/>
      </c>
      <c r="CS59" t="str">
        <f>""</f>
        <v/>
      </c>
      <c r="CT59" t="str">
        <f>""</f>
        <v/>
      </c>
      <c r="CU59" t="str">
        <f>""</f>
        <v/>
      </c>
      <c r="CV59" t="str">
        <f>""</f>
        <v/>
      </c>
      <c r="CW59" t="str">
        <f>""</f>
        <v/>
      </c>
      <c r="CX59" t="str">
        <f>""</f>
        <v/>
      </c>
      <c r="CY59" t="str">
        <f>""</f>
        <v/>
      </c>
      <c r="CZ59" t="str">
        <f>""</f>
        <v/>
      </c>
      <c r="DA59" t="str">
        <f>""</f>
        <v/>
      </c>
      <c r="DB59" t="str">
        <f>""</f>
        <v/>
      </c>
      <c r="DC59" t="str">
        <f>""</f>
        <v/>
      </c>
      <c r="DD59" t="str">
        <f>""</f>
        <v/>
      </c>
      <c r="DE59" t="str">
        <f>""</f>
        <v/>
      </c>
      <c r="DF59" t="str">
        <f>""</f>
        <v/>
      </c>
      <c r="DG59" t="str">
        <f>""</f>
        <v/>
      </c>
      <c r="DH59" t="str">
        <f>""</f>
        <v/>
      </c>
      <c r="DI59" t="str">
        <f>""</f>
        <v/>
      </c>
      <c r="DJ59" t="str">
        <f>""</f>
        <v/>
      </c>
      <c r="DK59" t="str">
        <f>""</f>
        <v/>
      </c>
      <c r="DL59" t="str">
        <f>""</f>
        <v/>
      </c>
      <c r="DM59" t="str">
        <f>""</f>
        <v/>
      </c>
      <c r="DN59" t="str">
        <f>""</f>
        <v/>
      </c>
      <c r="DO59" t="str">
        <f>""</f>
        <v/>
      </c>
      <c r="DP59" t="str">
        <f>""</f>
        <v/>
      </c>
      <c r="DQ59" t="str">
        <f>""</f>
        <v/>
      </c>
      <c r="DR59" t="str">
        <f>""</f>
        <v/>
      </c>
      <c r="DS59" t="str">
        <f>""</f>
        <v/>
      </c>
      <c r="DT59" t="str">
        <f>""</f>
        <v/>
      </c>
      <c r="DU59" t="str">
        <f>""</f>
        <v/>
      </c>
      <c r="DV59" t="str">
        <f>""</f>
        <v/>
      </c>
      <c r="DW59" t="str">
        <f>""</f>
        <v/>
      </c>
      <c r="DX59" t="str">
        <f>""</f>
        <v/>
      </c>
      <c r="DY59" t="str">
        <f>""</f>
        <v/>
      </c>
      <c r="DZ59" t="str">
        <f>""</f>
        <v/>
      </c>
      <c r="EA59" t="str">
        <f>""</f>
        <v/>
      </c>
      <c r="EB59" t="str">
        <f>""</f>
        <v/>
      </c>
      <c r="EC59" t="str">
        <f>""</f>
        <v/>
      </c>
      <c r="ED59" t="str">
        <f>""</f>
        <v/>
      </c>
      <c r="EE59" t="str">
        <f>""</f>
        <v/>
      </c>
      <c r="EF59" t="str">
        <f>""</f>
        <v/>
      </c>
      <c r="EG59" t="str">
        <f>""</f>
        <v/>
      </c>
      <c r="EH59" t="str">
        <f>""</f>
        <v/>
      </c>
      <c r="EI59" t="str">
        <f>""</f>
        <v/>
      </c>
      <c r="EJ59" t="str">
        <f>""</f>
        <v/>
      </c>
      <c r="EK59" t="str">
        <f>""</f>
        <v/>
      </c>
      <c r="EL59" t="str">
        <f>""</f>
        <v/>
      </c>
      <c r="EM59" t="str">
        <f>""</f>
        <v/>
      </c>
      <c r="EN59" t="str">
        <f>""</f>
        <v/>
      </c>
      <c r="EO59" t="str">
        <f>""</f>
        <v/>
      </c>
      <c r="EP59" t="str">
        <f>""</f>
        <v/>
      </c>
      <c r="EQ59" t="str">
        <f>""</f>
        <v/>
      </c>
      <c r="ER59" t="str">
        <f>""</f>
        <v/>
      </c>
      <c r="ES59" t="str">
        <f>""</f>
        <v/>
      </c>
      <c r="ET59" t="str">
        <f>""</f>
        <v/>
      </c>
      <c r="EU59" t="str">
        <f>""</f>
        <v/>
      </c>
      <c r="EV59" t="str">
        <f>""</f>
        <v/>
      </c>
      <c r="EW59" t="str">
        <f>""</f>
        <v/>
      </c>
      <c r="EX59" t="str">
        <f>""</f>
        <v/>
      </c>
      <c r="EY59" t="str">
        <f>""</f>
        <v/>
      </c>
      <c r="EZ59" t="str">
        <f>""</f>
        <v/>
      </c>
      <c r="FA59" t="str">
        <f>""</f>
        <v/>
      </c>
      <c r="FB59" t="str">
        <f>""</f>
        <v/>
      </c>
      <c r="FC59" t="str">
        <f>""</f>
        <v/>
      </c>
      <c r="FD59" t="str">
        <f>""</f>
        <v/>
      </c>
      <c r="FE59" t="str">
        <f>""</f>
        <v/>
      </c>
      <c r="FF59" t="str">
        <f>""</f>
        <v/>
      </c>
      <c r="FG59" t="str">
        <f>""</f>
        <v/>
      </c>
      <c r="FH59" t="str">
        <f>""</f>
        <v/>
      </c>
      <c r="FI59" t="str">
        <f>""</f>
        <v/>
      </c>
      <c r="FJ59" t="str">
        <f>""</f>
        <v/>
      </c>
      <c r="FK59" t="str">
        <f>""</f>
        <v/>
      </c>
      <c r="FL59" t="str">
        <f>""</f>
        <v/>
      </c>
      <c r="FM59" t="str">
        <f>""</f>
        <v/>
      </c>
      <c r="FN59" t="str">
        <f>""</f>
        <v/>
      </c>
      <c r="FO59" t="str">
        <f>""</f>
        <v/>
      </c>
      <c r="FP59" t="str">
        <f>""</f>
        <v/>
      </c>
      <c r="FQ59" t="str">
        <f>""</f>
        <v/>
      </c>
    </row>
    <row r="60" spans="1:173" x14ac:dyDescent="0.25">
      <c r="A60" t="str">
        <f>$A$5</f>
        <v>Hong Kong Port Container Throughput (000 TEU)</v>
      </c>
      <c r="B60" t="str">
        <f>$B$5</f>
        <v>HKCCTTL Index</v>
      </c>
      <c r="C60" t="str">
        <f>$C$5</f>
        <v>PX385</v>
      </c>
      <c r="D60" t="str">
        <f>$D$5</f>
        <v>INTERVAL_SUM</v>
      </c>
      <c r="E60" t="str">
        <f>$E$5</f>
        <v>Dynamic</v>
      </c>
      <c r="F60" t="str">
        <f ca="1">_xll.BDP($B$5,$C$5,CONCATENATE("PX391=", $F$53), CONCATENATE("PX392=",$F$54), CONCATENATE("DS004=",$B$46), "Fill=B")</f>
        <v/>
      </c>
      <c r="G60" t="str">
        <f ca="1">_xll.BDP($B$5,$C$5,CONCATENATE("PX391=", $G$53), CONCATENATE("PX392=",$G$54), CONCATENATE("DS004=",$B$46), "Fill=B")</f>
        <v/>
      </c>
      <c r="H60">
        <f ca="1">_xll.BDP($B$5,$C$5,CONCATENATE("PX391=", $H$53), CONCATENATE("PX392=",$H$54), CONCATENATE("DS004=",$B$46), "Fill=B")</f>
        <v>1197</v>
      </c>
      <c r="I60">
        <f ca="1">_xll.BDP($B$5,$C$5,CONCATENATE("PX391=", $I$53), CONCATENATE("PX392=",$I$54), CONCATENATE("DS004=",$B$46), "Fill=B")</f>
        <v>1231</v>
      </c>
      <c r="J60">
        <f ca="1">_xll.BDP($B$5,$C$5,CONCATENATE("PX391=", $J$53), CONCATENATE("PX392=",$J$54), CONCATENATE("DS004=",$B$46), "Fill=B")</f>
        <v>1217</v>
      </c>
      <c r="K60">
        <f ca="1">_xll.BDP($B$5,$C$5,CONCATENATE("PX391=", $K$53), CONCATENATE("PX392=",$K$54), CONCATENATE("DS004=",$B$46), "Fill=B")</f>
        <v>1207</v>
      </c>
      <c r="L60">
        <f ca="1">_xll.BDP($B$5,$C$5,CONCATENATE("PX391=", $L$53), CONCATENATE("PX392=",$L$54), CONCATENATE("DS004=",$B$46), "Fill=B")</f>
        <v>1236</v>
      </c>
      <c r="M60">
        <f ca="1">_xll.BDP($B$5,$C$5,CONCATENATE("PX391=", $M$53), CONCATENATE("PX392=",$M$54), CONCATENATE("DS004=",$B$46), "Fill=B")</f>
        <v>1246</v>
      </c>
      <c r="N60">
        <f ca="1">_xll.BDP($B$5,$C$5,CONCATENATE("PX391=", $N$53), CONCATENATE("PX392=",$N$54), CONCATENATE("DS004=",$B$46), "Fill=B")</f>
        <v>1307</v>
      </c>
      <c r="O60">
        <f ca="1">_xll.BDP($B$5,$C$5,CONCATENATE("PX391=", $O$53), CONCATENATE("PX392=",$O$54), CONCATENATE("DS004=",$B$46), "Fill=B")</f>
        <v>1058</v>
      </c>
      <c r="P60">
        <f ca="1">_xll.BDP($B$5,$C$5,CONCATENATE("PX391=", $P$53), CONCATENATE("PX392=",$P$54), CONCATENATE("DS004=",$B$46), "Fill=B")</f>
        <v>1067</v>
      </c>
      <c r="Q60">
        <f ca="1">_xll.BDP($B$5,$C$5,CONCATENATE("PX391=", $Q$53), CONCATENATE("PX392=",$Q$54), CONCATENATE("DS004=",$B$46), "Fill=B")</f>
        <v>1410</v>
      </c>
      <c r="R60">
        <f ca="1">_xll.BDP($B$5,$C$5,CONCATENATE("PX391=", $R$53), CONCATENATE("PX392=",$R$54), CONCATENATE("DS004=",$B$46), "Fill=B")</f>
        <v>1359</v>
      </c>
      <c r="S60">
        <f ca="1">_xll.BDP($B$5,$C$5,CONCATENATE("PX391=", $S$53), CONCATENATE("PX392=",$S$54), CONCATENATE("DS004=",$B$46), "Fill=B")</f>
        <v>1280</v>
      </c>
      <c r="T60">
        <f ca="1">_xll.BDP($B$5,$C$5,CONCATENATE("PX391=", $T$53), CONCATENATE("PX392=",$T$54), CONCATENATE("DS004=",$B$46), "Fill=B")</f>
        <v>1392</v>
      </c>
      <c r="U60">
        <f ca="1">_xll.BDP($B$5,$C$5,CONCATENATE("PX391=", $U$53), CONCATENATE("PX392=",$U$54), CONCATENATE("DS004=",$B$46), "Fill=B")</f>
        <v>1359</v>
      </c>
      <c r="V60">
        <f ca="1">_xll.BDP($B$5,$C$5,CONCATENATE("PX391=", $V$53), CONCATENATE("PX392=",$V$54), CONCATENATE("DS004=",$B$46), "Fill=B")</f>
        <v>1458</v>
      </c>
      <c r="W60">
        <f ca="1">_xll.BDP($B$5,$C$5,CONCATENATE("PX391=", $W$53), CONCATENATE("PX392=",$W$54), CONCATENATE("DS004=",$B$46), "Fill=B")</f>
        <v>1588</v>
      </c>
      <c r="X60">
        <f ca="1">_xll.BDP($B$5,$C$5,CONCATENATE("PX391=", $X$53), CONCATENATE("PX392=",$X$54), CONCATENATE("DS004=",$B$46), "Fill=B")</f>
        <v>1519</v>
      </c>
      <c r="Y60">
        <f ca="1">_xll.BDP($B$5,$C$5,CONCATENATE("PX391=", $Y$53), CONCATENATE("PX392=",$Y$54), CONCATENATE("DS004=",$B$46), "Fill=B")</f>
        <v>1616</v>
      </c>
      <c r="Z60">
        <f ca="1">_xll.BDP($B$5,$C$5,CONCATENATE("PX391=", $Z$53), CONCATENATE("PX392=",$Z$54), CONCATENATE("DS004=",$B$46), "Fill=B")</f>
        <v>1434</v>
      </c>
      <c r="AA60">
        <f ca="1">_xll.BDP($B$5,$C$5,CONCATENATE("PX391=", $AA$53), CONCATENATE("PX392=",$AA$54), CONCATENATE("DS004=",$B$46), "Fill=B")</f>
        <v>1051</v>
      </c>
      <c r="AB60">
        <f ca="1">_xll.BDP($B$5,$C$5,CONCATENATE("PX391=", $AB$53), CONCATENATE("PX392=",$AB$54), CONCATENATE("DS004=",$B$46), "Fill=B")</f>
        <v>1221</v>
      </c>
      <c r="AC60">
        <f ca="1">_xll.BDP($B$5,$C$5,CONCATENATE("PX391=", $AC$53), CONCATENATE("PX392=",$AC$54), CONCATENATE("DS004=",$B$46), "Fill=B")</f>
        <v>1485</v>
      </c>
      <c r="AD60">
        <f ca="1">_xll.BDP($B$5,$C$5,CONCATENATE("PX391=", $AD$53), CONCATENATE("PX392=",$AD$54), CONCATENATE("DS004=",$B$46), "Fill=B")</f>
        <v>1546</v>
      </c>
      <c r="AE60">
        <f ca="1">_xll.BDP($B$5,$C$5,CONCATENATE("PX391=", $AE$53), CONCATENATE("PX392=",$AE$54), CONCATENATE("DS004=",$B$46), "Fill=B")</f>
        <v>1420</v>
      </c>
      <c r="AF60">
        <f ca="1">_xll.BDP($B$5,$C$5,CONCATENATE("PX391=", $AF$53), CONCATENATE("PX392=",$AF$54), CONCATENATE("DS004=",$B$46), "Fill=B")</f>
        <v>1534</v>
      </c>
      <c r="AG60">
        <f ca="1">_xll.BDP($B$5,$C$5,CONCATENATE("PX391=", $AG$53), CONCATENATE("PX392=",$AG$54), CONCATENATE("DS004=",$B$46), "Fill=B")</f>
        <v>1526</v>
      </c>
      <c r="AH60">
        <f ca="1">_xll.BDP($B$5,$C$5,CONCATENATE("PX391=", $AH$53), CONCATENATE("PX392=",$AH$54), CONCATENATE("DS004=",$B$46), "Fill=B")</f>
        <v>1581</v>
      </c>
      <c r="AI60">
        <f ca="1">_xll.BDP($B$5,$C$5,CONCATENATE("PX391=", $AI$53), CONCATENATE("PX392=",$AI$54), CONCATENATE("DS004=",$B$46), "Fill=B")</f>
        <v>1485</v>
      </c>
      <c r="AJ60">
        <f ca="1">_xll.BDP($B$5,$C$5,CONCATENATE("PX391=", $AJ$53), CONCATENATE("PX392=",$AJ$54), CONCATENATE("DS004=",$B$46), "Fill=B")</f>
        <v>1592</v>
      </c>
      <c r="AK60">
        <f ca="1">_xll.BDP($B$5,$C$5,CONCATENATE("PX391=", $AK$53), CONCATENATE("PX392=",$AK$54), CONCATENATE("DS004=",$B$46), "Fill=B")</f>
        <v>1517</v>
      </c>
      <c r="AL60">
        <f ca="1">_xll.BDP($B$5,$C$5,CONCATENATE("PX391=", $AL$53), CONCATENATE("PX392=",$AL$54), CONCATENATE("DS004=",$B$46), "Fill=B")</f>
        <v>1557</v>
      </c>
      <c r="AM60">
        <f ca="1">_xll.BDP($B$5,$C$5,CONCATENATE("PX391=", $AM$53), CONCATENATE("PX392=",$AM$54), CONCATENATE("DS004=",$B$46), "Fill=B")</f>
        <v>1019</v>
      </c>
      <c r="AN60">
        <f ca="1">_xll.BDP($B$5,$C$5,CONCATENATE("PX391=", $AN$53), CONCATENATE("PX392=",$AN$54), CONCATENATE("DS004=",$B$46), "Fill=B")</f>
        <v>1538</v>
      </c>
      <c r="AO60">
        <f ca="1">_xll.BDP($B$5,$C$5,CONCATENATE("PX391=", $AO$53), CONCATENATE("PX392=",$AO$54), CONCATENATE("DS004=",$B$46), "Fill=B")</f>
        <v>1634</v>
      </c>
      <c r="AP60">
        <f ca="1">_xll.BDP($B$5,$C$5,CONCATENATE("PX391=", $AP$53), CONCATENATE("PX392=",$AP$54), CONCATENATE("DS004=",$B$46), "Fill=B")</f>
        <v>1529</v>
      </c>
      <c r="AQ60">
        <f ca="1">_xll.BDP($B$5,$C$5,CONCATENATE("PX391=", $AQ$53), CONCATENATE("PX392=",$AQ$54), CONCATENATE("DS004=",$B$46), "Fill=B")</f>
        <v>1499</v>
      </c>
      <c r="AR60">
        <f ca="1">_xll.BDP($B$5,$C$5,CONCATENATE("PX391=", $AR$53), CONCATENATE("PX392=",$AR$54), CONCATENATE("DS004=",$B$46), "Fill=B")</f>
        <v>1538</v>
      </c>
      <c r="AS60">
        <f ca="1">_xll.BDP($B$5,$C$5,CONCATENATE("PX391=", $AS$53), CONCATENATE("PX392=",$AS$54), CONCATENATE("DS004=",$B$46), "Fill=B")</f>
        <v>1573</v>
      </c>
      <c r="AT60">
        <f ca="1">_xll.BDP($B$5,$C$5,CONCATENATE("PX391=", $AT$53), CONCATENATE("PX392=",$AT$54), CONCATENATE("DS004=",$B$46), "Fill=B")</f>
        <v>1588</v>
      </c>
      <c r="AU60">
        <f ca="1">_xll.BDP($B$5,$C$5,CONCATENATE("PX391=", $AU$53), CONCATENATE("PX392=",$AU$54), CONCATENATE("DS004=",$B$46), "Fill=B")</f>
        <v>1533</v>
      </c>
      <c r="AV60">
        <f ca="1">_xll.BDP($B$5,$C$5,CONCATENATE("PX391=", $AV$53), CONCATENATE("PX392=",$AV$54), CONCATENATE("DS004=",$B$46), "Fill=B")</f>
        <v>1515</v>
      </c>
      <c r="AW60">
        <f ca="1">_xll.BDP($B$5,$C$5,CONCATENATE("PX391=", $AW$53), CONCATENATE("PX392=",$AW$54), CONCATENATE("DS004=",$B$46), "Fill=B")</f>
        <v>1462</v>
      </c>
      <c r="AX60">
        <f ca="1">_xll.BDP($B$5,$C$5,CONCATENATE("PX391=", $AX$53), CONCATENATE("PX392=",$AX$54), CONCATENATE("DS004=",$B$46), "Fill=B")</f>
        <v>1515</v>
      </c>
      <c r="AY60">
        <f ca="1">_xll.BDP($B$5,$C$5,CONCATENATE("PX391=", $AY$53), CONCATENATE("PX392=",$AY$54), CONCATENATE("DS004=",$B$46), "Fill=B")</f>
        <v>1160</v>
      </c>
      <c r="AZ60">
        <f ca="1">_xll.BDP($B$5,$C$5,CONCATENATE("PX391=", $AZ$53), CONCATENATE("PX392=",$AZ$54), CONCATENATE("DS004=",$B$46), "Fill=B")</f>
        <v>1425</v>
      </c>
      <c r="BA60">
        <f ca="1">_xll.BDP($B$5,$C$5,CONCATENATE("PX391=", $BA$53), CONCATENATE("PX392=",$BA$54), CONCATENATE("DS004=",$B$46), "Fill=B")</f>
        <v>1524</v>
      </c>
      <c r="BB60">
        <f ca="1">_xll.BDP($B$5,$C$5,CONCATENATE("PX391=", $BB$53), CONCATENATE("PX392=",$BB$54), CONCATENATE("DS004=",$B$46), "Fill=B")</f>
        <v>1511</v>
      </c>
      <c r="BC60">
        <f ca="1">_xll.BDP($B$5,$C$5,CONCATENATE("PX391=", $BC$53), CONCATENATE("PX392=",$BC$54), CONCATENATE("DS004=",$B$46), "Fill=B")</f>
        <v>1553</v>
      </c>
      <c r="BD60">
        <f ca="1">_xll.BDP($B$5,$C$5,CONCATENATE("PX391=", $BD$53), CONCATENATE("PX392=",$BD$54), CONCATENATE("DS004=",$B$46), "Fill=B")</f>
        <v>1484</v>
      </c>
      <c r="BE60">
        <f ca="1">_xll.BDP($B$5,$C$5,CONCATENATE("PX391=", $BE$53), CONCATENATE("PX392=",$BE$54), CONCATENATE("DS004=",$B$46), "Fill=B")</f>
        <v>1584</v>
      </c>
      <c r="BF60">
        <f ca="1">_xll.BDP($B$5,$C$5,CONCATENATE("PX391=", $BF$53), CONCATENATE("PX392=",$BF$54), CONCATENATE("DS004=",$B$46), "Fill=B")</f>
        <v>1549</v>
      </c>
      <c r="BG60">
        <f ca="1">_xll.BDP($B$5,$C$5,CONCATENATE("PX391=", $BG$53), CONCATENATE("PX392=",$BG$54), CONCATENATE("DS004=",$B$46), "Fill=B")</f>
        <v>1527</v>
      </c>
      <c r="BH60">
        <f ca="1">_xll.BDP($B$5,$C$5,CONCATENATE("PX391=", $BH$53), CONCATENATE("PX392=",$BH$54), CONCATENATE("DS004=",$B$46), "Fill=B")</f>
        <v>1572</v>
      </c>
      <c r="BI60">
        <f ca="1">_xll.BDP($B$5,$C$5,CONCATENATE("PX391=", $BI$53), CONCATENATE("PX392=",$BI$54), CONCATENATE("DS004=",$B$46), "Fill=B")</f>
        <v>1574</v>
      </c>
      <c r="BJ60">
        <f ca="1">_xll.BDP($B$5,$C$5,CONCATENATE("PX391=", $BJ$53), CONCATENATE("PX392=",$BJ$54), CONCATENATE("DS004=",$B$46), "Fill=B")</f>
        <v>1567</v>
      </c>
      <c r="BK60">
        <f ca="1">_xll.BDP($B$5,$C$5,CONCATENATE("PX391=", $BK$53), CONCATENATE("PX392=",$BK$54), CONCATENATE("DS004=",$B$46), "Fill=B")</f>
        <v>1162</v>
      </c>
      <c r="BL60">
        <f ca="1">_xll.BDP($B$5,$C$5,CONCATENATE("PX391=", $BL$53), CONCATENATE("PX392=",$BL$54), CONCATENATE("DS004=",$B$46), "Fill=B")</f>
        <v>1695</v>
      </c>
      <c r="BM60">
        <f ca="1">_xll.BDP($B$5,$C$5,CONCATENATE("PX391=", $BM$53), CONCATENATE("PX392=",$BM$54), CONCATENATE("DS004=",$B$46), "Fill=B")</f>
        <v>1674</v>
      </c>
      <c r="BN60">
        <f ca="1">_xll.BDP($B$5,$C$5,CONCATENATE("PX391=", $BN$53), CONCATENATE("PX392=",$BN$54), CONCATENATE("DS004=",$B$46), "Fill=B")</f>
        <v>1639</v>
      </c>
      <c r="BO60">
        <f ca="1">_xll.BDP($B$5,$C$5,CONCATENATE("PX391=", $BO$53), CONCATENATE("PX392=",$BO$54), CONCATENATE("DS004=",$B$46), "Fill=B")</f>
        <v>1646</v>
      </c>
      <c r="BP60">
        <f ca="1">_xll.BDP($B$5,$C$5,CONCATENATE("PX391=", $BP$53), CONCATENATE("PX392=",$BP$54), CONCATENATE("DS004=",$B$46), "Fill=B")</f>
        <v>1487</v>
      </c>
      <c r="BQ60">
        <f ca="1">_xll.BDP($B$5,$C$5,CONCATENATE("PX391=", $BQ$53), CONCATENATE("PX392=",$BQ$54), CONCATENATE("DS004=",$B$46), "Fill=B")</f>
        <v>1616</v>
      </c>
      <c r="BR60">
        <f ca="1">_xll.BDP($B$5,$C$5,CONCATENATE("PX391=", $BR$53), CONCATENATE("PX392=",$BR$54), CONCATENATE("DS004=",$B$46), "Fill=B")</f>
        <v>1666</v>
      </c>
      <c r="BS60">
        <f ca="1">_xll.BDP($B$5,$C$5,CONCATENATE("PX391=", $BS$53), CONCATENATE("PX392=",$BS$54), CONCATENATE("DS004=",$B$46), "Fill=B")</f>
        <v>1683</v>
      </c>
      <c r="BT60">
        <f ca="1">_xll.BDP($B$5,$C$5,CONCATENATE("PX391=", $BT$53), CONCATENATE("PX392=",$BT$54), CONCATENATE("DS004=",$B$46), "Fill=B")</f>
        <v>1696</v>
      </c>
      <c r="BU60">
        <f ca="1">_xll.BDP($B$5,$C$5,CONCATENATE("PX391=", $BU$53), CONCATENATE("PX392=",$BU$54), CONCATENATE("DS004=",$B$46), "Fill=B")</f>
        <v>1601</v>
      </c>
      <c r="BV60">
        <f ca="1">_xll.BDP($B$5,$C$5,CONCATENATE("PX391=", $BV$53), CONCATENATE("PX392=",$BV$54), CONCATENATE("DS004=",$B$46), "Fill=B")</f>
        <v>1628</v>
      </c>
      <c r="BW60">
        <f ca="1">_xll.BDP($B$5,$C$5,CONCATENATE("PX391=", $BW$53), CONCATENATE("PX392=",$BW$54), CONCATENATE("DS004=",$B$46), "Fill=B")</f>
        <v>1414</v>
      </c>
      <c r="BX60">
        <f ca="1">_xll.BDP($B$5,$C$5,CONCATENATE("PX391=", $BX$53), CONCATENATE("PX392=",$BX$54), CONCATENATE("DS004=",$B$46), "Fill=B")</f>
        <v>1846</v>
      </c>
      <c r="BY60">
        <f ca="1">_xll.BDP($B$5,$C$5,CONCATENATE("PX391=", $BY$53), CONCATENATE("PX392=",$BY$54), CONCATENATE("DS004=",$B$46), "Fill=B")</f>
        <v>1780</v>
      </c>
      <c r="BZ60">
        <f ca="1">_xll.BDP($B$5,$C$5,CONCATENATE("PX391=", $BZ$53), CONCATENATE("PX392=",$BZ$54), CONCATENATE("DS004=",$B$46), "Fill=B")</f>
        <v>1757</v>
      </c>
      <c r="CA60">
        <f ca="1">_xll.BDP($B$5,$C$5,CONCATENATE("PX391=", $CA$53), CONCATENATE("PX392=",$CA$54), CONCATENATE("DS004=",$B$46), "Fill=B")</f>
        <v>1676</v>
      </c>
      <c r="CB60">
        <f ca="1">_xll.BDP($B$5,$C$5,CONCATENATE("PX391=", $CB$53), CONCATENATE("PX392=",$CB$54), CONCATENATE("DS004=",$B$46), "Fill=B")</f>
        <v>1806</v>
      </c>
      <c r="CC60">
        <f ca="1">_xll.BDP($B$5,$C$5,CONCATENATE("PX391=", $CC$53), CONCATENATE("PX392=",$CC$54), CONCATENATE("DS004=",$B$46), "Fill=B")</f>
        <v>1718</v>
      </c>
      <c r="CD60">
        <f ca="1">_xll.BDP($B$5,$C$5,CONCATENATE("PX391=", $CD$53), CONCATENATE("PX392=",$CD$54), CONCATENATE("DS004=",$B$46), "Fill=B")</f>
        <v>1782</v>
      </c>
      <c r="CE60">
        <f ca="1">_xll.BDP($B$5,$C$5,CONCATENATE("PX391=", $CE$53), CONCATENATE("PX392=",$CE$54), CONCATENATE("DS004=",$B$46), "Fill=B")</f>
        <v>1750</v>
      </c>
      <c r="CF60">
        <f ca="1">_xll.BDP($B$5,$C$5,CONCATENATE("PX391=", $CF$53), CONCATENATE("PX392=",$CF$54), CONCATENATE("DS004=",$B$46), "Fill=B")</f>
        <v>1824</v>
      </c>
      <c r="CG60">
        <f ca="1">_xll.BDP($B$5,$C$5,CONCATENATE("PX391=", $CG$53), CONCATENATE("PX392=",$CG$54), CONCATENATE("DS004=",$B$46), "Fill=B")</f>
        <v>1799</v>
      </c>
      <c r="CH60">
        <f ca="1">_xll.BDP($B$5,$C$5,CONCATENATE("PX391=", $CH$53), CONCATENATE("PX392=",$CH$54), CONCATENATE("DS004=",$B$46), "Fill=B")</f>
        <v>1730</v>
      </c>
      <c r="CI60">
        <f ca="1">_xll.BDP($B$5,$C$5,CONCATENATE("PX391=", $CI$53), CONCATENATE("PX392=",$CI$54), CONCATENATE("DS004=",$B$46), "Fill=B")</f>
        <v>1487</v>
      </c>
      <c r="CJ60">
        <f ca="1">_xll.BDP($B$5,$C$5,CONCATENATE("PX391=", $CJ$53), CONCATENATE("PX392=",$CJ$54), CONCATENATE("DS004=",$B$46), "Fill=B")</f>
        <v>1661</v>
      </c>
      <c r="CK60">
        <f ca="1">_xll.BDP($B$5,$C$5,CONCATENATE("PX391=", $CK$53), CONCATENATE("PX392=",$CK$54), CONCATENATE("DS004=",$B$46), "Fill=B")</f>
        <v>1983</v>
      </c>
      <c r="CL60" t="str">
        <f>""</f>
        <v/>
      </c>
      <c r="CM60" t="str">
        <f>""</f>
        <v/>
      </c>
      <c r="CN60" t="str">
        <f>""</f>
        <v/>
      </c>
      <c r="CO60" t="str">
        <f>""</f>
        <v/>
      </c>
      <c r="CP60" t="str">
        <f>""</f>
        <v/>
      </c>
      <c r="CQ60" t="str">
        <f>""</f>
        <v/>
      </c>
      <c r="CR60" t="str">
        <f>""</f>
        <v/>
      </c>
      <c r="CS60" t="str">
        <f>""</f>
        <v/>
      </c>
      <c r="CT60" t="str">
        <f>""</f>
        <v/>
      </c>
      <c r="CU60" t="str">
        <f>""</f>
        <v/>
      </c>
      <c r="CV60" t="str">
        <f>""</f>
        <v/>
      </c>
      <c r="CW60" t="str">
        <f>""</f>
        <v/>
      </c>
      <c r="CX60" t="str">
        <f>""</f>
        <v/>
      </c>
      <c r="CY60" t="str">
        <f>""</f>
        <v/>
      </c>
      <c r="CZ60" t="str">
        <f>""</f>
        <v/>
      </c>
      <c r="DA60" t="str">
        <f>""</f>
        <v/>
      </c>
      <c r="DB60" t="str">
        <f>""</f>
        <v/>
      </c>
      <c r="DC60" t="str">
        <f>""</f>
        <v/>
      </c>
      <c r="DD60" t="str">
        <f>""</f>
        <v/>
      </c>
      <c r="DE60" t="str">
        <f>""</f>
        <v/>
      </c>
      <c r="DF60" t="str">
        <f>""</f>
        <v/>
      </c>
      <c r="DG60" t="str">
        <f>""</f>
        <v/>
      </c>
      <c r="DH60" t="str">
        <f>""</f>
        <v/>
      </c>
      <c r="DI60" t="str">
        <f>""</f>
        <v/>
      </c>
      <c r="DJ60" t="str">
        <f>""</f>
        <v/>
      </c>
      <c r="DK60" t="str">
        <f>""</f>
        <v/>
      </c>
      <c r="DL60" t="str">
        <f>""</f>
        <v/>
      </c>
      <c r="DM60" t="str">
        <f>""</f>
        <v/>
      </c>
      <c r="DN60" t="str">
        <f>""</f>
        <v/>
      </c>
      <c r="DO60" t="str">
        <f>""</f>
        <v/>
      </c>
      <c r="DP60" t="str">
        <f>""</f>
        <v/>
      </c>
      <c r="DQ60" t="str">
        <f>""</f>
        <v/>
      </c>
      <c r="DR60" t="str">
        <f>""</f>
        <v/>
      </c>
      <c r="DS60" t="str">
        <f>""</f>
        <v/>
      </c>
      <c r="DT60" t="str">
        <f>""</f>
        <v/>
      </c>
      <c r="DU60" t="str">
        <f>""</f>
        <v/>
      </c>
      <c r="DV60" t="str">
        <f>""</f>
        <v/>
      </c>
      <c r="DW60" t="str">
        <f>""</f>
        <v/>
      </c>
      <c r="DX60" t="str">
        <f>""</f>
        <v/>
      </c>
      <c r="DY60" t="str">
        <f>""</f>
        <v/>
      </c>
      <c r="DZ60" t="str">
        <f>""</f>
        <v/>
      </c>
      <c r="EA60" t="str">
        <f>""</f>
        <v/>
      </c>
      <c r="EB60" t="str">
        <f>""</f>
        <v/>
      </c>
      <c r="EC60" t="str">
        <f>""</f>
        <v/>
      </c>
      <c r="ED60" t="str">
        <f>""</f>
        <v/>
      </c>
      <c r="EE60" t="str">
        <f>""</f>
        <v/>
      </c>
      <c r="EF60" t="str">
        <f>""</f>
        <v/>
      </c>
      <c r="EG60" t="str">
        <f>""</f>
        <v/>
      </c>
      <c r="EH60" t="str">
        <f>""</f>
        <v/>
      </c>
      <c r="EI60" t="str">
        <f>""</f>
        <v/>
      </c>
      <c r="EJ60" t="str">
        <f>""</f>
        <v/>
      </c>
      <c r="EK60" t="str">
        <f>""</f>
        <v/>
      </c>
      <c r="EL60" t="str">
        <f>""</f>
        <v/>
      </c>
      <c r="EM60" t="str">
        <f>""</f>
        <v/>
      </c>
      <c r="EN60" t="str">
        <f>""</f>
        <v/>
      </c>
      <c r="EO60" t="str">
        <f>""</f>
        <v/>
      </c>
      <c r="EP60" t="str">
        <f>""</f>
        <v/>
      </c>
      <c r="EQ60" t="str">
        <f>""</f>
        <v/>
      </c>
      <c r="ER60" t="str">
        <f>""</f>
        <v/>
      </c>
      <c r="ES60" t="str">
        <f>""</f>
        <v/>
      </c>
      <c r="ET60" t="str">
        <f>""</f>
        <v/>
      </c>
      <c r="EU60" t="str">
        <f>""</f>
        <v/>
      </c>
      <c r="EV60" t="str">
        <f>""</f>
        <v/>
      </c>
      <c r="EW60" t="str">
        <f>""</f>
        <v/>
      </c>
      <c r="EX60" t="str">
        <f>""</f>
        <v/>
      </c>
      <c r="EY60" t="str">
        <f>""</f>
        <v/>
      </c>
      <c r="EZ60" t="str">
        <f>""</f>
        <v/>
      </c>
      <c r="FA60" t="str">
        <f>""</f>
        <v/>
      </c>
      <c r="FB60" t="str">
        <f>""</f>
        <v/>
      </c>
      <c r="FC60" t="str">
        <f>""</f>
        <v/>
      </c>
      <c r="FD60" t="str">
        <f>""</f>
        <v/>
      </c>
      <c r="FE60" t="str">
        <f>""</f>
        <v/>
      </c>
      <c r="FF60" t="str">
        <f>""</f>
        <v/>
      </c>
      <c r="FG60" t="str">
        <f>""</f>
        <v/>
      </c>
      <c r="FH60" t="str">
        <f>""</f>
        <v/>
      </c>
      <c r="FI60" t="str">
        <f>""</f>
        <v/>
      </c>
      <c r="FJ60" t="str">
        <f>""</f>
        <v/>
      </c>
      <c r="FK60" t="str">
        <f>""</f>
        <v/>
      </c>
      <c r="FL60" t="str">
        <f>""</f>
        <v/>
      </c>
      <c r="FM60" t="str">
        <f>""</f>
        <v/>
      </c>
      <c r="FN60" t="str">
        <f>""</f>
        <v/>
      </c>
      <c r="FO60" t="str">
        <f>""</f>
        <v/>
      </c>
      <c r="FP60" t="str">
        <f>""</f>
        <v/>
      </c>
      <c r="FQ60" t="str">
        <f>""</f>
        <v/>
      </c>
    </row>
    <row r="61" spans="1:173" x14ac:dyDescent="0.25">
      <c r="A61" t="str">
        <f>$A$15</f>
        <v>South Korea Port Container Throughput (000 TEU)</v>
      </c>
      <c r="B61" t="str">
        <f>$B$15</f>
        <v>SKTSTOTL Index</v>
      </c>
      <c r="C61" t="str">
        <f>$C$15</f>
        <v>PR005</v>
      </c>
      <c r="D61" t="str">
        <f>$D$15</f>
        <v>PX_LAST</v>
      </c>
      <c r="E61" t="str">
        <f>$E$15</f>
        <v>Dynamic</v>
      </c>
      <c r="F61" t="str">
        <f ca="1">_xll.BDH($B$15,$C$15,$B$49,$B$50,CONCATENATE("Per=",$B$47),"Dts=H","Dir=H",CONCATENATE("Points=",$B$48),"Sort=R","Days=A","Fill=B",CONCATENATE("FX=", $B$46) )</f>
        <v/>
      </c>
      <c r="CL61" t="str">
        <f>""</f>
        <v/>
      </c>
      <c r="CM61" t="str">
        <f>""</f>
        <v/>
      </c>
      <c r="CN61" t="str">
        <f>""</f>
        <v/>
      </c>
      <c r="CO61" t="str">
        <f>""</f>
        <v/>
      </c>
      <c r="CP61" t="str">
        <f>""</f>
        <v/>
      </c>
      <c r="CQ61" t="str">
        <f>""</f>
        <v/>
      </c>
      <c r="CR61" t="str">
        <f>""</f>
        <v/>
      </c>
      <c r="CS61" t="str">
        <f>""</f>
        <v/>
      </c>
      <c r="CT61" t="str">
        <f>""</f>
        <v/>
      </c>
      <c r="CU61" t="str">
        <f>""</f>
        <v/>
      </c>
      <c r="CV61" t="str">
        <f>""</f>
        <v/>
      </c>
      <c r="CW61" t="str">
        <f>""</f>
        <v/>
      </c>
      <c r="CX61" t="str">
        <f>""</f>
        <v/>
      </c>
      <c r="CY61" t="str">
        <f>""</f>
        <v/>
      </c>
      <c r="CZ61" t="str">
        <f>""</f>
        <v/>
      </c>
      <c r="DA61" t="str">
        <f>""</f>
        <v/>
      </c>
      <c r="DB61" t="str">
        <f>""</f>
        <v/>
      </c>
      <c r="DC61" t="str">
        <f>""</f>
        <v/>
      </c>
      <c r="DD61" t="str">
        <f>""</f>
        <v/>
      </c>
      <c r="DE61" t="str">
        <f>""</f>
        <v/>
      </c>
      <c r="DF61" t="str">
        <f>""</f>
        <v/>
      </c>
      <c r="DG61" t="str">
        <f>""</f>
        <v/>
      </c>
      <c r="DH61" t="str">
        <f>""</f>
        <v/>
      </c>
      <c r="DI61" t="str">
        <f>""</f>
        <v/>
      </c>
      <c r="DJ61" t="str">
        <f>""</f>
        <v/>
      </c>
      <c r="DK61" t="str">
        <f>""</f>
        <v/>
      </c>
      <c r="DL61" t="str">
        <f>""</f>
        <v/>
      </c>
      <c r="DM61" t="str">
        <f>""</f>
        <v/>
      </c>
      <c r="DN61" t="str">
        <f>""</f>
        <v/>
      </c>
      <c r="DO61" t="str">
        <f>""</f>
        <v/>
      </c>
      <c r="DP61" t="str">
        <f>""</f>
        <v/>
      </c>
      <c r="DQ61" t="str">
        <f>""</f>
        <v/>
      </c>
      <c r="DR61" t="str">
        <f>""</f>
        <v/>
      </c>
      <c r="DS61" t="str">
        <f>""</f>
        <v/>
      </c>
      <c r="DT61" t="str">
        <f>""</f>
        <v/>
      </c>
      <c r="DU61" t="str">
        <f>""</f>
        <v/>
      </c>
      <c r="DV61" t="str">
        <f>""</f>
        <v/>
      </c>
      <c r="DW61" t="str">
        <f>""</f>
        <v/>
      </c>
      <c r="DX61" t="str">
        <f>""</f>
        <v/>
      </c>
      <c r="DY61" t="str">
        <f>""</f>
        <v/>
      </c>
      <c r="DZ61" t="str">
        <f>""</f>
        <v/>
      </c>
      <c r="EA61" t="str">
        <f>""</f>
        <v/>
      </c>
      <c r="EB61" t="str">
        <f>""</f>
        <v/>
      </c>
      <c r="EC61" t="str">
        <f>""</f>
        <v/>
      </c>
      <c r="ED61" t="str">
        <f>""</f>
        <v/>
      </c>
      <c r="EE61" t="str">
        <f>""</f>
        <v/>
      </c>
      <c r="EF61" t="str">
        <f>""</f>
        <v/>
      </c>
      <c r="EG61" t="str">
        <f>""</f>
        <v/>
      </c>
      <c r="EH61" t="str">
        <f>""</f>
        <v/>
      </c>
      <c r="EI61" t="str">
        <f>""</f>
        <v/>
      </c>
      <c r="EJ61" t="str">
        <f>""</f>
        <v/>
      </c>
      <c r="EK61" t="str">
        <f>""</f>
        <v/>
      </c>
      <c r="EL61" t="str">
        <f>""</f>
        <v/>
      </c>
      <c r="EM61" t="str">
        <f>""</f>
        <v/>
      </c>
      <c r="EN61" t="str">
        <f>""</f>
        <v/>
      </c>
      <c r="EO61" t="str">
        <f>""</f>
        <v/>
      </c>
      <c r="EP61" t="str">
        <f>""</f>
        <v/>
      </c>
      <c r="EQ61" t="str">
        <f>""</f>
        <v/>
      </c>
      <c r="ER61" t="str">
        <f>""</f>
        <v/>
      </c>
      <c r="ES61" t="str">
        <f>""</f>
        <v/>
      </c>
      <c r="ET61" t="str">
        <f>""</f>
        <v/>
      </c>
      <c r="EU61" t="str">
        <f>""</f>
        <v/>
      </c>
      <c r="EV61" t="str">
        <f>""</f>
        <v/>
      </c>
      <c r="EW61" t="str">
        <f>""</f>
        <v/>
      </c>
      <c r="EX61" t="str">
        <f>""</f>
        <v/>
      </c>
      <c r="EY61" t="str">
        <f>""</f>
        <v/>
      </c>
      <c r="EZ61" t="str">
        <f>""</f>
        <v/>
      </c>
      <c r="FA61" t="str">
        <f>""</f>
        <v/>
      </c>
      <c r="FB61" t="str">
        <f>""</f>
        <v/>
      </c>
      <c r="FC61" t="str">
        <f>""</f>
        <v/>
      </c>
      <c r="FD61" t="str">
        <f>""</f>
        <v/>
      </c>
      <c r="FE61" t="str">
        <f>""</f>
        <v/>
      </c>
      <c r="FF61" t="str">
        <f>""</f>
        <v/>
      </c>
      <c r="FG61" t="str">
        <f>""</f>
        <v/>
      </c>
      <c r="FH61" t="str">
        <f>""</f>
        <v/>
      </c>
      <c r="FI61" t="str">
        <f>""</f>
        <v/>
      </c>
      <c r="FJ61" t="str">
        <f>""</f>
        <v/>
      </c>
      <c r="FK61" t="str">
        <f>""</f>
        <v/>
      </c>
      <c r="FL61" t="str">
        <f>""</f>
        <v/>
      </c>
      <c r="FM61" t="str">
        <f>""</f>
        <v/>
      </c>
      <c r="FN61" t="str">
        <f>""</f>
        <v/>
      </c>
      <c r="FO61" t="str">
        <f>""</f>
        <v/>
      </c>
      <c r="FP61" t="str">
        <f>""</f>
        <v/>
      </c>
      <c r="FQ61" t="str">
        <f>""</f>
        <v/>
      </c>
    </row>
    <row r="62" spans="1:173" x14ac:dyDescent="0.25">
      <c r="A62" t="str">
        <f>$A$20</f>
        <v xml:space="preserve">        Loaded Container Imports (TEU)</v>
      </c>
      <c r="B62" t="str">
        <f>$B$20</f>
        <v>LALBLAIM Index</v>
      </c>
      <c r="C62" t="str">
        <f>$C$20</f>
        <v>PX385</v>
      </c>
      <c r="D62" t="str">
        <f>$D$20</f>
        <v>INTERVAL_SUM</v>
      </c>
      <c r="E62" t="str">
        <f>$E$20</f>
        <v>Dynamic</v>
      </c>
      <c r="F62" t="str">
        <f ca="1">_xll.BDP($B$20,$C$20,CONCATENATE("PX391=", $F$53), CONCATENATE("PX392=",$F$54), CONCATENATE("DS004=",$B$46), "Fill=B")</f>
        <v/>
      </c>
      <c r="G62" t="str">
        <f ca="1">_xll.BDP($B$20,$C$20,CONCATENATE("PX391=", $G$53), CONCATENATE("PX392=",$G$54), CONCATENATE("DS004=",$B$46), "Fill=B")</f>
        <v/>
      </c>
      <c r="H62">
        <f ca="1">_xll.BDP($B$20,$C$20,CONCATENATE("PX391=", $H$53), CONCATENATE("PX392=",$H$54), CONCATENATE("DS004=",$B$46), "Fill=B")</f>
        <v>392608</v>
      </c>
      <c r="I62">
        <f ca="1">_xll.BDP($B$20,$C$20,CONCATENATE("PX391=", $I$53), CONCATENATE("PX392=",$I$54), CONCATENATE("DS004=",$B$46), "Fill=B")</f>
        <v>433224</v>
      </c>
      <c r="J62">
        <f ca="1">_xll.BDP($B$20,$C$20,CONCATENATE("PX391=", $J$53), CONCATENATE("PX392=",$J$54), CONCATENATE("DS004=",$B$46), "Fill=B")</f>
        <v>364208</v>
      </c>
      <c r="K62">
        <f ca="1">_xll.BDP($B$20,$C$20,CONCATENATE("PX391=", $K$53), CONCATENATE("PX392=",$K$54), CONCATENATE("DS004=",$B$46), "Fill=B")</f>
        <v>435307</v>
      </c>
      <c r="L62">
        <f ca="1">_xll.BDP($B$20,$C$20,CONCATENATE("PX391=", $L$53), CONCATENATE("PX392=",$L$54), CONCATENATE("DS004=",$B$46), "Fill=B")</f>
        <v>409150</v>
      </c>
      <c r="M62">
        <f ca="1">_xll.BDP($B$20,$C$20,CONCATENATE("PX391=", $M$53), CONCATENATE("PX392=",$M$54), CONCATENATE("DS004=",$B$46), "Fill=B")</f>
        <v>343689</v>
      </c>
      <c r="N62">
        <f ca="1">_xll.BDP($B$20,$C$20,CONCATENATE("PX391=", $N$53), CONCATENATE("PX392=",$N$54), CONCATENATE("DS004=",$B$46), "Fill=B")</f>
        <v>319962</v>
      </c>
      <c r="O62">
        <f ca="1">_xll.BDP($B$20,$C$20,CONCATENATE("PX391=", $O$53), CONCATENATE("PX392=",$O$54), CONCATENATE("DS004=",$B$46), "Fill=B")</f>
        <v>249407</v>
      </c>
      <c r="P62">
        <f ca="1">_xll.BDP($B$20,$C$20,CONCATENATE("PX391=", $P$53), CONCATENATE("PX392=",$P$54), CONCATENATE("DS004=",$B$46), "Fill=B")</f>
        <v>372040</v>
      </c>
      <c r="Q62">
        <f ca="1">_xll.BDP($B$20,$C$20,CONCATENATE("PX391=", $Q$53), CONCATENATE("PX392=",$Q$54), CONCATENATE("DS004=",$B$46), "Fill=B")</f>
        <v>352046</v>
      </c>
      <c r="R62">
        <f ca="1">_xll.BDP($B$20,$C$20,CONCATENATE("PX391=", $R$53), CONCATENATE("PX392=",$R$54), CONCATENATE("DS004=",$B$46), "Fill=B")</f>
        <v>307080</v>
      </c>
      <c r="S62">
        <f ca="1">_xll.BDP($B$20,$C$20,CONCATENATE("PX391=", $S$53), CONCATENATE("PX392=",$S$54), CONCATENATE("DS004=",$B$46), "Fill=B")</f>
        <v>336307</v>
      </c>
      <c r="T62">
        <f ca="1">_xll.BDP($B$20,$C$20,CONCATENATE("PX391=", $T$53), CONCATENATE("PX392=",$T$54), CONCATENATE("DS004=",$B$46), "Fill=B")</f>
        <v>343462</v>
      </c>
      <c r="U62">
        <f ca="1">_xll.BDP($B$20,$C$20,CONCATENATE("PX391=", $U$53), CONCATENATE("PX392=",$U$54), CONCATENATE("DS004=",$B$46), "Fill=B")</f>
        <v>403602</v>
      </c>
      <c r="V62">
        <f ca="1">_xll.BDP($B$20,$C$20,CONCATENATE("PX391=", $V$53), CONCATENATE("PX392=",$V$54), CONCATENATE("DS004=",$B$46), "Fill=B")</f>
        <v>485452</v>
      </c>
      <c r="W62">
        <f ca="1">_xll.BDP($B$20,$C$20,CONCATENATE("PX391=", $W$53), CONCATENATE("PX392=",$W$54), CONCATENATE("DS004=",$B$46), "Fill=B")</f>
        <v>444680</v>
      </c>
      <c r="X62">
        <f ca="1">_xll.BDP($B$20,$C$20,CONCATENATE("PX391=", $X$53), CONCATENATE("PX392=",$X$54), CONCATENATE("DS004=",$B$46), "Fill=B")</f>
        <v>499960</v>
      </c>
      <c r="Y62">
        <f ca="1">_xll.BDP($B$20,$C$20,CONCATENATE("PX391=", $Y$53), CONCATENATE("PX392=",$Y$54), CONCATENATE("DS004=",$B$46), "Fill=B")</f>
        <v>456670</v>
      </c>
      <c r="Z62">
        <f ca="1">_xll.BDP($B$20,$C$20,CONCATENATE("PX391=", $Z$53), CONCATENATE("PX392=",$Z$54), CONCATENATE("DS004=",$B$46), "Fill=B")</f>
        <v>495196</v>
      </c>
      <c r="AA62">
        <f ca="1">_xll.BDP($B$20,$C$20,CONCATENATE("PX391=", $AA$53), CONCATENATE("PX392=",$AA$54), CONCATENATE("DS004=",$B$46), "Fill=B")</f>
        <v>424073</v>
      </c>
      <c r="AB62">
        <f ca="1">_xll.BDP($B$20,$C$20,CONCATENATE("PX391=", $AB$53), CONCATENATE("PX392=",$AB$54), CONCATENATE("DS004=",$B$46), "Fill=B")</f>
        <v>427208</v>
      </c>
      <c r="AC62">
        <f ca="1">_xll.BDP($B$20,$C$20,CONCATENATE("PX391=", $AC$53), CONCATENATE("PX392=",$AC$54), CONCATENATE("DS004=",$B$46), "Fill=B")</f>
        <v>385251</v>
      </c>
      <c r="AD62">
        <f ca="1">_xll.BDP($B$20,$C$20,CONCATENATE("PX391=", $AD$53), CONCATENATE("PX392=",$AD$54), CONCATENATE("DS004=",$B$46), "Fill=B")</f>
        <v>403444</v>
      </c>
      <c r="AE62">
        <f ca="1">_xll.BDP($B$20,$C$20,CONCATENATE("PX391=", $AE$53), CONCATENATE("PX392=",$AE$54), CONCATENATE("DS004=",$B$46), "Fill=B")</f>
        <v>467287</v>
      </c>
      <c r="AF62">
        <f ca="1">_xll.BDP($B$20,$C$20,CONCATENATE("PX391=", $AF$53), CONCATENATE("PX392=",$AF$54), CONCATENATE("DS004=",$B$46), "Fill=B")</f>
        <v>468059</v>
      </c>
      <c r="AG62">
        <f ca="1">_xll.BDP($B$20,$C$20,CONCATENATE("PX391=", $AG$53), CONCATENATE("PX392=",$AG$54), CONCATENATE("DS004=",$B$46), "Fill=B")</f>
        <v>485672</v>
      </c>
      <c r="AH62">
        <f ca="1">_xll.BDP($B$20,$C$20,CONCATENATE("PX391=", $AH$53), CONCATENATE("PX392=",$AH$54), CONCATENATE("DS004=",$B$46), "Fill=B")</f>
        <v>469361</v>
      </c>
      <c r="AI62">
        <f ca="1">_xll.BDP($B$20,$C$20,CONCATENATE("PX391=", $AI$53), CONCATENATE("PX392=",$AI$54), CONCATENATE("DS004=",$B$46), "Fill=B")</f>
        <v>467763</v>
      </c>
      <c r="AJ62">
        <f ca="1">_xll.BDP($B$20,$C$20,CONCATENATE("PX391=", $AJ$53), CONCATENATE("PX392=",$AJ$54), CONCATENATE("DS004=",$B$46), "Fill=B")</f>
        <v>535714</v>
      </c>
      <c r="AK62">
        <f ca="1">_xll.BDP($B$20,$C$20,CONCATENATE("PX391=", $AK$53), CONCATENATE("PX392=",$AK$54), CONCATENATE("DS004=",$B$46), "Fill=B")</f>
        <v>490127</v>
      </c>
      <c r="AL62">
        <f ca="1">_xll.BDP($B$20,$C$20,CONCATENATE("PX391=", $AL$53), CONCATENATE("PX392=",$AL$54), CONCATENATE("DS004=",$B$46), "Fill=B")</f>
        <v>490115</v>
      </c>
      <c r="AM62">
        <f ca="1">_xll.BDP($B$20,$C$20,CONCATENATE("PX391=", $AM$53), CONCATENATE("PX392=",$AM$54), CONCATENATE("DS004=",$B$46), "Fill=B")</f>
        <v>412884</v>
      </c>
      <c r="AN62">
        <f ca="1">_xll.BDP($B$20,$C$20,CONCATENATE("PX391=", $AN$53), CONCATENATE("PX392=",$AN$54), CONCATENATE("DS004=",$B$46), "Fill=B")</f>
        <v>437609</v>
      </c>
      <c r="AO62">
        <f ca="1">_xll.BDP($B$20,$C$20,CONCATENATE("PX391=", $AO$53), CONCATENATE("PX392=",$AO$54), CONCATENATE("DS004=",$B$46), "Fill=B")</f>
        <v>460865</v>
      </c>
      <c r="AP62">
        <f ca="1">_xll.BDP($B$20,$C$20,CONCATENATE("PX391=", $AP$53), CONCATENATE("PX392=",$AP$54), CONCATENATE("DS004=",$B$46), "Fill=B")</f>
        <v>464820</v>
      </c>
      <c r="AQ62">
        <f ca="1">_xll.BDP($B$20,$C$20,CONCATENATE("PX391=", $AQ$53), CONCATENATE("PX392=",$AQ$54), CONCATENATE("DS004=",$B$46), "Fill=B")</f>
        <v>506613</v>
      </c>
      <c r="AR62">
        <f ca="1">_xll.BDP($B$20,$C$20,CONCATENATE("PX391=", $AR$53), CONCATENATE("PX392=",$AR$54), CONCATENATE("DS004=",$B$46), "Fill=B")</f>
        <v>471795</v>
      </c>
      <c r="AS62">
        <f ca="1">_xll.BDP($B$20,$C$20,CONCATENATE("PX391=", $AS$53), CONCATENATE("PX392=",$AS$54), CONCATENATE("DS004=",$B$46), "Fill=B")</f>
        <v>516286</v>
      </c>
      <c r="AT62">
        <f ca="1">_xll.BDP($B$20,$C$20,CONCATENATE("PX391=", $AT$53), CONCATENATE("PX392=",$AT$54), CONCATENATE("DS004=",$B$46), "Fill=B")</f>
        <v>456029</v>
      </c>
      <c r="AU62">
        <f ca="1">_xll.BDP($B$20,$C$20,CONCATENATE("PX391=", $AU$53), CONCATENATE("PX392=",$AU$54), CONCATENATE("DS004=",$B$46), "Fill=B")</f>
        <v>369189</v>
      </c>
      <c r="AV62">
        <f ca="1">_xll.BDP($B$20,$C$20,CONCATENATE("PX391=", $AV$53), CONCATENATE("PX392=",$AV$54), CONCATENATE("DS004=",$B$46), "Fill=B")</f>
        <v>306323</v>
      </c>
      <c r="AW62">
        <f ca="1">_xll.BDP($B$20,$C$20,CONCATENATE("PX391=", $AW$53), CONCATENATE("PX392=",$AW$54), CONCATENATE("DS004=",$B$46), "Fill=B")</f>
        <v>370111</v>
      </c>
      <c r="AX62">
        <f ca="1">_xll.BDP($B$20,$C$20,CONCATENATE("PX391=", $AX$53), CONCATENATE("PX392=",$AX$54), CONCATENATE("DS004=",$B$46), "Fill=B")</f>
        <v>220255</v>
      </c>
      <c r="AY62">
        <f ca="1">_xll.BDP($B$20,$C$20,CONCATENATE("PX391=", $AY$53), CONCATENATE("PX392=",$AY$54), CONCATENATE("DS004=",$B$46), "Fill=B")</f>
        <v>270025</v>
      </c>
      <c r="AZ62">
        <f ca="1">_xll.BDP($B$20,$C$20,CONCATENATE("PX391=", $AZ$53), CONCATENATE("PX392=",$AZ$54), CONCATENATE("DS004=",$B$46), "Fill=B")</f>
        <v>414731</v>
      </c>
      <c r="BA62">
        <f ca="1">_xll.BDP($B$20,$C$20,CONCATENATE("PX391=", $BA$53), CONCATENATE("PX392=",$BA$54), CONCATENATE("DS004=",$B$46), "Fill=B")</f>
        <v>373511</v>
      </c>
      <c r="BB62">
        <f ca="1">_xll.BDP($B$20,$C$20,CONCATENATE("PX391=", $BB$53), CONCATENATE("PX392=",$BB$54), CONCATENATE("DS004=",$B$46), "Fill=B")</f>
        <v>371350</v>
      </c>
      <c r="BC62">
        <f ca="1">_xll.BDP($B$20,$C$20,CONCATENATE("PX391=", $BC$53), CONCATENATE("PX392=",$BC$54), CONCATENATE("DS004=",$B$46), "Fill=B")</f>
        <v>392769</v>
      </c>
      <c r="BD62">
        <f ca="1">_xll.BDP($B$20,$C$20,CONCATENATE("PX391=", $BD$53), CONCATENATE("PX392=",$BD$54), CONCATENATE("DS004=",$B$46), "Fill=B")</f>
        <v>402320</v>
      </c>
      <c r="BE62">
        <f ca="1">_xll.BDP($B$20,$C$20,CONCATENATE("PX391=", $BE$53), CONCATENATE("PX392=",$BE$54), CONCATENATE("DS004=",$B$46), "Fill=B")</f>
        <v>437613</v>
      </c>
      <c r="BF62">
        <f ca="1">_xll.BDP($B$20,$C$20,CONCATENATE("PX391=", $BF$53), CONCATENATE("PX392=",$BF$54), CONCATENATE("DS004=",$B$46), "Fill=B")</f>
        <v>476438</v>
      </c>
      <c r="BG62">
        <f ca="1">_xll.BDP($B$20,$C$20,CONCATENATE("PX391=", $BG$53), CONCATENATE("PX392=",$BG$54), CONCATENATE("DS004=",$B$46), "Fill=B")</f>
        <v>396307</v>
      </c>
      <c r="BH62">
        <f ca="1">_xll.BDP($B$20,$C$20,CONCATENATE("PX391=", $BH$53), CONCATENATE("PX392=",$BH$54), CONCATENATE("DS004=",$B$46), "Fill=B")</f>
        <v>427789</v>
      </c>
      <c r="BI62">
        <f ca="1">_xll.BDP($B$20,$C$20,CONCATENATE("PX391=", $BI$53), CONCATENATE("PX392=",$BI$54), CONCATENATE("DS004=",$B$46), "Fill=B")</f>
        <v>360745</v>
      </c>
      <c r="BJ62">
        <f ca="1">_xll.BDP($B$20,$C$20,CONCATENATE("PX391=", $BJ$53), CONCATENATE("PX392=",$BJ$54), CONCATENATE("DS004=",$B$46), "Fill=B")</f>
        <v>297187</v>
      </c>
      <c r="BK62">
        <f ca="1">_xll.BDP($B$20,$C$20,CONCATENATE("PX391=", $BK$53), CONCATENATE("PX392=",$BK$54), CONCATENATE("DS004=",$B$46), "Fill=B")</f>
        <v>348316</v>
      </c>
      <c r="BL62">
        <f ca="1">_xll.BDP($B$20,$C$20,CONCATENATE("PX391=", $BL$53), CONCATENATE("PX392=",$BL$54), CONCATENATE("DS004=",$B$46), "Fill=B")</f>
        <v>429923</v>
      </c>
      <c r="BM62">
        <f ca="1">_xll.BDP($B$20,$C$20,CONCATENATE("PX391=", $BM$53), CONCATENATE("PX392=",$BM$54), CONCATENATE("DS004=",$B$46), "Fill=B")</f>
        <v>468906</v>
      </c>
      <c r="BN62">
        <f ca="1">_xll.BDP($B$20,$C$20,CONCATENATE("PX391=", $BN$53), CONCATENATE("PX392=",$BN$54), CONCATENATE("DS004=",$B$46), "Fill=B")</f>
        <v>422793</v>
      </c>
      <c r="BO62">
        <f ca="1">_xll.BDP($B$20,$C$20,CONCATENATE("PX391=", $BO$53), CONCATENATE("PX392=",$BO$54), CONCATENATE("DS004=",$B$46), "Fill=B")</f>
        <v>485824</v>
      </c>
      <c r="BP62">
        <f ca="1">_xll.BDP($B$20,$C$20,CONCATENATE("PX391=", $BP$53), CONCATENATE("PX392=",$BP$54), CONCATENATE("DS004=",$B$46), "Fill=B")</f>
        <v>414282</v>
      </c>
      <c r="BQ62">
        <f ca="1">_xll.BDP($B$20,$C$20,CONCATENATE("PX391=", $BQ$53), CONCATENATE("PX392=",$BQ$54), CONCATENATE("DS004=",$B$46), "Fill=B")</f>
        <v>420573</v>
      </c>
      <c r="BR62">
        <f ca="1">_xll.BDP($B$20,$C$20,CONCATENATE("PX391=", $BR$53), CONCATENATE("PX392=",$BR$54), CONCATENATE("DS004=",$B$46), "Fill=B")</f>
        <v>438165</v>
      </c>
      <c r="BS62">
        <f ca="1">_xll.BDP($B$20,$C$20,CONCATENATE("PX391=", $BS$53), CONCATENATE("PX392=",$BS$54), CONCATENATE("DS004=",$B$46), "Fill=B")</f>
        <v>382964</v>
      </c>
      <c r="BT62">
        <f ca="1">_xll.BDP($B$20,$C$20,CONCATENATE("PX391=", $BT$53), CONCATENATE("PX392=",$BT$54), CONCATENATE("DS004=",$B$46), "Fill=B")</f>
        <v>405587</v>
      </c>
      <c r="BU62">
        <f ca="1">_xll.BDP($B$20,$C$20,CONCATENATE("PX391=", $BU$53), CONCATENATE("PX392=",$BU$54), CONCATENATE("DS004=",$B$46), "Fill=B")</f>
        <v>361108</v>
      </c>
      <c r="BV62">
        <f ca="1">_xll.BDP($B$20,$C$20,CONCATENATE("PX391=", $BV$53), CONCATENATE("PX392=",$BV$54), CONCATENATE("DS004=",$B$46), "Fill=B")</f>
        <v>264460</v>
      </c>
      <c r="BW62">
        <f ca="1">_xll.BDP($B$20,$C$20,CONCATENATE("PX391=", $BW$53), CONCATENATE("PX392=",$BW$54), CONCATENATE("DS004=",$B$46), "Fill=B")</f>
        <v>383090</v>
      </c>
      <c r="BX62">
        <f ca="1">_xll.BDP($B$20,$C$20,CONCATENATE("PX391=", $BX$53), CONCATENATE("PX392=",$BX$54), CONCATENATE("DS004=",$B$46), "Fill=B")</f>
        <v>422832</v>
      </c>
      <c r="BY62">
        <f ca="1">_xll.BDP($B$20,$C$20,CONCATENATE("PX391=", $BY$53), CONCATENATE("PX392=",$BY$54), CONCATENATE("DS004=",$B$46), "Fill=B")</f>
        <v>385492</v>
      </c>
      <c r="BZ62">
        <f ca="1">_xll.BDP($B$20,$C$20,CONCATENATE("PX391=", $BZ$53), CONCATENATE("PX392=",$BZ$54), CONCATENATE("DS004=",$B$46), "Fill=B")</f>
        <v>463691</v>
      </c>
      <c r="CA62">
        <f ca="1">_xll.BDP($B$20,$C$20,CONCATENATE("PX391=", $CA$53), CONCATENATE("PX392=",$CA$54), CONCATENATE("DS004=",$B$46), "Fill=B")</f>
        <v>383385</v>
      </c>
      <c r="CB62">
        <f ca="1">_xll.BDP($B$20,$C$20,CONCATENATE("PX391=", $CB$53), CONCATENATE("PX392=",$CB$54), CONCATENATE("DS004=",$B$46), "Fill=B")</f>
        <v>388670</v>
      </c>
      <c r="CC62">
        <f ca="1">_xll.BDP($B$20,$C$20,CONCATENATE("PX391=", $CC$53), CONCATENATE("PX392=",$CC$54), CONCATENATE("DS004=",$B$46), "Fill=B")</f>
        <v>432479</v>
      </c>
      <c r="CD62">
        <f ca="1">_xll.BDP($B$20,$C$20,CONCATENATE("PX391=", $CD$53), CONCATENATE("PX392=",$CD$54), CONCATENATE("DS004=",$B$46), "Fill=B")</f>
        <v>417091</v>
      </c>
      <c r="CE62">
        <f ca="1">_xll.BDP($B$20,$C$20,CONCATENATE("PX391=", $CE$53), CONCATENATE("PX392=",$CE$54), CONCATENATE("DS004=",$B$46), "Fill=B")</f>
        <v>372272</v>
      </c>
      <c r="CF62">
        <f ca="1">_xll.BDP($B$20,$C$20,CONCATENATE("PX391=", $CF$53), CONCATENATE("PX392=",$CF$54), CONCATENATE("DS004=",$B$46), "Fill=B")</f>
        <v>413021</v>
      </c>
      <c r="CG62">
        <f ca="1">_xll.BDP($B$20,$C$20,CONCATENATE("PX391=", $CG$53), CONCATENATE("PX392=",$CG$54), CONCATENATE("DS004=",$B$46), "Fill=B")</f>
        <v>372041</v>
      </c>
      <c r="CH62">
        <f ca="1">_xll.BDP($B$20,$C$20,CONCATENATE("PX391=", $CH$53), CONCATENATE("PX392=",$CH$54), CONCATENATE("DS004=",$B$46), "Fill=B")</f>
        <v>373549</v>
      </c>
      <c r="CI62">
        <f ca="1">_xll.BDP($B$20,$C$20,CONCATENATE("PX391=", $CI$53), CONCATENATE("PX392=",$CI$54), CONCATENATE("DS004=",$B$46), "Fill=B")</f>
        <v>298975</v>
      </c>
      <c r="CJ62">
        <f ca="1">_xll.BDP($B$20,$C$20,CONCATENATE("PX391=", $CJ$53), CONCATENATE("PX392=",$CJ$54), CONCATENATE("DS004=",$B$46), "Fill=B")</f>
        <v>415423</v>
      </c>
      <c r="CK62">
        <f ca="1">_xll.BDP($B$20,$C$20,CONCATENATE("PX391=", $CK$53), CONCATENATE("PX392=",$CK$54), CONCATENATE("DS004=",$B$46), "Fill=B")</f>
        <v>394218</v>
      </c>
      <c r="CL62" t="str">
        <f>""</f>
        <v/>
      </c>
      <c r="CM62" t="str">
        <f>""</f>
        <v/>
      </c>
      <c r="CN62" t="str">
        <f>""</f>
        <v/>
      </c>
      <c r="CO62" t="str">
        <f>""</f>
        <v/>
      </c>
      <c r="CP62" t="str">
        <f>""</f>
        <v/>
      </c>
      <c r="CQ62" t="str">
        <f>""</f>
        <v/>
      </c>
      <c r="CR62" t="str">
        <f>""</f>
        <v/>
      </c>
      <c r="CS62" t="str">
        <f>""</f>
        <v/>
      </c>
      <c r="CT62" t="str">
        <f>""</f>
        <v/>
      </c>
      <c r="CU62" t="str">
        <f>""</f>
        <v/>
      </c>
      <c r="CV62" t="str">
        <f>""</f>
        <v/>
      </c>
      <c r="CW62" t="str">
        <f>""</f>
        <v/>
      </c>
      <c r="CX62" t="str">
        <f>""</f>
        <v/>
      </c>
      <c r="CY62" t="str">
        <f>""</f>
        <v/>
      </c>
      <c r="CZ62" t="str">
        <f>""</f>
        <v/>
      </c>
      <c r="DA62" t="str">
        <f>""</f>
        <v/>
      </c>
      <c r="DB62" t="str">
        <f>""</f>
        <v/>
      </c>
      <c r="DC62" t="str">
        <f>""</f>
        <v/>
      </c>
      <c r="DD62" t="str">
        <f>""</f>
        <v/>
      </c>
      <c r="DE62" t="str">
        <f>""</f>
        <v/>
      </c>
      <c r="DF62" t="str">
        <f>""</f>
        <v/>
      </c>
      <c r="DG62" t="str">
        <f>""</f>
        <v/>
      </c>
      <c r="DH62" t="str">
        <f>""</f>
        <v/>
      </c>
      <c r="DI62" t="str">
        <f>""</f>
        <v/>
      </c>
      <c r="DJ62" t="str">
        <f>""</f>
        <v/>
      </c>
      <c r="DK62" t="str">
        <f>""</f>
        <v/>
      </c>
      <c r="DL62" t="str">
        <f>""</f>
        <v/>
      </c>
      <c r="DM62" t="str">
        <f>""</f>
        <v/>
      </c>
      <c r="DN62" t="str">
        <f>""</f>
        <v/>
      </c>
      <c r="DO62" t="str">
        <f>""</f>
        <v/>
      </c>
      <c r="DP62" t="str">
        <f>""</f>
        <v/>
      </c>
      <c r="DQ62" t="str">
        <f>""</f>
        <v/>
      </c>
      <c r="DR62" t="str">
        <f>""</f>
        <v/>
      </c>
      <c r="DS62" t="str">
        <f>""</f>
        <v/>
      </c>
      <c r="DT62" t="str">
        <f>""</f>
        <v/>
      </c>
      <c r="DU62" t="str">
        <f>""</f>
        <v/>
      </c>
      <c r="DV62" t="str">
        <f>""</f>
        <v/>
      </c>
      <c r="DW62" t="str">
        <f>""</f>
        <v/>
      </c>
      <c r="DX62" t="str">
        <f>""</f>
        <v/>
      </c>
      <c r="DY62" t="str">
        <f>""</f>
        <v/>
      </c>
      <c r="DZ62" t="str">
        <f>""</f>
        <v/>
      </c>
      <c r="EA62" t="str">
        <f>""</f>
        <v/>
      </c>
      <c r="EB62" t="str">
        <f>""</f>
        <v/>
      </c>
      <c r="EC62" t="str">
        <f>""</f>
        <v/>
      </c>
      <c r="ED62" t="str">
        <f>""</f>
        <v/>
      </c>
      <c r="EE62" t="str">
        <f>""</f>
        <v/>
      </c>
      <c r="EF62" t="str">
        <f>""</f>
        <v/>
      </c>
      <c r="EG62" t="str">
        <f>""</f>
        <v/>
      </c>
      <c r="EH62" t="str">
        <f>""</f>
        <v/>
      </c>
      <c r="EI62" t="str">
        <f>""</f>
        <v/>
      </c>
      <c r="EJ62" t="str">
        <f>""</f>
        <v/>
      </c>
      <c r="EK62" t="str">
        <f>""</f>
        <v/>
      </c>
      <c r="EL62" t="str">
        <f>""</f>
        <v/>
      </c>
      <c r="EM62" t="str">
        <f>""</f>
        <v/>
      </c>
      <c r="EN62" t="str">
        <f>""</f>
        <v/>
      </c>
      <c r="EO62" t="str">
        <f>""</f>
        <v/>
      </c>
      <c r="EP62" t="str">
        <f>""</f>
        <v/>
      </c>
      <c r="EQ62" t="str">
        <f>""</f>
        <v/>
      </c>
      <c r="ER62" t="str">
        <f>""</f>
        <v/>
      </c>
      <c r="ES62" t="str">
        <f>""</f>
        <v/>
      </c>
      <c r="ET62" t="str">
        <f>""</f>
        <v/>
      </c>
      <c r="EU62" t="str">
        <f>""</f>
        <v/>
      </c>
      <c r="EV62" t="str">
        <f>""</f>
        <v/>
      </c>
      <c r="EW62" t="str">
        <f>""</f>
        <v/>
      </c>
      <c r="EX62" t="str">
        <f>""</f>
        <v/>
      </c>
      <c r="EY62" t="str">
        <f>""</f>
        <v/>
      </c>
      <c r="EZ62" t="str">
        <f>""</f>
        <v/>
      </c>
      <c r="FA62" t="str">
        <f>""</f>
        <v/>
      </c>
      <c r="FB62" t="str">
        <f>""</f>
        <v/>
      </c>
      <c r="FC62" t="str">
        <f>""</f>
        <v/>
      </c>
      <c r="FD62" t="str">
        <f>""</f>
        <v/>
      </c>
      <c r="FE62" t="str">
        <f>""</f>
        <v/>
      </c>
      <c r="FF62" t="str">
        <f>""</f>
        <v/>
      </c>
      <c r="FG62" t="str">
        <f>""</f>
        <v/>
      </c>
      <c r="FH62" t="str">
        <f>""</f>
        <v/>
      </c>
      <c r="FI62" t="str">
        <f>""</f>
        <v/>
      </c>
      <c r="FJ62" t="str">
        <f>""</f>
        <v/>
      </c>
      <c r="FK62" t="str">
        <f>""</f>
        <v/>
      </c>
      <c r="FL62" t="str">
        <f>""</f>
        <v/>
      </c>
      <c r="FM62" t="str">
        <f>""</f>
        <v/>
      </c>
      <c r="FN62" t="str">
        <f>""</f>
        <v/>
      </c>
      <c r="FO62" t="str">
        <f>""</f>
        <v/>
      </c>
      <c r="FP62" t="str">
        <f>""</f>
        <v/>
      </c>
      <c r="FQ62" t="str">
        <f>""</f>
        <v/>
      </c>
    </row>
    <row r="63" spans="1:173" x14ac:dyDescent="0.25">
      <c r="A63" t="str">
        <f>$A$21</f>
        <v xml:space="preserve">        Loaded Container Exports (TEU)</v>
      </c>
      <c r="B63" t="str">
        <f>$B$21</f>
        <v>LALBLAEX Index</v>
      </c>
      <c r="C63" t="str">
        <f>$C$21</f>
        <v>PX385</v>
      </c>
      <c r="D63" t="str">
        <f>$D$21</f>
        <v>INTERVAL_SUM</v>
      </c>
      <c r="E63" t="str">
        <f>$E$21</f>
        <v>Dynamic</v>
      </c>
      <c r="F63" t="str">
        <f ca="1">_xll.BDP($B$21,$C$21,CONCATENATE("PX391=", $F$53), CONCATENATE("PX392=",$F$54), CONCATENATE("DS004=",$B$46), "Fill=B")</f>
        <v/>
      </c>
      <c r="G63" t="str">
        <f ca="1">_xll.BDP($B$21,$C$21,CONCATENATE("PX391=", $G$53), CONCATENATE("PX392=",$G$54), CONCATENATE("DS004=",$B$46), "Fill=B")</f>
        <v/>
      </c>
      <c r="H63">
        <f ca="1">_xll.BDP($B$21,$C$21,CONCATENATE("PX391=", $H$53), CONCATENATE("PX392=",$H$54), CONCATENATE("DS004=",$B$46), "Fill=B")</f>
        <v>120635</v>
      </c>
      <c r="I63">
        <f ca="1">_xll.BDP($B$21,$C$21,CONCATENATE("PX391=", $I$53), CONCATENATE("PX392=",$I$54), CONCATENATE("DS004=",$B$46), "Fill=B")</f>
        <v>124988</v>
      </c>
      <c r="J63">
        <f ca="1">_xll.BDP($B$21,$C$21,CONCATENATE("PX391=", $J$53), CONCATENATE("PX392=",$J$54), CONCATENATE("DS004=",$B$46), "Fill=B")</f>
        <v>110372</v>
      </c>
      <c r="K63">
        <f ca="1">_xll.BDP($B$21,$C$21,CONCATENATE("PX391=", $K$53), CONCATENATE("PX392=",$K$54), CONCATENATE("DS004=",$B$46), "Fill=B")</f>
        <v>108050</v>
      </c>
      <c r="L63">
        <f ca="1">_xll.BDP($B$21,$C$21,CONCATENATE("PX391=", $L$53), CONCATENATE("PX392=",$L$54), CONCATENATE("DS004=",$B$46), "Fill=B")</f>
        <v>101741</v>
      </c>
      <c r="M63">
        <f ca="1">_xll.BDP($B$21,$C$21,CONCATENATE("PX391=", $M$53), CONCATENATE("PX392=",$M$54), CONCATENATE("DS004=",$B$46), "Fill=B")</f>
        <v>88202</v>
      </c>
      <c r="N63">
        <f ca="1">_xll.BDP($B$21,$C$21,CONCATENATE("PX391=", $N$53), CONCATENATE("PX392=",$N$54), CONCATENATE("DS004=",$B$46), "Fill=B")</f>
        <v>98276</v>
      </c>
      <c r="O63">
        <f ca="1">_xll.BDP($B$21,$C$21,CONCATENATE("PX391=", $O$53), CONCATENATE("PX392=",$O$54), CONCATENATE("DS004=",$B$46), "Fill=B")</f>
        <v>82404</v>
      </c>
      <c r="P63">
        <f ca="1">_xll.BDP($B$21,$C$21,CONCATENATE("PX391=", $P$53), CONCATENATE("PX392=",$P$54), CONCATENATE("DS004=",$B$46), "Fill=B")</f>
        <v>102723</v>
      </c>
      <c r="Q63">
        <f ca="1">_xll.BDP($B$21,$C$21,CONCATENATE("PX391=", $Q$53), CONCATENATE("PX392=",$Q$54), CONCATENATE("DS004=",$B$46), "Fill=B")</f>
        <v>96518</v>
      </c>
      <c r="R63">
        <f ca="1">_xll.BDP($B$21,$C$21,CONCATENATE("PX391=", $R$53), CONCATENATE("PX392=",$R$54), CONCATENATE("DS004=",$B$46), "Fill=B")</f>
        <v>90116</v>
      </c>
      <c r="S63">
        <f ca="1">_xll.BDP($B$21,$C$21,CONCATENATE("PX391=", $S$53), CONCATENATE("PX392=",$S$54), CONCATENATE("DS004=",$B$46), "Fill=B")</f>
        <v>89722</v>
      </c>
      <c r="T63">
        <f ca="1">_xll.BDP($B$21,$C$21,CONCATENATE("PX391=", $T$53), CONCATENATE("PX392=",$T$54), CONCATENATE("DS004=",$B$46), "Fill=B")</f>
        <v>77680</v>
      </c>
      <c r="U63">
        <f ca="1">_xll.BDP($B$21,$C$21,CONCATENATE("PX391=", $U$53), CONCATENATE("PX392=",$U$54), CONCATENATE("DS004=",$B$46), "Fill=B")</f>
        <v>102319</v>
      </c>
      <c r="V63">
        <f ca="1">_xll.BDP($B$21,$C$21,CONCATENATE("PX391=", $V$53), CONCATENATE("PX392=",$V$54), CONCATENATE("DS004=",$B$46), "Fill=B")</f>
        <v>103899</v>
      </c>
      <c r="W63">
        <f ca="1">_xll.BDP($B$21,$C$21,CONCATENATE("PX391=", $W$53), CONCATENATE("PX392=",$W$54), CONCATENATE("DS004=",$B$46), "Fill=B")</f>
        <v>93890</v>
      </c>
      <c r="X63">
        <f ca="1">_xll.BDP($B$21,$C$21,CONCATENATE("PX391=", $X$53), CONCATENATE("PX392=",$X$54), CONCATENATE("DS004=",$B$46), "Fill=B")</f>
        <v>125656</v>
      </c>
      <c r="Y63">
        <f ca="1">_xll.BDP($B$21,$C$21,CONCATENATE("PX391=", $Y$53), CONCATENATE("PX392=",$Y$54), CONCATENATE("DS004=",$B$46), "Fill=B")</f>
        <v>99878</v>
      </c>
      <c r="Z63">
        <f ca="1">_xll.BDP($B$21,$C$21,CONCATENATE("PX391=", $Z$53), CONCATENATE("PX392=",$Z$54), CONCATENATE("DS004=",$B$46), "Fill=B")</f>
        <v>111781</v>
      </c>
      <c r="AA63">
        <f ca="1">_xll.BDP($B$21,$C$21,CONCATENATE("PX391=", $AA$53), CONCATENATE("PX392=",$AA$54), CONCATENATE("DS004=",$B$46), "Fill=B")</f>
        <v>95441</v>
      </c>
      <c r="AB63">
        <f ca="1">_xll.BDP($B$21,$C$21,CONCATENATE("PX391=", $AB$53), CONCATENATE("PX392=",$AB$54), CONCATENATE("DS004=",$B$46), "Fill=B")</f>
        <v>100185</v>
      </c>
      <c r="AC63">
        <f ca="1">_xll.BDP($B$21,$C$21,CONCATENATE("PX391=", $AC$53), CONCATENATE("PX392=",$AC$54), CONCATENATE("DS004=",$B$46), "Fill=B")</f>
        <v>70872</v>
      </c>
      <c r="AD63">
        <f ca="1">_xll.BDP($B$21,$C$21,CONCATENATE("PX391=", $AD$53), CONCATENATE("PX392=",$AD$54), CONCATENATE("DS004=",$B$46), "Fill=B")</f>
        <v>82741</v>
      </c>
      <c r="AE63">
        <f ca="1">_xll.BDP($B$21,$C$21,CONCATENATE("PX391=", $AE$53), CONCATENATE("PX392=",$AE$54), CONCATENATE("DS004=",$B$46), "Fill=B")</f>
        <v>98251</v>
      </c>
      <c r="AF63">
        <f ca="1">_xll.BDP($B$21,$C$21,CONCATENATE("PX391=", $AF$53), CONCATENATE("PX392=",$AF$54), CONCATENATE("DS004=",$B$46), "Fill=B")</f>
        <v>75714</v>
      </c>
      <c r="AG63">
        <f ca="1">_xll.BDP($B$21,$C$21,CONCATENATE("PX391=", $AG$53), CONCATENATE("PX392=",$AG$54), CONCATENATE("DS004=",$B$46), "Fill=B")</f>
        <v>101292</v>
      </c>
      <c r="AH63">
        <f ca="1">_xll.BDP($B$21,$C$21,CONCATENATE("PX391=", $AH$53), CONCATENATE("PX392=",$AH$54), CONCATENATE("DS004=",$B$46), "Fill=B")</f>
        <v>91440</v>
      </c>
      <c r="AI63">
        <f ca="1">_xll.BDP($B$21,$C$21,CONCATENATE("PX391=", $AI$53), CONCATENATE("PX392=",$AI$54), CONCATENATE("DS004=",$B$46), "Fill=B")</f>
        <v>96067</v>
      </c>
      <c r="AJ63">
        <f ca="1">_xll.BDP($B$21,$C$21,CONCATENATE("PX391=", $AJ$53), CONCATENATE("PX392=",$AJ$54), CONCATENATE("DS004=",$B$46), "Fill=B")</f>
        <v>109886</v>
      </c>
      <c r="AK63">
        <f ca="1">_xll.BDP($B$21,$C$21,CONCATENATE("PX391=", $AK$53), CONCATENATE("PX392=",$AK$54), CONCATENATE("DS004=",$B$46), "Fill=B")</f>
        <v>114449</v>
      </c>
      <c r="AL63">
        <f ca="1">_xll.BDP($B$21,$C$21,CONCATENATE("PX391=", $AL$53), CONCATENATE("PX392=",$AL$54), CONCATENATE("DS004=",$B$46), "Fill=B")</f>
        <v>122899</v>
      </c>
      <c r="AM63">
        <f ca="1">_xll.BDP($B$21,$C$21,CONCATENATE("PX391=", $AM$53), CONCATENATE("PX392=",$AM$54), CONCATENATE("DS004=",$B$46), "Fill=B")</f>
        <v>101208</v>
      </c>
      <c r="AN63">
        <f ca="1">_xll.BDP($B$21,$C$21,CONCATENATE("PX391=", $AN$53), CONCATENATE("PX392=",$AN$54), CONCATENATE("DS004=",$B$46), "Fill=B")</f>
        <v>119327</v>
      </c>
      <c r="AO63">
        <f ca="1">_xll.BDP($B$21,$C$21,CONCATENATE("PX391=", $AO$53), CONCATENATE("PX392=",$AO$54), CONCATENATE("DS004=",$B$46), "Fill=B")</f>
        <v>120265</v>
      </c>
      <c r="AP63">
        <f ca="1">_xll.BDP($B$21,$C$21,CONCATENATE("PX391=", $AP$53), CONCATENATE("PX392=",$AP$54), CONCATENATE("DS004=",$B$46), "Fill=B")</f>
        <v>130917</v>
      </c>
      <c r="AQ63">
        <f ca="1">_xll.BDP($B$21,$C$21,CONCATENATE("PX391=", $AQ$53), CONCATENATE("PX392=",$AQ$54), CONCATENATE("DS004=",$B$46), "Fill=B")</f>
        <v>143936</v>
      </c>
      <c r="AR63">
        <f ca="1">_xll.BDP($B$21,$C$21,CONCATENATE("PX391=", $AR$53), CONCATENATE("PX392=",$AR$54), CONCATENATE("DS004=",$B$46), "Fill=B")</f>
        <v>130397</v>
      </c>
      <c r="AS63">
        <f ca="1">_xll.BDP($B$21,$C$21,CONCATENATE("PX391=", $AS$53), CONCATENATE("PX392=",$AS$54), CONCATENATE("DS004=",$B$46), "Fill=B")</f>
        <v>131429</v>
      </c>
      <c r="AT63">
        <f ca="1">_xll.BDP($B$21,$C$21,CONCATENATE("PX391=", $AT$53), CONCATENATE("PX392=",$AT$54), CONCATENATE("DS004=",$B$46), "Fill=B")</f>
        <v>126354</v>
      </c>
      <c r="AU63">
        <f ca="1">_xll.BDP($B$21,$C$21,CONCATENATE("PX391=", $AU$53), CONCATENATE("PX392=",$AU$54), CONCATENATE("DS004=",$B$46), "Fill=B")</f>
        <v>109586</v>
      </c>
      <c r="AV63">
        <f ca="1">_xll.BDP($B$21,$C$21,CONCATENATE("PX391=", $AV$53), CONCATENATE("PX392=",$AV$54), CONCATENATE("DS004=",$B$46), "Fill=B")</f>
        <v>104382</v>
      </c>
      <c r="AW63">
        <f ca="1">_xll.BDP($B$21,$C$21,CONCATENATE("PX391=", $AW$53), CONCATENATE("PX392=",$AW$54), CONCATENATE("DS004=",$B$46), "Fill=B")</f>
        <v>130321</v>
      </c>
      <c r="AX63">
        <f ca="1">_xll.BDP($B$21,$C$21,CONCATENATE("PX391=", $AX$53), CONCATENATE("PX392=",$AX$54), CONCATENATE("DS004=",$B$46), "Fill=B")</f>
        <v>121146</v>
      </c>
      <c r="AY63">
        <f ca="1">_xll.BDP($B$21,$C$21,CONCATENATE("PX391=", $AY$53), CONCATENATE("PX392=",$AY$54), CONCATENATE("DS004=",$B$46), "Fill=B")</f>
        <v>134469</v>
      </c>
      <c r="AZ63">
        <f ca="1">_xll.BDP($B$21,$C$21,CONCATENATE("PX391=", $AZ$53), CONCATENATE("PX392=",$AZ$54), CONCATENATE("DS004=",$B$46), "Fill=B")</f>
        <v>148206</v>
      </c>
      <c r="BA63">
        <f ca="1">_xll.BDP($B$21,$C$21,CONCATENATE("PX391=", $BA$53), CONCATENATE("PX392=",$BA$54), CONCATENATE("DS004=",$B$46), "Fill=B")</f>
        <v>130229</v>
      </c>
      <c r="BB63">
        <f ca="1">_xll.BDP($B$21,$C$21,CONCATENATE("PX391=", $BB$53), CONCATENATE("PX392=",$BB$54), CONCATENATE("DS004=",$B$46), "Fill=B")</f>
        <v>138545</v>
      </c>
      <c r="BC63">
        <f ca="1">_xll.BDP($B$21,$C$21,CONCATENATE("PX391=", $BC$53), CONCATENATE("PX392=",$BC$54), CONCATENATE("DS004=",$B$46), "Fill=B")</f>
        <v>140332</v>
      </c>
      <c r="BD63">
        <f ca="1">_xll.BDP($B$21,$C$21,CONCATENATE("PX391=", $BD$53), CONCATENATE("PX392=",$BD$54), CONCATENATE("DS004=",$B$46), "Fill=B")</f>
        <v>130769</v>
      </c>
      <c r="BE63">
        <f ca="1">_xll.BDP($B$21,$C$21,CONCATENATE("PX391=", $BE$53), CONCATENATE("PX392=",$BE$54), CONCATENATE("DS004=",$B$46), "Fill=B")</f>
        <v>146284</v>
      </c>
      <c r="BF63">
        <f ca="1">_xll.BDP($B$21,$C$21,CONCATENATE("PX391=", $BF$53), CONCATENATE("PX392=",$BF$54), CONCATENATE("DS004=",$B$46), "Fill=B")</f>
        <v>161340</v>
      </c>
      <c r="BG63">
        <f ca="1">_xll.BDP($B$21,$C$21,CONCATENATE("PX391=", $BG$53), CONCATENATE("PX392=",$BG$54), CONCATENATE("DS004=",$B$46), "Fill=B")</f>
        <v>139318</v>
      </c>
      <c r="BH63">
        <f ca="1">_xll.BDP($B$21,$C$21,CONCATENATE("PX391=", $BH$53), CONCATENATE("PX392=",$BH$54), CONCATENATE("DS004=",$B$46), "Fill=B")</f>
        <v>167357</v>
      </c>
      <c r="BI63">
        <f ca="1">_xll.BDP($B$21,$C$21,CONCATENATE("PX391=", $BI$53), CONCATENATE("PX392=",$BI$54), CONCATENATE("DS004=",$B$46), "Fill=B")</f>
        <v>155533</v>
      </c>
      <c r="BJ63">
        <f ca="1">_xll.BDP($B$21,$C$21,CONCATENATE("PX391=", $BJ$53), CONCATENATE("PX392=",$BJ$54), CONCATENATE("DS004=",$B$46), "Fill=B")</f>
        <v>158924</v>
      </c>
      <c r="BK63">
        <f ca="1">_xll.BDP($B$21,$C$21,CONCATENATE("PX391=", $BK$53), CONCATENATE("PX392=",$BK$54), CONCATENATE("DS004=",$B$46), "Fill=B")</f>
        <v>142555</v>
      </c>
      <c r="BL63">
        <f ca="1">_xll.BDP($B$21,$C$21,CONCATENATE("PX391=", $BL$53), CONCATENATE("PX392=",$BL$54), CONCATENATE("DS004=",$B$46), "Fill=B")</f>
        <v>144993</v>
      </c>
      <c r="BM63">
        <f ca="1">_xll.BDP($B$21,$C$21,CONCATENATE("PX391=", $BM$53), CONCATENATE("PX392=",$BM$54), CONCATENATE("DS004=",$B$46), "Fill=B")</f>
        <v>147965</v>
      </c>
      <c r="BN63">
        <f ca="1">_xll.BDP($B$21,$C$21,CONCATENATE("PX391=", $BN$53), CONCATENATE("PX392=",$BN$54), CONCATENATE("DS004=",$B$46), "Fill=B")</f>
        <v>152527</v>
      </c>
      <c r="BO63">
        <f ca="1">_xll.BDP($B$21,$C$21,CONCATENATE("PX391=", $BO$53), CONCATENATE("PX392=",$BO$54), CONCATENATE("DS004=",$B$46), "Fill=B")</f>
        <v>173824</v>
      </c>
      <c r="BP63">
        <f ca="1">_xll.BDP($B$21,$C$21,CONCATENATE("PX391=", $BP$53), CONCATENATE("PX392=",$BP$54), CONCATENATE("DS004=",$B$46), "Fill=B")</f>
        <v>147000</v>
      </c>
      <c r="BQ63">
        <f ca="1">_xll.BDP($B$21,$C$21,CONCATENATE("PX391=", $BQ$53), CONCATENATE("PX392=",$BQ$54), CONCATENATE("DS004=",$B$46), "Fill=B")</f>
        <v>162466</v>
      </c>
      <c r="BR63">
        <f ca="1">_xll.BDP($B$21,$C$21,CONCATENATE("PX391=", $BR$53), CONCATENATE("PX392=",$BR$54), CONCATENATE("DS004=",$B$46), "Fill=B")</f>
        <v>167992</v>
      </c>
      <c r="BS63">
        <f ca="1">_xll.BDP($B$21,$C$21,CONCATENATE("PX391=", $BS$53), CONCATENATE("PX392=",$BS$54), CONCATENATE("DS004=",$B$46), "Fill=B")</f>
        <v>147563</v>
      </c>
      <c r="BT63">
        <f ca="1">_xll.BDP($B$21,$C$21,CONCATENATE("PX391=", $BT$53), CONCATENATE("PX392=",$BT$54), CONCATENATE("DS004=",$B$46), "Fill=B")</f>
        <v>168681</v>
      </c>
      <c r="BU63">
        <f ca="1">_xll.BDP($B$21,$C$21,CONCATENATE("PX391=", $BU$53), CONCATENATE("PX392=",$BU$54), CONCATENATE("DS004=",$B$46), "Fill=B")</f>
        <v>164704</v>
      </c>
      <c r="BV63">
        <f ca="1">_xll.BDP($B$21,$C$21,CONCATENATE("PX391=", $BV$53), CONCATENATE("PX392=",$BV$54), CONCATENATE("DS004=",$B$46), "Fill=B")</f>
        <v>163707</v>
      </c>
      <c r="BW63">
        <f ca="1">_xll.BDP($B$21,$C$21,CONCATENATE("PX391=", $BW$53), CONCATENATE("PX392=",$BW$54), CONCATENATE("DS004=",$B$46), "Fill=B")</f>
        <v>157591</v>
      </c>
      <c r="BX63">
        <f ca="1">_xll.BDP($B$21,$C$21,CONCATENATE("PX391=", $BX$53), CONCATENATE("PX392=",$BX$54), CONCATENATE("DS004=",$B$46), "Fill=B")</f>
        <v>150035</v>
      </c>
      <c r="BY63">
        <f ca="1">_xll.BDP($B$21,$C$21,CONCATENATE("PX391=", $BY$53), CONCATENATE("PX392=",$BY$54), CONCATENATE("DS004=",$B$46), "Fill=B")</f>
        <v>152866</v>
      </c>
      <c r="BZ63">
        <f ca="1">_xll.BDP($B$21,$C$21,CONCATENATE("PX391=", $BZ$53), CONCATENATE("PX392=",$BZ$54), CONCATENATE("DS004=",$B$46), "Fill=B")</f>
        <v>177913</v>
      </c>
      <c r="CA63">
        <f ca="1">_xll.BDP($B$21,$C$21,CONCATENATE("PX391=", $CA$53), CONCATENATE("PX392=",$CA$54), CONCATENATE("DS004=",$B$46), "Fill=B")</f>
        <v>144210</v>
      </c>
      <c r="CB63">
        <f ca="1">_xll.BDP($B$21,$C$21,CONCATENATE("PX391=", $CB$53), CONCATENATE("PX392=",$CB$54), CONCATENATE("DS004=",$B$46), "Fill=B")</f>
        <v>128446</v>
      </c>
      <c r="CC63">
        <f ca="1">_xll.BDP($B$21,$C$21,CONCATENATE("PX391=", $CC$53), CONCATENATE("PX392=",$CC$54), CONCATENATE("DS004=",$B$46), "Fill=B")</f>
        <v>159197</v>
      </c>
      <c r="CD63">
        <f ca="1">_xll.BDP($B$21,$C$21,CONCATENATE("PX391=", $CD$53), CONCATENATE("PX392=",$CD$54), CONCATENATE("DS004=",$B$46), "Fill=B")</f>
        <v>154926</v>
      </c>
      <c r="CE63">
        <f ca="1">_xll.BDP($B$21,$C$21,CONCATENATE("PX391=", $CE$53), CONCATENATE("PX392=",$CE$54), CONCATENATE("DS004=",$B$46), "Fill=B")</f>
        <v>145528</v>
      </c>
      <c r="CF63">
        <f ca="1">_xll.BDP($B$21,$C$21,CONCATENATE("PX391=", $CF$53), CONCATENATE("PX392=",$CF$54), CONCATENATE("DS004=",$B$46), "Fill=B")</f>
        <v>169639</v>
      </c>
      <c r="CG63">
        <f ca="1">_xll.BDP($B$21,$C$21,CONCATENATE("PX391=", $CG$53), CONCATENATE("PX392=",$CG$54), CONCATENATE("DS004=",$B$46), "Fill=B")</f>
        <v>157662</v>
      </c>
      <c r="CH63">
        <f ca="1">_xll.BDP($B$21,$C$21,CONCATENATE("PX391=", $CH$53), CONCATENATE("PX392=",$CH$54), CONCATENATE("DS004=",$B$46), "Fill=B")</f>
        <v>191772</v>
      </c>
      <c r="CI63">
        <f ca="1">_xll.BDP($B$21,$C$21,CONCATENATE("PX391=", $CI$53), CONCATENATE("PX392=",$CI$54), CONCATENATE("DS004=",$B$46), "Fill=B")</f>
        <v>155358</v>
      </c>
      <c r="CJ63">
        <f ca="1">_xll.BDP($B$21,$C$21,CONCATENATE("PX391=", $CJ$53), CONCATENATE("PX392=",$CJ$54), CONCATENATE("DS004=",$B$46), "Fill=B")</f>
        <v>162420</v>
      </c>
      <c r="CK63">
        <f ca="1">_xll.BDP($B$21,$C$21,CONCATENATE("PX391=", $CK$53), CONCATENATE("PX392=",$CK$54), CONCATENATE("DS004=",$B$46), "Fill=B")</f>
        <v>164901</v>
      </c>
      <c r="CL63" t="str">
        <f>""</f>
        <v/>
      </c>
      <c r="CM63" t="str">
        <f>""</f>
        <v/>
      </c>
      <c r="CN63" t="str">
        <f>""</f>
        <v/>
      </c>
      <c r="CO63" t="str">
        <f>""</f>
        <v/>
      </c>
      <c r="CP63" t="str">
        <f>""</f>
        <v/>
      </c>
      <c r="CQ63" t="str">
        <f>""</f>
        <v/>
      </c>
      <c r="CR63" t="str">
        <f>""</f>
        <v/>
      </c>
      <c r="CS63" t="str">
        <f>""</f>
        <v/>
      </c>
      <c r="CT63" t="str">
        <f>""</f>
        <v/>
      </c>
      <c r="CU63" t="str">
        <f>""</f>
        <v/>
      </c>
      <c r="CV63" t="str">
        <f>""</f>
        <v/>
      </c>
      <c r="CW63" t="str">
        <f>""</f>
        <v/>
      </c>
      <c r="CX63" t="str">
        <f>""</f>
        <v/>
      </c>
      <c r="CY63" t="str">
        <f>""</f>
        <v/>
      </c>
      <c r="CZ63" t="str">
        <f>""</f>
        <v/>
      </c>
      <c r="DA63" t="str">
        <f>""</f>
        <v/>
      </c>
      <c r="DB63" t="str">
        <f>""</f>
        <v/>
      </c>
      <c r="DC63" t="str">
        <f>""</f>
        <v/>
      </c>
      <c r="DD63" t="str">
        <f>""</f>
        <v/>
      </c>
      <c r="DE63" t="str">
        <f>""</f>
        <v/>
      </c>
      <c r="DF63" t="str">
        <f>""</f>
        <v/>
      </c>
      <c r="DG63" t="str">
        <f>""</f>
        <v/>
      </c>
      <c r="DH63" t="str">
        <f>""</f>
        <v/>
      </c>
      <c r="DI63" t="str">
        <f>""</f>
        <v/>
      </c>
      <c r="DJ63" t="str">
        <f>""</f>
        <v/>
      </c>
      <c r="DK63" t="str">
        <f>""</f>
        <v/>
      </c>
      <c r="DL63" t="str">
        <f>""</f>
        <v/>
      </c>
      <c r="DM63" t="str">
        <f>""</f>
        <v/>
      </c>
      <c r="DN63" t="str">
        <f>""</f>
        <v/>
      </c>
      <c r="DO63" t="str">
        <f>""</f>
        <v/>
      </c>
      <c r="DP63" t="str">
        <f>""</f>
        <v/>
      </c>
      <c r="DQ63" t="str">
        <f>""</f>
        <v/>
      </c>
      <c r="DR63" t="str">
        <f>""</f>
        <v/>
      </c>
      <c r="DS63" t="str">
        <f>""</f>
        <v/>
      </c>
      <c r="DT63" t="str">
        <f>""</f>
        <v/>
      </c>
      <c r="DU63" t="str">
        <f>""</f>
        <v/>
      </c>
      <c r="DV63" t="str">
        <f>""</f>
        <v/>
      </c>
      <c r="DW63" t="str">
        <f>""</f>
        <v/>
      </c>
      <c r="DX63" t="str">
        <f>""</f>
        <v/>
      </c>
      <c r="DY63" t="str">
        <f>""</f>
        <v/>
      </c>
      <c r="DZ63" t="str">
        <f>""</f>
        <v/>
      </c>
      <c r="EA63" t="str">
        <f>""</f>
        <v/>
      </c>
      <c r="EB63" t="str">
        <f>""</f>
        <v/>
      </c>
      <c r="EC63" t="str">
        <f>""</f>
        <v/>
      </c>
      <c r="ED63" t="str">
        <f>""</f>
        <v/>
      </c>
      <c r="EE63" t="str">
        <f>""</f>
        <v/>
      </c>
      <c r="EF63" t="str">
        <f>""</f>
        <v/>
      </c>
      <c r="EG63" t="str">
        <f>""</f>
        <v/>
      </c>
      <c r="EH63" t="str">
        <f>""</f>
        <v/>
      </c>
      <c r="EI63" t="str">
        <f>""</f>
        <v/>
      </c>
      <c r="EJ63" t="str">
        <f>""</f>
        <v/>
      </c>
      <c r="EK63" t="str">
        <f>""</f>
        <v/>
      </c>
      <c r="EL63" t="str">
        <f>""</f>
        <v/>
      </c>
      <c r="EM63" t="str">
        <f>""</f>
        <v/>
      </c>
      <c r="EN63" t="str">
        <f>""</f>
        <v/>
      </c>
      <c r="EO63" t="str">
        <f>""</f>
        <v/>
      </c>
      <c r="EP63" t="str">
        <f>""</f>
        <v/>
      </c>
      <c r="EQ63" t="str">
        <f>""</f>
        <v/>
      </c>
      <c r="ER63" t="str">
        <f>""</f>
        <v/>
      </c>
      <c r="ES63" t="str">
        <f>""</f>
        <v/>
      </c>
      <c r="ET63" t="str">
        <f>""</f>
        <v/>
      </c>
      <c r="EU63" t="str">
        <f>""</f>
        <v/>
      </c>
      <c r="EV63" t="str">
        <f>""</f>
        <v/>
      </c>
      <c r="EW63" t="str">
        <f>""</f>
        <v/>
      </c>
      <c r="EX63" t="str">
        <f>""</f>
        <v/>
      </c>
      <c r="EY63" t="str">
        <f>""</f>
        <v/>
      </c>
      <c r="EZ63" t="str">
        <f>""</f>
        <v/>
      </c>
      <c r="FA63" t="str">
        <f>""</f>
        <v/>
      </c>
      <c r="FB63" t="str">
        <f>""</f>
        <v/>
      </c>
      <c r="FC63" t="str">
        <f>""</f>
        <v/>
      </c>
      <c r="FD63" t="str">
        <f>""</f>
        <v/>
      </c>
      <c r="FE63" t="str">
        <f>""</f>
        <v/>
      </c>
      <c r="FF63" t="str">
        <f>""</f>
        <v/>
      </c>
      <c r="FG63" t="str">
        <f>""</f>
        <v/>
      </c>
      <c r="FH63" t="str">
        <f>""</f>
        <v/>
      </c>
      <c r="FI63" t="str">
        <f>""</f>
        <v/>
      </c>
      <c r="FJ63" t="str">
        <f>""</f>
        <v/>
      </c>
      <c r="FK63" t="str">
        <f>""</f>
        <v/>
      </c>
      <c r="FL63" t="str">
        <f>""</f>
        <v/>
      </c>
      <c r="FM63" t="str">
        <f>""</f>
        <v/>
      </c>
      <c r="FN63" t="str">
        <f>""</f>
        <v/>
      </c>
      <c r="FO63" t="str">
        <f>""</f>
        <v/>
      </c>
      <c r="FP63" t="str">
        <f>""</f>
        <v/>
      </c>
      <c r="FQ63" t="str">
        <f>""</f>
        <v/>
      </c>
    </row>
    <row r="64" spans="1:173" x14ac:dyDescent="0.25">
      <c r="A64" t="str">
        <f>$A$22</f>
        <v xml:space="preserve">        Empty Containers (TEU)</v>
      </c>
      <c r="B64" t="str">
        <f>$B$22</f>
        <v>LALBLAEM Index</v>
      </c>
      <c r="C64" t="str">
        <f>$C$22</f>
        <v>PX385</v>
      </c>
      <c r="D64" t="str">
        <f>$D$22</f>
        <v>INTERVAL_SUM</v>
      </c>
      <c r="E64" t="str">
        <f>$E$22</f>
        <v>Dynamic</v>
      </c>
      <c r="F64" t="str">
        <f ca="1">_xll.BDP($B$22,$C$22,CONCATENATE("PX391=", $F$53), CONCATENATE("PX392=",$F$54), CONCATENATE("DS004=",$B$46), "Fill=B")</f>
        <v/>
      </c>
      <c r="G64" t="str">
        <f ca="1">_xll.BDP($B$22,$C$22,CONCATENATE("PX391=", $G$53), CONCATENATE("PX392=",$G$54), CONCATENATE("DS004=",$B$46), "Fill=B")</f>
        <v/>
      </c>
      <c r="H64">
        <f ca="1">_xll.BDP($B$22,$C$22,CONCATENATE("PX391=", $H$53), CONCATENATE("PX392=",$H$54), CONCATENATE("DS004=",$B$46), "Fill=B")</f>
        <v>235197</v>
      </c>
      <c r="I64">
        <f ca="1">_xll.BDP($B$22,$C$22,CONCATENATE("PX391=", $I$53), CONCATENATE("PX392=",$I$54), CONCATENATE("DS004=",$B$46), "Fill=B")</f>
        <v>269804</v>
      </c>
      <c r="J64">
        <f ca="1">_xll.BDP($B$22,$C$22,CONCATENATE("PX391=", $J$53), CONCATENATE("PX392=",$J$54), CONCATENATE("DS004=",$B$46), "Fill=B")</f>
        <v>209710</v>
      </c>
      <c r="K64">
        <f ca="1">_xll.BDP($B$22,$C$22,CONCATENATE("PX391=", $K$53), CONCATENATE("PX392=",$K$54), CONCATENATE("DS004=",$B$46), "Fill=B")</f>
        <v>289679</v>
      </c>
      <c r="L64">
        <f ca="1">_xll.BDP($B$22,$C$22,CONCATENATE("PX391=", $L$53), CONCATENATE("PX392=",$L$54), CONCATENATE("DS004=",$B$46), "Fill=B")</f>
        <v>268249</v>
      </c>
      <c r="M64">
        <f ca="1">_xll.BDP($B$22,$C$22,CONCATENATE("PX391=", $M$53), CONCATENATE("PX392=",$M$54), CONCATENATE("DS004=",$B$46), "Fill=B")</f>
        <v>256220</v>
      </c>
      <c r="N64">
        <f ca="1">_xll.BDP($B$22,$C$22,CONCATENATE("PX391=", $N$53), CONCATENATE("PX392=",$N$54), CONCATENATE("DS004=",$B$46), "Fill=B")</f>
        <v>204996</v>
      </c>
      <c r="O64">
        <f ca="1">_xll.BDP($B$22,$C$22,CONCATENATE("PX391=", $O$53), CONCATENATE("PX392=",$O$54), CONCATENATE("DS004=",$B$46), "Fill=B")</f>
        <v>156035</v>
      </c>
      <c r="P64">
        <f ca="1">_xll.BDP($B$22,$C$22,CONCATENATE("PX391=", $P$53), CONCATENATE("PX392=",$P$54), CONCATENATE("DS004=",$B$46), "Fill=B")</f>
        <v>251251</v>
      </c>
      <c r="Q64">
        <f ca="1">_xll.BDP($B$22,$C$22,CONCATENATE("PX391=", $Q$53), CONCATENATE("PX392=",$Q$54), CONCATENATE("DS004=",$B$46), "Fill=B")</f>
        <v>280307</v>
      </c>
      <c r="R64">
        <f ca="1">_xll.BDP($B$22,$C$22,CONCATENATE("PX391=", $R$53), CONCATENATE("PX392=",$R$54), CONCATENATE("DS004=",$B$46), "Fill=B")</f>
        <v>242148</v>
      </c>
      <c r="S64">
        <f ca="1">_xll.BDP($B$22,$C$22,CONCATENATE("PX391=", $S$53), CONCATENATE("PX392=",$S$54), CONCATENATE("DS004=",$B$46), "Fill=B")</f>
        <v>252401</v>
      </c>
      <c r="T64">
        <f ca="1">_xll.BDP($B$22,$C$22,CONCATENATE("PX391=", $T$53), CONCATENATE("PX392=",$T$54), CONCATENATE("DS004=",$B$46), "Fill=B")</f>
        <v>288731</v>
      </c>
      <c r="U64">
        <f ca="1">_xll.BDP($B$22,$C$22,CONCATENATE("PX391=", $U$53), CONCATENATE("PX392=",$U$54), CONCATENATE("DS004=",$B$46), "Fill=B")</f>
        <v>299394</v>
      </c>
      <c r="V64">
        <f ca="1">_xll.BDP($B$22,$C$22,CONCATENATE("PX391=", $V$53), CONCATENATE("PX392=",$V$54), CONCATENATE("DS004=",$B$46), "Fill=B")</f>
        <v>346073</v>
      </c>
      <c r="W64">
        <f ca="1">_xll.BDP($B$22,$C$22,CONCATENATE("PX391=", $W$53), CONCATENATE("PX392=",$W$54), CONCATENATE("DS004=",$B$46), "Fill=B")</f>
        <v>338041</v>
      </c>
      <c r="X64">
        <f ca="1">_xll.BDP($B$22,$C$22,CONCATENATE("PX391=", $X$53), CONCATENATE("PX392=",$X$54), CONCATENATE("DS004=",$B$46), "Fill=B")</f>
        <v>342285</v>
      </c>
      <c r="Y64">
        <f ca="1">_xll.BDP($B$22,$C$22,CONCATENATE("PX391=", $Y$53), CONCATENATE("PX392=",$Y$54), CONCATENATE("DS004=",$B$46), "Fill=B")</f>
        <v>330810</v>
      </c>
      <c r="Z64">
        <f ca="1">_xll.BDP($B$22,$C$22,CONCATENATE("PX391=", $Z$53), CONCATENATE("PX392=",$Z$54), CONCATENATE("DS004=",$B$46), "Fill=B")</f>
        <v>351697</v>
      </c>
      <c r="AA64">
        <f ca="1">_xll.BDP($B$22,$C$22,CONCATENATE("PX391=", $AA$53), CONCATENATE("PX392=",$AA$54), CONCATENATE("DS004=",$B$46), "Fill=B")</f>
        <v>338251</v>
      </c>
      <c r="AB64">
        <f ca="1">_xll.BDP($B$22,$C$22,CONCATENATE("PX391=", $AB$53), CONCATENATE("PX392=",$AB$54), CONCATENATE("DS004=",$B$46), "Fill=B")</f>
        <v>338202</v>
      </c>
      <c r="AC64">
        <f ca="1">_xll.BDP($B$22,$C$22,CONCATENATE("PX391=", $AC$53), CONCATENATE("PX392=",$AC$54), CONCATENATE("DS004=",$B$46), "Fill=B")</f>
        <v>330466</v>
      </c>
      <c r="AD64">
        <f ca="1">_xll.BDP($B$22,$C$22,CONCATENATE("PX391=", $AD$53), CONCATENATE("PX392=",$AD$54), CONCATENATE("DS004=",$B$46), "Fill=B")</f>
        <v>325275</v>
      </c>
      <c r="AE64">
        <f ca="1">_xll.BDP($B$22,$C$22,CONCATENATE("PX391=", $AE$53), CONCATENATE("PX392=",$AE$54), CONCATENATE("DS004=",$B$46), "Fill=B")</f>
        <v>337106</v>
      </c>
      <c r="AF64">
        <f ca="1">_xll.BDP($B$22,$C$22,CONCATENATE("PX391=", $AF$53), CONCATENATE("PX392=",$AF$54), CONCATENATE("DS004=",$B$46), "Fill=B")</f>
        <v>360092</v>
      </c>
      <c r="AG64">
        <f ca="1">_xll.BDP($B$22,$C$22,CONCATENATE("PX391=", $AG$53), CONCATENATE("PX392=",$AG$54), CONCATENATE("DS004=",$B$46), "Fill=B")</f>
        <v>367413</v>
      </c>
      <c r="AH64">
        <f ca="1">_xll.BDP($B$22,$C$22,CONCATENATE("PX391=", $AH$53), CONCATENATE("PX392=",$AH$54), CONCATENATE("DS004=",$B$46), "Fill=B")</f>
        <v>329999</v>
      </c>
      <c r="AI64">
        <f ca="1">_xll.BDP($B$22,$C$22,CONCATENATE("PX391=", $AI$53), CONCATENATE("PX392=",$AI$54), CONCATENATE("DS004=",$B$46), "Fill=B")</f>
        <v>312600</v>
      </c>
      <c r="AJ64">
        <f ca="1">_xll.BDP($B$22,$C$22,CONCATENATE("PX391=", $AJ$53), CONCATENATE("PX392=",$AJ$54), CONCATENATE("DS004=",$B$46), "Fill=B")</f>
        <v>366448</v>
      </c>
      <c r="AK64">
        <f ca="1">_xll.BDP($B$22,$C$22,CONCATENATE("PX391=", $AK$53), CONCATENATE("PX392=",$AK$54), CONCATENATE("DS004=",$B$46), "Fill=B")</f>
        <v>342391</v>
      </c>
      <c r="AL64">
        <f ca="1">_xll.BDP($B$22,$C$22,CONCATENATE("PX391=", $AL$53), CONCATENATE("PX392=",$AL$54), CONCATENATE("DS004=",$B$46), "Fill=B")</f>
        <v>344585</v>
      </c>
      <c r="AM64">
        <f ca="1">_xll.BDP($B$22,$C$22,CONCATENATE("PX391=", $AM$53), CONCATENATE("PX392=",$AM$54), CONCATENATE("DS004=",$B$46), "Fill=B")</f>
        <v>285223</v>
      </c>
      <c r="AN64">
        <f ca="1">_xll.BDP($B$22,$C$22,CONCATENATE("PX391=", $AN$53), CONCATENATE("PX392=",$AN$54), CONCATENATE("DS004=",$B$46), "Fill=B")</f>
        <v>278580</v>
      </c>
      <c r="AO64">
        <f ca="1">_xll.BDP($B$22,$C$22,CONCATENATE("PX391=", $AO$53), CONCATENATE("PX392=",$AO$54), CONCATENATE("DS004=",$B$46), "Fill=B")</f>
        <v>298056</v>
      </c>
      <c r="AP64">
        <f ca="1">_xll.BDP($B$22,$C$22,CONCATENATE("PX391=", $AP$53), CONCATENATE("PX392=",$AP$54), CONCATENATE("DS004=",$B$46), "Fill=B")</f>
        <v>294010</v>
      </c>
      <c r="AQ64">
        <f ca="1">_xll.BDP($B$22,$C$22,CONCATENATE("PX391=", $AQ$53), CONCATENATE("PX392=",$AQ$54), CONCATENATE("DS004=",$B$46), "Fill=B")</f>
        <v>330180</v>
      </c>
      <c r="AR64">
        <f ca="1">_xll.BDP($B$22,$C$22,CONCATENATE("PX391=", $AR$53), CONCATENATE("PX392=",$AR$54), CONCATENATE("DS004=",$B$46), "Fill=B")</f>
        <v>281434</v>
      </c>
      <c r="AS64">
        <f ca="1">_xll.BDP($B$22,$C$22,CONCATENATE("PX391=", $AS$53), CONCATENATE("PX392=",$AS$54), CONCATENATE("DS004=",$B$46), "Fill=B")</f>
        <v>314118</v>
      </c>
      <c r="AT64">
        <f ca="1">_xll.BDP($B$22,$C$22,CONCATENATE("PX391=", $AT$53), CONCATENATE("PX392=",$AT$54), CONCATENATE("DS004=",$B$46), "Fill=B")</f>
        <v>274007</v>
      </c>
      <c r="AU64">
        <f ca="1">_xll.BDP($B$22,$C$22,CONCATENATE("PX391=", $AU$53), CONCATENATE("PX392=",$AU$54), CONCATENATE("DS004=",$B$46), "Fill=B")</f>
        <v>212701</v>
      </c>
      <c r="AV64">
        <f ca="1">_xll.BDP($B$22,$C$22,CONCATENATE("PX391=", $AV$53), CONCATENATE("PX392=",$AV$54), CONCATENATE("DS004=",$B$46), "Fill=B")</f>
        <v>170960</v>
      </c>
      <c r="AW64">
        <f ca="1">_xll.BDP($B$22,$C$22,CONCATENATE("PX391=", $AW$53), CONCATENATE("PX392=",$AW$54), CONCATENATE("DS004=",$B$46), "Fill=B")</f>
        <v>188567</v>
      </c>
      <c r="AX64">
        <f ca="1">_xll.BDP($B$22,$C$22,CONCATENATE("PX391=", $AX$53), CONCATENATE("PX392=",$AX$54), CONCATENATE("DS004=",$B$46), "Fill=B")</f>
        <v>108168</v>
      </c>
      <c r="AY64">
        <f ca="1">_xll.BDP($B$22,$C$22,CONCATENATE("PX391=", $AY$53), CONCATENATE("PX392=",$AY$54), CONCATENATE("DS004=",$B$46), "Fill=B")</f>
        <v>139544</v>
      </c>
      <c r="AZ64">
        <f ca="1">_xll.BDP($B$22,$C$22,CONCATENATE("PX391=", $AZ$53), CONCATENATE("PX392=",$AZ$54), CONCATENATE("DS004=",$B$46), "Fill=B")</f>
        <v>243207</v>
      </c>
      <c r="BA64">
        <f ca="1">_xll.BDP($B$22,$C$22,CONCATENATE("PX391=", $BA$53), CONCATENATE("PX392=",$BA$54), CONCATENATE("DS004=",$B$46), "Fill=B")</f>
        <v>243010</v>
      </c>
      <c r="BB64">
        <f ca="1">_xll.BDP($B$22,$C$22,CONCATENATE("PX391=", $BB$53), CONCATENATE("PX392=",$BB$54), CONCATENATE("DS004=",$B$46), "Fill=B")</f>
        <v>219024</v>
      </c>
      <c r="BC64">
        <f ca="1">_xll.BDP($B$22,$C$22,CONCATENATE("PX391=", $BC$53), CONCATENATE("PX392=",$BC$54), CONCATENATE("DS004=",$B$46), "Fill=B")</f>
        <v>237088</v>
      </c>
      <c r="BD64">
        <f ca="1">_xll.BDP($B$22,$C$22,CONCATENATE("PX391=", $BD$53), CONCATENATE("PX392=",$BD$54), CONCATENATE("DS004=",$B$46), "Fill=B")</f>
        <v>246814</v>
      </c>
      <c r="BE64">
        <f ca="1">_xll.BDP($B$22,$C$22,CONCATENATE("PX391=", $BE$53), CONCATENATE("PX392=",$BE$54), CONCATENATE("DS004=",$B$46), "Fill=B")</f>
        <v>277184</v>
      </c>
      <c r="BF64">
        <f ca="1">_xll.BDP($B$22,$C$22,CONCATENATE("PX391=", $BF$53), CONCATENATE("PX392=",$BF$54), CONCATENATE("DS004=",$B$46), "Fill=B")</f>
        <v>274376</v>
      </c>
      <c r="BG64">
        <f ca="1">_xll.BDP($B$22,$C$22,CONCATENATE("PX391=", $BG$53), CONCATENATE("PX392=",$BG$54), CONCATENATE("DS004=",$B$46), "Fill=B")</f>
        <v>229153</v>
      </c>
      <c r="BH64">
        <f ca="1">_xll.BDP($B$22,$C$22,CONCATENATE("PX391=", $BH$53), CONCATENATE("PX392=",$BH$54), CONCATENATE("DS004=",$B$46), "Fill=B")</f>
        <v>233516</v>
      </c>
      <c r="BI64">
        <f ca="1">_xll.BDP($B$22,$C$22,CONCATENATE("PX391=", $BI$53), CONCATENATE("PX392=",$BI$54), CONCATENATE("DS004=",$B$46), "Fill=B")</f>
        <v>220189</v>
      </c>
      <c r="BJ64">
        <f ca="1">_xll.BDP($B$22,$C$22,CONCATENATE("PX391=", $BJ$53), CONCATENATE("PX392=",$BJ$54), CONCATENATE("DS004=",$B$46), "Fill=B")</f>
        <v>194866</v>
      </c>
      <c r="BK64">
        <f ca="1">_xll.BDP($B$22,$C$22,CONCATENATE("PX391=", $BK$53), CONCATENATE("PX392=",$BK$54), CONCATENATE("DS004=",$B$46), "Fill=B")</f>
        <v>214436</v>
      </c>
      <c r="BL64">
        <f ca="1">_xll.BDP($B$22,$C$22,CONCATENATE("PX391=", $BL$53), CONCATENATE("PX392=",$BL$54), CONCATENATE("DS004=",$B$46), "Fill=B")</f>
        <v>277534</v>
      </c>
      <c r="BM64">
        <f ca="1">_xll.BDP($B$22,$C$22,CONCATENATE("PX391=", $BM$53), CONCATENATE("PX392=",$BM$54), CONCATENATE("DS004=",$B$46), "Fill=B")</f>
        <v>286387</v>
      </c>
      <c r="BN64">
        <f ca="1">_xll.BDP($B$22,$C$22,CONCATENATE("PX391=", $BN$53), CONCATENATE("PX392=",$BN$54), CONCATENATE("DS004=",$B$46), "Fill=B")</f>
        <v>257011</v>
      </c>
      <c r="BO64">
        <f ca="1">_xll.BDP($B$22,$C$22,CONCATENATE("PX391=", $BO$53), CONCATENATE("PX392=",$BO$54), CONCATENATE("DS004=",$B$46), "Fill=B")</f>
        <v>292906</v>
      </c>
      <c r="BP64">
        <f ca="1">_xll.BDP($B$22,$C$22,CONCATENATE("PX391=", $BP$53), CONCATENATE("PX392=",$BP$54), CONCATENATE("DS004=",$B$46), "Fill=B")</f>
        <v>239983</v>
      </c>
      <c r="BQ64">
        <f ca="1">_xll.BDP($B$22,$C$22,CONCATENATE("PX391=", $BQ$53), CONCATENATE("PX392=",$BQ$54), CONCATENATE("DS004=",$B$46), "Fill=B")</f>
        <v>243600</v>
      </c>
      <c r="BR64">
        <f ca="1">_xll.BDP($B$22,$C$22,CONCATENATE("PX391=", $BR$53), CONCATENATE("PX392=",$BR$54), CONCATENATE("DS004=",$B$46), "Fill=B")</f>
        <v>227412</v>
      </c>
      <c r="BS64">
        <f ca="1">_xll.BDP($B$22,$C$22,CONCATENATE("PX391=", $BS$53), CONCATENATE("PX392=",$BS$54), CONCATENATE("DS004=",$B$46), "Fill=B")</f>
        <v>192614</v>
      </c>
      <c r="BT64">
        <f ca="1">_xll.BDP($B$22,$C$22,CONCATENATE("PX391=", $BT$53), CONCATENATE("PX392=",$BT$54), CONCATENATE("DS004=",$B$46), "Fill=B")</f>
        <v>194537</v>
      </c>
      <c r="BU64">
        <f ca="1">_xll.BDP($B$22,$C$22,CONCATENATE("PX391=", $BU$53), CONCATENATE("PX392=",$BU$54), CONCATENATE("DS004=",$B$46), "Fill=B")</f>
        <v>179724</v>
      </c>
      <c r="BV64">
        <f ca="1">_xll.BDP($B$22,$C$22,CONCATENATE("PX391=", $BV$53), CONCATENATE("PX392=",$BV$54), CONCATENATE("DS004=",$B$46), "Fill=B")</f>
        <v>149699</v>
      </c>
      <c r="BW64">
        <f ca="1">_xll.BDP($B$22,$C$22,CONCATENATE("PX391=", $BW$53), CONCATENATE("PX392=",$BW$54), CONCATENATE("DS004=",$B$46), "Fill=B")</f>
        <v>184379</v>
      </c>
      <c r="BX64">
        <f ca="1">_xll.BDP($B$22,$C$22,CONCATENATE("PX391=", $BX$53), CONCATENATE("PX392=",$BX$54), CONCATENATE("DS004=",$B$46), "Fill=B")</f>
        <v>235861</v>
      </c>
      <c r="BY64">
        <f ca="1">_xll.BDP($B$22,$C$22,CONCATENATE("PX391=", $BY$53), CONCATENATE("PX392=",$BY$54), CONCATENATE("DS004=",$B$46), "Fill=B")</f>
        <v>240853</v>
      </c>
      <c r="BZ64">
        <f ca="1">_xll.BDP($B$22,$C$22,CONCATENATE("PX391=", $BZ$53), CONCATENATE("PX392=",$BZ$54), CONCATENATE("DS004=",$B$46), "Fill=B")</f>
        <v>282622</v>
      </c>
      <c r="CA64">
        <f ca="1">_xll.BDP($B$22,$C$22,CONCATENATE("PX391=", $CA$53), CONCATENATE("PX392=",$CA$54), CONCATENATE("DS004=",$B$46), "Fill=B")</f>
        <v>221167</v>
      </c>
      <c r="CB64">
        <f ca="1">_xll.BDP($B$22,$C$22,CONCATENATE("PX391=", $CB$53), CONCATENATE("PX392=",$CB$54), CONCATENATE("DS004=",$B$46), "Fill=B")</f>
        <v>246669</v>
      </c>
      <c r="CC64">
        <f ca="1">_xll.BDP($B$22,$C$22,CONCATENATE("PX391=", $CC$53), CONCATENATE("PX392=",$CC$54), CONCATENATE("DS004=",$B$46), "Fill=B")</f>
        <v>256181</v>
      </c>
      <c r="CD64">
        <f ca="1">_xll.BDP($B$22,$C$22,CONCATENATE("PX391=", $CD$53), CONCATENATE("PX392=",$CD$54), CONCATENATE("DS004=",$B$46), "Fill=B")</f>
        <v>224788</v>
      </c>
      <c r="CE64">
        <f ca="1">_xll.BDP($B$22,$C$22,CONCATENATE("PX391=", $CE$53), CONCATENATE("PX392=",$CE$54), CONCATENATE("DS004=",$B$46), "Fill=B")</f>
        <v>213233</v>
      </c>
      <c r="CF64">
        <f ca="1">_xll.BDP($B$22,$C$22,CONCATENATE("PX391=", $CF$53), CONCATENATE("PX392=",$CF$54), CONCATENATE("DS004=",$B$46), "Fill=B")</f>
        <v>213556</v>
      </c>
      <c r="CG64">
        <f ca="1">_xll.BDP($B$22,$C$22,CONCATENATE("PX391=", $CG$53), CONCATENATE("PX392=",$CG$54), CONCATENATE("DS004=",$B$46), "Fill=B")</f>
        <v>185053</v>
      </c>
      <c r="CH64">
        <f ca="1">_xll.BDP($B$22,$C$22,CONCATENATE("PX391=", $CH$53), CONCATENATE("PX392=",$CH$54), CONCATENATE("DS004=",$B$46), "Fill=B")</f>
        <v>223203</v>
      </c>
      <c r="CI64">
        <f ca="1">_xll.BDP($B$22,$C$22,CONCATENATE("PX391=", $CI$53), CONCATENATE("PX392=",$CI$54), CONCATENATE("DS004=",$B$46), "Fill=B")</f>
        <v>171049</v>
      </c>
      <c r="CJ64">
        <f ca="1">_xll.BDP($B$22,$C$22,CONCATENATE("PX391=", $CJ$53), CONCATENATE("PX392=",$CJ$54), CONCATENATE("DS004=",$B$46), "Fill=B")</f>
        <v>248797</v>
      </c>
      <c r="CK64">
        <f ca="1">_xll.BDP($B$22,$C$22,CONCATENATE("PX391=", $CK$53), CONCATENATE("PX392=",$CK$54), CONCATENATE("DS004=",$B$46), "Fill=B")</f>
        <v>237419</v>
      </c>
      <c r="CL64" t="str">
        <f>""</f>
        <v/>
      </c>
      <c r="CM64" t="str">
        <f>""</f>
        <v/>
      </c>
      <c r="CN64" t="str">
        <f>""</f>
        <v/>
      </c>
      <c r="CO64" t="str">
        <f>""</f>
        <v/>
      </c>
      <c r="CP64" t="str">
        <f>""</f>
        <v/>
      </c>
      <c r="CQ64" t="str">
        <f>""</f>
        <v/>
      </c>
      <c r="CR64" t="str">
        <f>""</f>
        <v/>
      </c>
      <c r="CS64" t="str">
        <f>""</f>
        <v/>
      </c>
      <c r="CT64" t="str">
        <f>""</f>
        <v/>
      </c>
      <c r="CU64" t="str">
        <f>""</f>
        <v/>
      </c>
      <c r="CV64" t="str">
        <f>""</f>
        <v/>
      </c>
      <c r="CW64" t="str">
        <f>""</f>
        <v/>
      </c>
      <c r="CX64" t="str">
        <f>""</f>
        <v/>
      </c>
      <c r="CY64" t="str">
        <f>""</f>
        <v/>
      </c>
      <c r="CZ64" t="str">
        <f>""</f>
        <v/>
      </c>
      <c r="DA64" t="str">
        <f>""</f>
        <v/>
      </c>
      <c r="DB64" t="str">
        <f>""</f>
        <v/>
      </c>
      <c r="DC64" t="str">
        <f>""</f>
        <v/>
      </c>
      <c r="DD64" t="str">
        <f>""</f>
        <v/>
      </c>
      <c r="DE64" t="str">
        <f>""</f>
        <v/>
      </c>
      <c r="DF64" t="str">
        <f>""</f>
        <v/>
      </c>
      <c r="DG64" t="str">
        <f>""</f>
        <v/>
      </c>
      <c r="DH64" t="str">
        <f>""</f>
        <v/>
      </c>
      <c r="DI64" t="str">
        <f>""</f>
        <v/>
      </c>
      <c r="DJ64" t="str">
        <f>""</f>
        <v/>
      </c>
      <c r="DK64" t="str">
        <f>""</f>
        <v/>
      </c>
      <c r="DL64" t="str">
        <f>""</f>
        <v/>
      </c>
      <c r="DM64" t="str">
        <f>""</f>
        <v/>
      </c>
      <c r="DN64" t="str">
        <f>""</f>
        <v/>
      </c>
      <c r="DO64" t="str">
        <f>""</f>
        <v/>
      </c>
      <c r="DP64" t="str">
        <f>""</f>
        <v/>
      </c>
      <c r="DQ64" t="str">
        <f>""</f>
        <v/>
      </c>
      <c r="DR64" t="str">
        <f>""</f>
        <v/>
      </c>
      <c r="DS64" t="str">
        <f>""</f>
        <v/>
      </c>
      <c r="DT64" t="str">
        <f>""</f>
        <v/>
      </c>
      <c r="DU64" t="str">
        <f>""</f>
        <v/>
      </c>
      <c r="DV64" t="str">
        <f>""</f>
        <v/>
      </c>
      <c r="DW64" t="str">
        <f>""</f>
        <v/>
      </c>
      <c r="DX64" t="str">
        <f>""</f>
        <v/>
      </c>
      <c r="DY64" t="str">
        <f>""</f>
        <v/>
      </c>
      <c r="DZ64" t="str">
        <f>""</f>
        <v/>
      </c>
      <c r="EA64" t="str">
        <f>""</f>
        <v/>
      </c>
      <c r="EB64" t="str">
        <f>""</f>
        <v/>
      </c>
      <c r="EC64" t="str">
        <f>""</f>
        <v/>
      </c>
      <c r="ED64" t="str">
        <f>""</f>
        <v/>
      </c>
      <c r="EE64" t="str">
        <f>""</f>
        <v/>
      </c>
      <c r="EF64" t="str">
        <f>""</f>
        <v/>
      </c>
      <c r="EG64" t="str">
        <f>""</f>
        <v/>
      </c>
      <c r="EH64" t="str">
        <f>""</f>
        <v/>
      </c>
      <c r="EI64" t="str">
        <f>""</f>
        <v/>
      </c>
      <c r="EJ64" t="str">
        <f>""</f>
        <v/>
      </c>
      <c r="EK64" t="str">
        <f>""</f>
        <v/>
      </c>
      <c r="EL64" t="str">
        <f>""</f>
        <v/>
      </c>
      <c r="EM64" t="str">
        <f>""</f>
        <v/>
      </c>
      <c r="EN64" t="str">
        <f>""</f>
        <v/>
      </c>
      <c r="EO64" t="str">
        <f>""</f>
        <v/>
      </c>
      <c r="EP64" t="str">
        <f>""</f>
        <v/>
      </c>
      <c r="EQ64" t="str">
        <f>""</f>
        <v/>
      </c>
      <c r="ER64" t="str">
        <f>""</f>
        <v/>
      </c>
      <c r="ES64" t="str">
        <f>""</f>
        <v/>
      </c>
      <c r="ET64" t="str">
        <f>""</f>
        <v/>
      </c>
      <c r="EU64" t="str">
        <f>""</f>
        <v/>
      </c>
      <c r="EV64" t="str">
        <f>""</f>
        <v/>
      </c>
      <c r="EW64" t="str">
        <f>""</f>
        <v/>
      </c>
      <c r="EX64" t="str">
        <f>""</f>
        <v/>
      </c>
      <c r="EY64" t="str">
        <f>""</f>
        <v/>
      </c>
      <c r="EZ64" t="str">
        <f>""</f>
        <v/>
      </c>
      <c r="FA64" t="str">
        <f>""</f>
        <v/>
      </c>
      <c r="FB64" t="str">
        <f>""</f>
        <v/>
      </c>
      <c r="FC64" t="str">
        <f>""</f>
        <v/>
      </c>
      <c r="FD64" t="str">
        <f>""</f>
        <v/>
      </c>
      <c r="FE64" t="str">
        <f>""</f>
        <v/>
      </c>
      <c r="FF64" t="str">
        <f>""</f>
        <v/>
      </c>
      <c r="FG64" t="str">
        <f>""</f>
        <v/>
      </c>
      <c r="FH64" t="str">
        <f>""</f>
        <v/>
      </c>
      <c r="FI64" t="str">
        <f>""</f>
        <v/>
      </c>
      <c r="FJ64" t="str">
        <f>""</f>
        <v/>
      </c>
      <c r="FK64" t="str">
        <f>""</f>
        <v/>
      </c>
      <c r="FL64" t="str">
        <f>""</f>
        <v/>
      </c>
      <c r="FM64" t="str">
        <f>""</f>
        <v/>
      </c>
      <c r="FN64" t="str">
        <f>""</f>
        <v/>
      </c>
      <c r="FO64" t="str">
        <f>""</f>
        <v/>
      </c>
      <c r="FP64" t="str">
        <f>""</f>
        <v/>
      </c>
      <c r="FQ64" t="str">
        <f>""</f>
        <v/>
      </c>
    </row>
    <row r="65" spans="1:173" x14ac:dyDescent="0.25">
      <c r="A65" t="str">
        <f>$A$24</f>
        <v xml:space="preserve">        Loaded Inbound Containers (TEU)</v>
      </c>
      <c r="B65" t="str">
        <f>$B$24</f>
        <v>LALBLBIM Index</v>
      </c>
      <c r="C65" t="str">
        <f>$C$24</f>
        <v>PX385</v>
      </c>
      <c r="D65" t="str">
        <f>$D$24</f>
        <v>INTERVAL_SUM</v>
      </c>
      <c r="E65" t="str">
        <f>$E$24</f>
        <v>Dynamic</v>
      </c>
      <c r="F65" t="str">
        <f ca="1">_xll.BDP($B$24,$C$24,CONCATENATE("PX391=", $F$53), CONCATENATE("PX392=",$F$54), CONCATENATE("DS004=",$B$46), "Fill=B")</f>
        <v/>
      </c>
      <c r="G65" t="str">
        <f ca="1">_xll.BDP($B$24,$C$24,CONCATENATE("PX391=", $G$53), CONCATENATE("PX392=",$G$54), CONCATENATE("DS004=",$B$46), "Fill=B")</f>
        <v/>
      </c>
      <c r="H65">
        <f ca="1">_xll.BDP($B$24,$C$24,CONCATENATE("PX391=", $H$53), CONCATENATE("PX392=",$H$54), CONCATENATE("DS004=",$B$46), "Fill=B")</f>
        <v>408926</v>
      </c>
      <c r="I65">
        <f ca="1">_xll.BDP($B$24,$C$24,CONCATENATE("PX391=", $I$53), CONCATENATE("PX392=",$I$54), CONCATENATE("DS004=",$B$46), "Fill=B")</f>
        <v>325436</v>
      </c>
      <c r="J65">
        <f ca="1">_xll.BDP($B$24,$C$24,CONCATENATE("PX391=", $J$53), CONCATENATE("PX392=",$J$54), CONCATENATE("DS004=",$B$46), "Fill=B")</f>
        <v>271086</v>
      </c>
      <c r="K65">
        <f ca="1">_xll.BDP($B$24,$C$24,CONCATENATE("PX391=", $K$53), CONCATENATE("PX392=",$K$54), CONCATENATE("DS004=",$B$46), "Fill=B")</f>
        <v>274325</v>
      </c>
      <c r="L65">
        <f ca="1">_xll.BDP($B$24,$C$24,CONCATENATE("PX391=", $L$53), CONCATENATE("PX392=",$L$54), CONCATENATE("DS004=",$B$46), "Fill=B")</f>
        <v>361661</v>
      </c>
      <c r="M65">
        <f ca="1">_xll.BDP($B$24,$C$24,CONCATENATE("PX391=", $M$53), CONCATENATE("PX392=",$M$54), CONCATENATE("DS004=",$B$46), "Fill=B")</f>
        <v>313444</v>
      </c>
      <c r="N65">
        <f ca="1">_xll.BDP($B$24,$C$24,CONCATENATE("PX391=", $N$53), CONCATENATE("PX392=",$N$54), CONCATENATE("DS004=",$B$46), "Fill=B")</f>
        <v>279148</v>
      </c>
      <c r="O65">
        <f ca="1">_xll.BDP($B$24,$C$24,CONCATENATE("PX391=", $O$53), CONCATENATE("PX392=",$O$54), CONCATENATE("DS004=",$B$46), "Fill=B")</f>
        <v>254970</v>
      </c>
      <c r="P65">
        <f ca="1">_xll.BDP($B$24,$C$24,CONCATENATE("PX391=", $P$53), CONCATENATE("PX392=",$P$54), CONCATENATE("DS004=",$B$46), "Fill=B")</f>
        <v>263394</v>
      </c>
      <c r="Q65">
        <f ca="1">_xll.BDP($B$24,$C$24,CONCATENATE("PX391=", $Q$53), CONCATENATE("PX392=",$Q$54), CONCATENATE("DS004=",$B$46), "Fill=B")</f>
        <v>241643</v>
      </c>
      <c r="R65">
        <f ca="1">_xll.BDP($B$24,$C$24,CONCATENATE("PX391=", $R$53), CONCATENATE("PX392=",$R$54), CONCATENATE("DS004=",$B$46), "Fill=B")</f>
        <v>259442</v>
      </c>
      <c r="S65">
        <f ca="1">_xll.BDP($B$24,$C$24,CONCATENATE("PX391=", $S$53), CONCATENATE("PX392=",$S$54), CONCATENATE("DS004=",$B$46), "Fill=B")</f>
        <v>293924</v>
      </c>
      <c r="T65">
        <f ca="1">_xll.BDP($B$24,$C$24,CONCATENATE("PX391=", $T$53), CONCATENATE("PX392=",$T$54), CONCATENATE("DS004=",$B$46), "Fill=B")</f>
        <v>342671</v>
      </c>
      <c r="U65">
        <f ca="1">_xll.BDP($B$24,$C$24,CONCATENATE("PX391=", $U$53), CONCATENATE("PX392=",$U$54), CONCATENATE("DS004=",$B$46), "Fill=B")</f>
        <v>384530</v>
      </c>
      <c r="V65">
        <f ca="1">_xll.BDP($B$24,$C$24,CONCATENATE("PX391=", $V$53), CONCATENATE("PX392=",$V$54), CONCATENATE("DS004=",$B$46), "Fill=B")</f>
        <v>376175</v>
      </c>
      <c r="W65">
        <f ca="1">_xll.BDP($B$24,$C$24,CONCATENATE("PX391=", $W$53), CONCATENATE("PX392=",$W$54), CONCATENATE("DS004=",$B$46), "Fill=B")</f>
        <v>415677</v>
      </c>
      <c r="X65">
        <f ca="1">_xll.BDP($B$24,$C$24,CONCATENATE("PX391=", $X$53), CONCATENATE("PX392=",$X$54), CONCATENATE("DS004=",$B$46), "Fill=B")</f>
        <v>436977</v>
      </c>
      <c r="Y65">
        <f ca="1">_xll.BDP($B$24,$C$24,CONCATENATE("PX391=", $Y$53), CONCATENATE("PX392=",$Y$54), CONCATENATE("DS004=",$B$46), "Fill=B")</f>
        <v>400803</v>
      </c>
      <c r="Z65">
        <f ca="1">_xll.BDP($B$24,$C$24,CONCATENATE("PX391=", $Z$53), CONCATENATE("PX392=",$Z$54), CONCATENATE("DS004=",$B$46), "Fill=B")</f>
        <v>427280</v>
      </c>
      <c r="AA65">
        <f ca="1">_xll.BDP($B$24,$C$24,CONCATENATE("PX391=", $AA$53), CONCATENATE("PX392=",$AA$54), CONCATENATE("DS004=",$B$46), "Fill=B")</f>
        <v>390335</v>
      </c>
      <c r="AB65">
        <f ca="1">_xll.BDP($B$24,$C$24,CONCATENATE("PX391=", $AB$53), CONCATENATE("PX392=",$AB$54), CONCATENATE("DS004=",$B$46), "Fill=B")</f>
        <v>389334</v>
      </c>
      <c r="AC65">
        <f ca="1">_xll.BDP($B$24,$C$24,CONCATENATE("PX391=", $AC$53), CONCATENATE("PX392=",$AC$54), CONCATENATE("DS004=",$B$46), "Fill=B")</f>
        <v>358687</v>
      </c>
      <c r="AD65">
        <f ca="1">_xll.BDP($B$24,$C$24,CONCATENATE("PX391=", $AD$53), CONCATENATE("PX392=",$AD$54), CONCATENATE("DS004=",$B$46), "Fill=B")</f>
        <v>362394</v>
      </c>
      <c r="AE65">
        <f ca="1">_xll.BDP($B$24,$C$24,CONCATENATE("PX391=", $AE$53), CONCATENATE("PX392=",$AE$54), CONCATENATE("DS004=",$B$46), "Fill=B")</f>
        <v>385000</v>
      </c>
      <c r="AF65">
        <f ca="1">_xll.BDP($B$24,$C$24,CONCATENATE("PX391=", $AF$53), CONCATENATE("PX392=",$AF$54), CONCATENATE("DS004=",$B$46), "Fill=B")</f>
        <v>370230</v>
      </c>
      <c r="AG65">
        <f ca="1">_xll.BDP($B$24,$C$24,CONCATENATE("PX391=", $AG$53), CONCATENATE("PX392=",$AG$54), CONCATENATE("DS004=",$B$46), "Fill=B")</f>
        <v>407426</v>
      </c>
      <c r="AH65">
        <f ca="1">_xll.BDP($B$24,$C$24,CONCATENATE("PX391=", $AH$53), CONCATENATE("PX392=",$AH$54), CONCATENATE("DS004=",$B$46), "Fill=B")</f>
        <v>382940</v>
      </c>
      <c r="AI65">
        <f ca="1">_xll.BDP($B$24,$C$24,CONCATENATE("PX391=", $AI$53), CONCATENATE("PX392=",$AI$54), CONCATENATE("DS004=",$B$46), "Fill=B")</f>
        <v>357101</v>
      </c>
      <c r="AJ65">
        <f ca="1">_xll.BDP($B$24,$C$24,CONCATENATE("PX391=", $AJ$53), CONCATENATE("PX392=",$AJ$54), CONCATENATE("DS004=",$B$46), "Fill=B")</f>
        <v>444736</v>
      </c>
      <c r="AK65">
        <f ca="1">_xll.BDP($B$24,$C$24,CONCATENATE("PX391=", $AK$53), CONCATENATE("PX392=",$AK$54), CONCATENATE("DS004=",$B$46), "Fill=B")</f>
        <v>367151</v>
      </c>
      <c r="AL65">
        <f ca="1">_xll.BDP($B$24,$C$24,CONCATENATE("PX391=", $AL$53), CONCATENATE("PX392=",$AL$54), CONCATENATE("DS004=",$B$46), "Fill=B")</f>
        <v>408172</v>
      </c>
      <c r="AM65">
        <f ca="1">_xll.BDP($B$24,$C$24,CONCATENATE("PX391=", $AM$53), CONCATENATE("PX392=",$AM$54), CONCATENATE("DS004=",$B$46), "Fill=B")</f>
        <v>373756</v>
      </c>
      <c r="AN65">
        <f ca="1">_xll.BDP($B$24,$C$24,CONCATENATE("PX391=", $AN$53), CONCATENATE("PX392=",$AN$54), CONCATENATE("DS004=",$B$46), "Fill=B")</f>
        <v>364255</v>
      </c>
      <c r="AO65">
        <f ca="1">_xll.BDP($B$24,$C$24,CONCATENATE("PX391=", $AO$53), CONCATENATE("PX392=",$AO$54), CONCATENATE("DS004=",$B$46), "Fill=B")</f>
        <v>406072</v>
      </c>
      <c r="AP65">
        <f ca="1">_xll.BDP($B$24,$C$24,CONCATENATE("PX391=", $AP$53), CONCATENATE("PX392=",$AP$54), CONCATENATE("DS004=",$B$46), "Fill=B")</f>
        <v>382677</v>
      </c>
      <c r="AQ65">
        <f ca="1">_xll.BDP($B$24,$C$24,CONCATENATE("PX391=", $AQ$53), CONCATENATE("PX392=",$AQ$54), CONCATENATE("DS004=",$B$46), "Fill=B")</f>
        <v>402408</v>
      </c>
      <c r="AR65">
        <f ca="1">_xll.BDP($B$24,$C$24,CONCATENATE("PX391=", $AR$53), CONCATENATE("PX392=",$AR$54), CONCATENATE("DS004=",$B$46), "Fill=B")</f>
        <v>405618</v>
      </c>
      <c r="AS65">
        <f ca="1">_xll.BDP($B$24,$C$24,CONCATENATE("PX391=", $AS$53), CONCATENATE("PX392=",$AS$54), CONCATENATE("DS004=",$B$46), "Fill=B")</f>
        <v>364792</v>
      </c>
      <c r="AT65">
        <f ca="1">_xll.BDP($B$24,$C$24,CONCATENATE("PX391=", $AT$53), CONCATENATE("PX392=",$AT$54), CONCATENATE("DS004=",$B$46), "Fill=B")</f>
        <v>376807</v>
      </c>
      <c r="AU65">
        <f ca="1">_xll.BDP($B$24,$C$24,CONCATENATE("PX391=", $AU$53), CONCATENATE("PX392=",$AU$54), CONCATENATE("DS004=",$B$46), "Fill=B")</f>
        <v>300714</v>
      </c>
      <c r="AV65">
        <f ca="1">_xll.BDP($B$24,$C$24,CONCATENATE("PX391=", $AV$53), CONCATENATE("PX392=",$AV$54), CONCATENATE("DS004=",$B$46), "Fill=B")</f>
        <v>312590</v>
      </c>
      <c r="AW65">
        <f ca="1">_xll.BDP($B$24,$C$24,CONCATENATE("PX391=", $AW$53), CONCATENATE("PX392=",$AW$54), CONCATENATE("DS004=",$B$46), "Fill=B")</f>
        <v>253540</v>
      </c>
      <c r="AX65">
        <f ca="1">_xll.BDP($B$24,$C$24,CONCATENATE("PX391=", $AX$53), CONCATENATE("PX392=",$AX$54), CONCATENATE("DS004=",$B$46), "Fill=B")</f>
        <v>234570</v>
      </c>
      <c r="AY65">
        <f ca="1">_xll.BDP($B$24,$C$24,CONCATENATE("PX391=", $AY$53), CONCATENATE("PX392=",$AY$54), CONCATENATE("DS004=",$B$46), "Fill=B")</f>
        <v>248592</v>
      </c>
      <c r="AZ65">
        <f ca="1">_xll.BDP($B$24,$C$24,CONCATENATE("PX391=", $AZ$53), CONCATENATE("PX392=",$AZ$54), CONCATENATE("DS004=",$B$46), "Fill=B")</f>
        <v>309961</v>
      </c>
      <c r="BA65">
        <f ca="1">_xll.BDP($B$24,$C$24,CONCATENATE("PX391=", $BA$53), CONCATENATE("PX392=",$BA$54), CONCATENATE("DS004=",$B$46), "Fill=B")</f>
        <v>323231</v>
      </c>
      <c r="BB65">
        <f ca="1">_xll.BDP($B$24,$C$24,CONCATENATE("PX391=", $BB$53), CONCATENATE("PX392=",$BB$54), CONCATENATE("DS004=",$B$46), "Fill=B")</f>
        <v>293287</v>
      </c>
      <c r="BC65">
        <f ca="1">_xll.BDP($B$24,$C$24,CONCATENATE("PX391=", $BC$53), CONCATENATE("PX392=",$BC$54), CONCATENATE("DS004=",$B$46), "Fill=B")</f>
        <v>337062</v>
      </c>
      <c r="BD65">
        <f ca="1">_xll.BDP($B$24,$C$24,CONCATENATE("PX391=", $BD$53), CONCATENATE("PX392=",$BD$54), CONCATENATE("DS004=",$B$46), "Fill=B")</f>
        <v>354919</v>
      </c>
      <c r="BE65">
        <f ca="1">_xll.BDP($B$24,$C$24,CONCATENATE("PX391=", $BE$53), CONCATENATE("PX392=",$BE$54), CONCATENATE("DS004=",$B$46), "Fill=B")</f>
        <v>322780</v>
      </c>
      <c r="BF65">
        <f ca="1">_xll.BDP($B$24,$C$24,CONCATENATE("PX391=", $BF$53), CONCATENATE("PX392=",$BF$54), CONCATENATE("DS004=",$B$46), "Fill=B")</f>
        <v>313350</v>
      </c>
      <c r="BG65">
        <f ca="1">_xll.BDP($B$24,$C$24,CONCATENATE("PX391=", $BG$53), CONCATENATE("PX392=",$BG$54), CONCATENATE("DS004=",$B$46), "Fill=B")</f>
        <v>331617</v>
      </c>
      <c r="BH65">
        <f ca="1">_xll.BDP($B$24,$C$24,CONCATENATE("PX391=", $BH$53), CONCATENATE("PX392=",$BH$54), CONCATENATE("DS004=",$B$46), "Fill=B")</f>
        <v>290568</v>
      </c>
      <c r="BI65">
        <f ca="1">_xll.BDP($B$24,$C$24,CONCATENATE("PX391=", $BI$53), CONCATENATE("PX392=",$BI$54), CONCATENATE("DS004=",$B$46), "Fill=B")</f>
        <v>317883</v>
      </c>
      <c r="BJ65">
        <f ca="1">_xll.BDP($B$24,$C$24,CONCATENATE("PX391=", $BJ$53), CONCATENATE("PX392=",$BJ$54), CONCATENATE("DS004=",$B$46), "Fill=B")</f>
        <v>247039</v>
      </c>
      <c r="BK65">
        <f ca="1">_xll.BDP($B$24,$C$24,CONCATENATE("PX391=", $BK$53), CONCATENATE("PX392=",$BK$54), CONCATENATE("DS004=",$B$46), "Fill=B")</f>
        <v>302865</v>
      </c>
      <c r="BL65">
        <f ca="1">_xll.BDP($B$24,$C$24,CONCATENATE("PX391=", $BL$53), CONCATENATE("PX392=",$BL$54), CONCATENATE("DS004=",$B$46), "Fill=B")</f>
        <v>323838</v>
      </c>
      <c r="BM65">
        <f ca="1">_xll.BDP($B$24,$C$24,CONCATENATE("PX391=", $BM$53), CONCATENATE("PX392=",$BM$54), CONCATENATE("DS004=",$B$46), "Fill=B")</f>
        <v>373098</v>
      </c>
      <c r="BN65">
        <f ca="1">_xll.BDP($B$24,$C$24,CONCATENATE("PX391=", $BN$53), CONCATENATE("PX392=",$BN$54), CONCATENATE("DS004=",$B$46), "Fill=B")</f>
        <v>319877</v>
      </c>
      <c r="BO65">
        <f ca="1">_xll.BDP($B$24,$C$24,CONCATENATE("PX391=", $BO$53), CONCATENATE("PX392=",$BO$54), CONCATENATE("DS004=",$B$46), "Fill=B")</f>
        <v>364084</v>
      </c>
      <c r="BP65">
        <f ca="1">_xll.BDP($B$24,$C$24,CONCATENATE("PX391=", $BP$53), CONCATENATE("PX392=",$BP$54), CONCATENATE("DS004=",$B$46), "Fill=B")</f>
        <v>357301</v>
      </c>
      <c r="BQ65">
        <f ca="1">_xll.BDP($B$24,$C$24,CONCATENATE("PX391=", $BQ$53), CONCATENATE("PX392=",$BQ$54), CONCATENATE("DS004=",$B$46), "Fill=B")</f>
        <v>343029</v>
      </c>
      <c r="BR65">
        <f ca="1">_xll.BDP($B$24,$C$24,CONCATENATE("PX391=", $BR$53), CONCATENATE("PX392=",$BR$54), CONCATENATE("DS004=",$B$46), "Fill=B")</f>
        <v>347736</v>
      </c>
      <c r="BS65">
        <f ca="1">_xll.BDP($B$24,$C$24,CONCATENATE("PX391=", $BS$53), CONCATENATE("PX392=",$BS$54), CONCATENATE("DS004=",$B$46), "Fill=B")</f>
        <v>384095</v>
      </c>
      <c r="BT65">
        <f ca="1">_xll.BDP($B$24,$C$24,CONCATENATE("PX391=", $BT$53), CONCATENATE("PX392=",$BT$54), CONCATENATE("DS004=",$B$46), "Fill=B")</f>
        <v>361056</v>
      </c>
      <c r="BU65">
        <f ca="1">_xll.BDP($B$24,$C$24,CONCATENATE("PX391=", $BU$53), CONCATENATE("PX392=",$BU$54), CONCATENATE("DS004=",$B$46), "Fill=B")</f>
        <v>312376</v>
      </c>
      <c r="BV65">
        <f ca="1">_xll.BDP($B$24,$C$24,CONCATENATE("PX391=", $BV$53), CONCATENATE("PX392=",$BV$54), CONCATENATE("DS004=",$B$46), "Fill=B")</f>
        <v>267824</v>
      </c>
      <c r="BW65">
        <f ca="1">_xll.BDP($B$24,$C$24,CONCATENATE("PX391=", $BW$53), CONCATENATE("PX392=",$BW$54), CONCATENATE("DS004=",$B$46), "Fill=B")</f>
        <v>342247</v>
      </c>
      <c r="BX65">
        <f ca="1">_xll.BDP($B$24,$C$24,CONCATENATE("PX391=", $BX$53), CONCATENATE("PX392=",$BX$54), CONCATENATE("DS004=",$B$46), "Fill=B")</f>
        <v>324656</v>
      </c>
      <c r="BY65">
        <f ca="1">_xll.BDP($B$24,$C$24,CONCATENATE("PX391=", $BY$53), CONCATENATE("PX392=",$BY$54), CONCATENATE("DS004=",$B$46), "Fill=B")</f>
        <v>345721</v>
      </c>
      <c r="BZ65">
        <f ca="1">_xll.BDP($B$24,$C$24,CONCATENATE("PX391=", $BZ$53), CONCATENATE("PX392=",$BZ$54), CONCATENATE("DS004=",$B$46), "Fill=B")</f>
        <v>319210</v>
      </c>
      <c r="CA65">
        <f ca="1">_xll.BDP($B$24,$C$24,CONCATENATE("PX391=", $CA$53), CONCATENATE("PX392=",$CA$54), CONCATENATE("DS004=",$B$46), "Fill=B")</f>
        <v>339013</v>
      </c>
      <c r="CB65">
        <f ca="1">_xll.BDP($B$24,$C$24,CONCATENATE("PX391=", $CB$53), CONCATENATE("PX392=",$CB$54), CONCATENATE("DS004=",$B$46), "Fill=B")</f>
        <v>366298</v>
      </c>
      <c r="CC65">
        <f ca="1">_xll.BDP($B$24,$C$24,CONCATENATE("PX391=", $CC$53), CONCATENATE("PX392=",$CC$54), CONCATENATE("DS004=",$B$46), "Fill=B")</f>
        <v>355715</v>
      </c>
      <c r="CD65">
        <f ca="1">_xll.BDP($B$24,$C$24,CONCATENATE("PX391=", $CD$53), CONCATENATE("PX392=",$CD$54), CONCATENATE("DS004=",$B$46), "Fill=B")</f>
        <v>378820</v>
      </c>
      <c r="CE65">
        <f ca="1">_xll.BDP($B$24,$C$24,CONCATENATE("PX391=", $CE$53), CONCATENATE("PX392=",$CE$54), CONCATENATE("DS004=",$B$46), "Fill=B")</f>
        <v>335328</v>
      </c>
      <c r="CF65">
        <f ca="1">_xll.BDP($B$24,$C$24,CONCATENATE("PX391=", $CF$53), CONCATENATE("PX392=",$CF$54), CONCATENATE("DS004=",$B$46), "Fill=B")</f>
        <v>336594</v>
      </c>
      <c r="CG65">
        <f ca="1">_xll.BDP($B$24,$C$24,CONCATENATE("PX391=", $CG$53), CONCATENATE("PX392=",$CG$54), CONCATENATE("DS004=",$B$46), "Fill=B")</f>
        <v>288207</v>
      </c>
      <c r="CH65">
        <f ca="1">_xll.BDP($B$24,$C$24,CONCATENATE("PX391=", $CH$53), CONCATENATE("PX392=",$CH$54), CONCATENATE("DS004=",$B$46), "Fill=B")</f>
        <v>249534</v>
      </c>
      <c r="CI65">
        <f ca="1">_xll.BDP($B$24,$C$24,CONCATENATE("PX391=", $CI$53), CONCATENATE("PX392=",$CI$54), CONCATENATE("DS004=",$B$46), "Fill=B")</f>
        <v>249759</v>
      </c>
      <c r="CJ65">
        <f ca="1">_xll.BDP($B$24,$C$24,CONCATENATE("PX391=", $CJ$53), CONCATENATE("PX392=",$CJ$54), CONCATENATE("DS004=",$B$46), "Fill=B")</f>
        <v>298990</v>
      </c>
      <c r="CK65">
        <f ca="1">_xll.BDP($B$24,$C$24,CONCATENATE("PX391=", $CK$53), CONCATENATE("PX392=",$CK$54), CONCATENATE("DS004=",$B$46), "Fill=B")</f>
        <v>271599</v>
      </c>
      <c r="CL65" t="str">
        <f>""</f>
        <v/>
      </c>
      <c r="CM65" t="str">
        <f>""</f>
        <v/>
      </c>
      <c r="CN65" t="str">
        <f>""</f>
        <v/>
      </c>
      <c r="CO65" t="str">
        <f>""</f>
        <v/>
      </c>
      <c r="CP65" t="str">
        <f>""</f>
        <v/>
      </c>
      <c r="CQ65" t="str">
        <f>""</f>
        <v/>
      </c>
      <c r="CR65" t="str">
        <f>""</f>
        <v/>
      </c>
      <c r="CS65" t="str">
        <f>""</f>
        <v/>
      </c>
      <c r="CT65" t="str">
        <f>""</f>
        <v/>
      </c>
      <c r="CU65" t="str">
        <f>""</f>
        <v/>
      </c>
      <c r="CV65" t="str">
        <f>""</f>
        <v/>
      </c>
      <c r="CW65" t="str">
        <f>""</f>
        <v/>
      </c>
      <c r="CX65" t="str">
        <f>""</f>
        <v/>
      </c>
      <c r="CY65" t="str">
        <f>""</f>
        <v/>
      </c>
      <c r="CZ65" t="str">
        <f>""</f>
        <v/>
      </c>
      <c r="DA65" t="str">
        <f>""</f>
        <v/>
      </c>
      <c r="DB65" t="str">
        <f>""</f>
        <v/>
      </c>
      <c r="DC65" t="str">
        <f>""</f>
        <v/>
      </c>
      <c r="DD65" t="str">
        <f>""</f>
        <v/>
      </c>
      <c r="DE65" t="str">
        <f>""</f>
        <v/>
      </c>
      <c r="DF65" t="str">
        <f>""</f>
        <v/>
      </c>
      <c r="DG65" t="str">
        <f>""</f>
        <v/>
      </c>
      <c r="DH65" t="str">
        <f>""</f>
        <v/>
      </c>
      <c r="DI65" t="str">
        <f>""</f>
        <v/>
      </c>
      <c r="DJ65" t="str">
        <f>""</f>
        <v/>
      </c>
      <c r="DK65" t="str">
        <f>""</f>
        <v/>
      </c>
      <c r="DL65" t="str">
        <f>""</f>
        <v/>
      </c>
      <c r="DM65" t="str">
        <f>""</f>
        <v/>
      </c>
      <c r="DN65" t="str">
        <f>""</f>
        <v/>
      </c>
      <c r="DO65" t="str">
        <f>""</f>
        <v/>
      </c>
      <c r="DP65" t="str">
        <f>""</f>
        <v/>
      </c>
      <c r="DQ65" t="str">
        <f>""</f>
        <v/>
      </c>
      <c r="DR65" t="str">
        <f>""</f>
        <v/>
      </c>
      <c r="DS65" t="str">
        <f>""</f>
        <v/>
      </c>
      <c r="DT65" t="str">
        <f>""</f>
        <v/>
      </c>
      <c r="DU65" t="str">
        <f>""</f>
        <v/>
      </c>
      <c r="DV65" t="str">
        <f>""</f>
        <v/>
      </c>
      <c r="DW65" t="str">
        <f>""</f>
        <v/>
      </c>
      <c r="DX65" t="str">
        <f>""</f>
        <v/>
      </c>
      <c r="DY65" t="str">
        <f>""</f>
        <v/>
      </c>
      <c r="DZ65" t="str">
        <f>""</f>
        <v/>
      </c>
      <c r="EA65" t="str">
        <f>""</f>
        <v/>
      </c>
      <c r="EB65" t="str">
        <f>""</f>
        <v/>
      </c>
      <c r="EC65" t="str">
        <f>""</f>
        <v/>
      </c>
      <c r="ED65" t="str">
        <f>""</f>
        <v/>
      </c>
      <c r="EE65" t="str">
        <f>""</f>
        <v/>
      </c>
      <c r="EF65" t="str">
        <f>""</f>
        <v/>
      </c>
      <c r="EG65" t="str">
        <f>""</f>
        <v/>
      </c>
      <c r="EH65" t="str">
        <f>""</f>
        <v/>
      </c>
      <c r="EI65" t="str">
        <f>""</f>
        <v/>
      </c>
      <c r="EJ65" t="str">
        <f>""</f>
        <v/>
      </c>
      <c r="EK65" t="str">
        <f>""</f>
        <v/>
      </c>
      <c r="EL65" t="str">
        <f>""</f>
        <v/>
      </c>
      <c r="EM65" t="str">
        <f>""</f>
        <v/>
      </c>
      <c r="EN65" t="str">
        <f>""</f>
        <v/>
      </c>
      <c r="EO65" t="str">
        <f>""</f>
        <v/>
      </c>
      <c r="EP65" t="str">
        <f>""</f>
        <v/>
      </c>
      <c r="EQ65" t="str">
        <f>""</f>
        <v/>
      </c>
      <c r="ER65" t="str">
        <f>""</f>
        <v/>
      </c>
      <c r="ES65" t="str">
        <f>""</f>
        <v/>
      </c>
      <c r="ET65" t="str">
        <f>""</f>
        <v/>
      </c>
      <c r="EU65" t="str">
        <f>""</f>
        <v/>
      </c>
      <c r="EV65" t="str">
        <f>""</f>
        <v/>
      </c>
      <c r="EW65" t="str">
        <f>""</f>
        <v/>
      </c>
      <c r="EX65" t="str">
        <f>""</f>
        <v/>
      </c>
      <c r="EY65" t="str">
        <f>""</f>
        <v/>
      </c>
      <c r="EZ65" t="str">
        <f>""</f>
        <v/>
      </c>
      <c r="FA65" t="str">
        <f>""</f>
        <v/>
      </c>
      <c r="FB65" t="str">
        <f>""</f>
        <v/>
      </c>
      <c r="FC65" t="str">
        <f>""</f>
        <v/>
      </c>
      <c r="FD65" t="str">
        <f>""</f>
        <v/>
      </c>
      <c r="FE65" t="str">
        <f>""</f>
        <v/>
      </c>
      <c r="FF65" t="str">
        <f>""</f>
        <v/>
      </c>
      <c r="FG65" t="str">
        <f>""</f>
        <v/>
      </c>
      <c r="FH65" t="str">
        <f>""</f>
        <v/>
      </c>
      <c r="FI65" t="str">
        <f>""</f>
        <v/>
      </c>
      <c r="FJ65" t="str">
        <f>""</f>
        <v/>
      </c>
      <c r="FK65" t="str">
        <f>""</f>
        <v/>
      </c>
      <c r="FL65" t="str">
        <f>""</f>
        <v/>
      </c>
      <c r="FM65" t="str">
        <f>""</f>
        <v/>
      </c>
      <c r="FN65" t="str">
        <f>""</f>
        <v/>
      </c>
      <c r="FO65" t="str">
        <f>""</f>
        <v/>
      </c>
      <c r="FP65" t="str">
        <f>""</f>
        <v/>
      </c>
      <c r="FQ65" t="str">
        <f>""</f>
        <v/>
      </c>
    </row>
    <row r="66" spans="1:173" x14ac:dyDescent="0.25">
      <c r="A66" t="str">
        <f>$A$25</f>
        <v xml:space="preserve">        Loaded Outbound Containers (TEU)</v>
      </c>
      <c r="B66" t="str">
        <f>$B$25</f>
        <v>LALBLBEX Index</v>
      </c>
      <c r="C66" t="str">
        <f>$C$25</f>
        <v>PX385</v>
      </c>
      <c r="D66" t="str">
        <f>$D$25</f>
        <v>INTERVAL_SUM</v>
      </c>
      <c r="E66" t="str">
        <f>$E$25</f>
        <v>Dynamic</v>
      </c>
      <c r="F66" t="str">
        <f ca="1">_xll.BDP($B$25,$C$25,CONCATENATE("PX391=", $F$53), CONCATENATE("PX392=",$F$54), CONCATENATE("DS004=",$B$46), "Fill=B")</f>
        <v/>
      </c>
      <c r="G66" t="str">
        <f ca="1">_xll.BDP($B$25,$C$25,CONCATENATE("PX391=", $G$53), CONCATENATE("PX392=",$G$54), CONCATENATE("DS004=",$B$46), "Fill=B")</f>
        <v/>
      </c>
      <c r="H66">
        <f ca="1">_xll.BDP($B$25,$C$25,CONCATENATE("PX391=", $H$53), CONCATENATE("PX392=",$H$54), CONCATENATE("DS004=",$B$46), "Fill=B")</f>
        <v>101248</v>
      </c>
      <c r="I66">
        <f ca="1">_xll.BDP($B$25,$C$25,CONCATENATE("PX391=", $I$53), CONCATENATE("PX392=",$I$54), CONCATENATE("DS004=",$B$46), "Fill=B")</f>
        <v>93402</v>
      </c>
      <c r="J66">
        <f ca="1">_xll.BDP($B$25,$C$25,CONCATENATE("PX391=", $J$53), CONCATENATE("PX392=",$J$54), CONCATENATE("DS004=",$B$46), "Fill=B")</f>
        <v>90134</v>
      </c>
      <c r="K66">
        <f ca="1">_xll.BDP($B$25,$C$25,CONCATENATE("PX391=", $K$53), CONCATENATE("PX392=",$K$54), CONCATENATE("DS004=",$B$46), "Fill=B")</f>
        <v>94508</v>
      </c>
      <c r="L66">
        <f ca="1">_xll.BDP($B$25,$C$25,CONCATENATE("PX391=", $L$53), CONCATENATE("PX392=",$L$54), CONCATENATE("DS004=",$B$46), "Fill=B")</f>
        <v>127870</v>
      </c>
      <c r="M66">
        <f ca="1">_xll.BDP($B$25,$C$25,CONCATENATE("PX391=", $M$53), CONCATENATE("PX392=",$M$54), CONCATENATE("DS004=",$B$46), "Fill=B")</f>
        <v>122663</v>
      </c>
      <c r="N66">
        <f ca="1">_xll.BDP($B$25,$C$25,CONCATENATE("PX391=", $N$53), CONCATENATE("PX392=",$N$54), CONCATENATE("DS004=",$B$46), "Fill=B")</f>
        <v>133512</v>
      </c>
      <c r="O66">
        <f ca="1">_xll.BDP($B$25,$C$25,CONCATENATE("PX391=", $O$53), CONCATENATE("PX392=",$O$54), CONCATENATE("DS004=",$B$46), "Fill=B")</f>
        <v>110919</v>
      </c>
      <c r="P66">
        <f ca="1">_xll.BDP($B$25,$C$25,CONCATENATE("PX391=", $P$53), CONCATENATE("PX392=",$P$54), CONCATENATE("DS004=",$B$46), "Fill=B")</f>
        <v>105623</v>
      </c>
      <c r="Q66">
        <f ca="1">_xll.BDP($B$25,$C$25,CONCATENATE("PX391=", $Q$53), CONCATENATE("PX392=",$Q$54), CONCATENATE("DS004=",$B$46), "Fill=B")</f>
        <v>115782</v>
      </c>
      <c r="R66">
        <f ca="1">_xll.BDP($B$25,$C$25,CONCATENATE("PX391=", $R$53), CONCATENATE("PX392=",$R$54), CONCATENATE("DS004=",$B$46), "Fill=B")</f>
        <v>124988</v>
      </c>
      <c r="S66">
        <f ca="1">_xll.BDP($B$25,$C$25,CONCATENATE("PX391=", $S$53), CONCATENATE("PX392=",$S$54), CONCATENATE("DS004=",$B$46), "Fill=B")</f>
        <v>119761</v>
      </c>
      <c r="T66">
        <f ca="1">_xll.BDP($B$25,$C$25,CONCATENATE("PX391=", $T$53), CONCATENATE("PX392=",$T$54), CONCATENATE("DS004=",$B$46), "Fill=B")</f>
        <v>112940</v>
      </c>
      <c r="U66">
        <f ca="1">_xll.BDP($B$25,$C$25,CONCATENATE("PX391=", $U$53), CONCATENATE("PX392=",$U$54), CONCATENATE("DS004=",$B$46), "Fill=B")</f>
        <v>121408</v>
      </c>
      <c r="V66">
        <f ca="1">_xll.BDP($B$25,$C$25,CONCATENATE("PX391=", $V$53), CONCATENATE("PX392=",$V$54), CONCATENATE("DS004=",$B$46), "Fill=B")</f>
        <v>109411</v>
      </c>
      <c r="W66">
        <f ca="1">_xll.BDP($B$25,$C$25,CONCATENATE("PX391=", $W$53), CONCATENATE("PX392=",$W$54), CONCATENATE("DS004=",$B$46), "Fill=B")</f>
        <v>115303</v>
      </c>
      <c r="X66">
        <f ca="1">_xll.BDP($B$25,$C$25,CONCATENATE("PX391=", $X$53), CONCATENATE("PX392=",$X$54), CONCATENATE("DS004=",$B$46), "Fill=B")</f>
        <v>118234</v>
      </c>
      <c r="Y66">
        <f ca="1">_xll.BDP($B$25,$C$25,CONCATENATE("PX391=", $Y$53), CONCATENATE("PX392=",$Y$54), CONCATENATE("DS004=",$B$46), "Fill=B")</f>
        <v>121876</v>
      </c>
      <c r="Z66">
        <f ca="1">_xll.BDP($B$25,$C$25,CONCATENATE("PX391=", $Z$53), CONCATENATE("PX392=",$Z$54), CONCATENATE("DS004=",$B$46), "Fill=B")</f>
        <v>114185</v>
      </c>
      <c r="AA66">
        <f ca="1">_xll.BDP($B$25,$C$25,CONCATENATE("PX391=", $AA$53), CONCATENATE("PX392=",$AA$54), CONCATENATE("DS004=",$B$46), "Fill=B")</f>
        <v>117935</v>
      </c>
      <c r="AB66">
        <f ca="1">_xll.BDP($B$25,$C$25,CONCATENATE("PX391=", $AB$53), CONCATENATE("PX392=",$AB$54), CONCATENATE("DS004=",$B$46), "Fill=B")</f>
        <v>123060</v>
      </c>
      <c r="AC66">
        <f ca="1">_xll.BDP($B$25,$C$25,CONCATENATE("PX391=", $AC$53), CONCATENATE("PX392=",$AC$54), CONCATENATE("DS004=",$B$46), "Fill=B")</f>
        <v>113918</v>
      </c>
      <c r="AD66">
        <f ca="1">_xll.BDP($B$25,$C$25,CONCATENATE("PX391=", $AD$53), CONCATENATE("PX392=",$AD$54), CONCATENATE("DS004=",$B$46), "Fill=B")</f>
        <v>109821</v>
      </c>
      <c r="AE66">
        <f ca="1">_xll.BDP($B$25,$C$25,CONCATENATE("PX391=", $AE$53), CONCATENATE("PX392=",$AE$54), CONCATENATE("DS004=",$B$46), "Fill=B")</f>
        <v>122214</v>
      </c>
      <c r="AF66">
        <f ca="1">_xll.BDP($B$25,$C$25,CONCATENATE("PX391=", $AF$53), CONCATENATE("PX392=",$AF$54), CONCATENATE("DS004=",$B$46), "Fill=B")</f>
        <v>110787</v>
      </c>
      <c r="AG66">
        <f ca="1">_xll.BDP($B$25,$C$25,CONCATENATE("PX391=", $AG$53), CONCATENATE("PX392=",$AG$54), CONCATENATE("DS004=",$B$46), "Fill=B")</f>
        <v>119485</v>
      </c>
      <c r="AH66">
        <f ca="1">_xll.BDP($B$25,$C$25,CONCATENATE("PX391=", $AH$53), CONCATENATE("PX392=",$AH$54), CONCATENATE("DS004=",$B$46), "Fill=B")</f>
        <v>109951</v>
      </c>
      <c r="AI66">
        <f ca="1">_xll.BDP($B$25,$C$25,CONCATENATE("PX391=", $AI$53), CONCATENATE("PX392=",$AI$54), CONCATENATE("DS004=",$B$46), "Fill=B")</f>
        <v>116947</v>
      </c>
      <c r="AJ66">
        <f ca="1">_xll.BDP($B$25,$C$25,CONCATENATE("PX391=", $AJ$53), CONCATENATE("PX392=",$AJ$54), CONCATENATE("DS004=",$B$46), "Fill=B")</f>
        <v>135345</v>
      </c>
      <c r="AK66">
        <f ca="1">_xll.BDP($B$25,$C$25,CONCATENATE("PX391=", $AK$53), CONCATENATE("PX392=",$AK$54), CONCATENATE("DS004=",$B$46), "Fill=B")</f>
        <v>124069</v>
      </c>
      <c r="AL66">
        <f ca="1">_xll.BDP($B$25,$C$25,CONCATENATE("PX391=", $AL$53), CONCATENATE("PX392=",$AL$54), CONCATENATE("DS004=",$B$46), "Fill=B")</f>
        <v>139710</v>
      </c>
      <c r="AM66">
        <f ca="1">_xll.BDP($B$25,$C$25,CONCATENATE("PX391=", $AM$53), CONCATENATE("PX392=",$AM$54), CONCATENATE("DS004=",$B$46), "Fill=B")</f>
        <v>119416</v>
      </c>
      <c r="AN66">
        <f ca="1">_xll.BDP($B$25,$C$25,CONCATENATE("PX391=", $AN$53), CONCATENATE("PX392=",$AN$54), CONCATENATE("DS004=",$B$46), "Fill=B")</f>
        <v>116254</v>
      </c>
      <c r="AO66">
        <f ca="1">_xll.BDP($B$25,$C$25,CONCATENATE("PX391=", $AO$53), CONCATENATE("PX392=",$AO$54), CONCATENATE("DS004=",$B$46), "Fill=B")</f>
        <v>132374</v>
      </c>
      <c r="AP66">
        <f ca="1">_xll.BDP($B$25,$C$25,CONCATENATE("PX391=", $AP$53), CONCATENATE("PX392=",$AP$54), CONCATENATE("DS004=",$B$46), "Fill=B")</f>
        <v>117283</v>
      </c>
      <c r="AQ66">
        <f ca="1">_xll.BDP($B$25,$C$25,CONCATENATE("PX391=", $AQ$53), CONCATENATE("PX392=",$AQ$54), CONCATENATE("DS004=",$B$46), "Fill=B")</f>
        <v>114679</v>
      </c>
      <c r="AR66">
        <f ca="1">_xll.BDP($B$25,$C$25,CONCATENATE("PX391=", $AR$53), CONCATENATE("PX392=",$AR$54), CONCATENATE("DS004=",$B$46), "Fill=B")</f>
        <v>112556</v>
      </c>
      <c r="AS66">
        <f ca="1">_xll.BDP($B$25,$C$25,CONCATENATE("PX391=", $AS$53), CONCATENATE("PX392=",$AS$54), CONCATENATE("DS004=",$B$46), "Fill=B")</f>
        <v>126177</v>
      </c>
      <c r="AT66">
        <f ca="1">_xll.BDP($B$25,$C$25,CONCATENATE("PX391=", $AT$53), CONCATENATE("PX392=",$AT$54), CONCATENATE("DS004=",$B$46), "Fill=B")</f>
        <v>138602</v>
      </c>
      <c r="AU66">
        <f ca="1">_xll.BDP($B$25,$C$25,CONCATENATE("PX391=", $AU$53), CONCATENATE("PX392=",$AU$54), CONCATENATE("DS004=",$B$46), "Fill=B")</f>
        <v>117538</v>
      </c>
      <c r="AV66">
        <f ca="1">_xll.BDP($B$25,$C$25,CONCATENATE("PX391=", $AV$53), CONCATENATE("PX392=",$AV$54), CONCATENATE("DS004=",$B$46), "Fill=B")</f>
        <v>134556</v>
      </c>
      <c r="AW66">
        <f ca="1">_xll.BDP($B$25,$C$25,CONCATENATE("PX391=", $AW$53), CONCATENATE("PX392=",$AW$54), CONCATENATE("DS004=",$B$46), "Fill=B")</f>
        <v>102502</v>
      </c>
      <c r="AX66">
        <f ca="1">_xll.BDP($B$25,$C$25,CONCATENATE("PX391=", $AX$53), CONCATENATE("PX392=",$AX$54), CONCATENATE("DS004=",$B$46), "Fill=B")</f>
        <v>145442</v>
      </c>
      <c r="AY66">
        <f ca="1">_xll.BDP($B$25,$C$25,CONCATENATE("PX391=", $AY$53), CONCATENATE("PX392=",$AY$54), CONCATENATE("DS004=",$B$46), "Fill=B")</f>
        <v>125559</v>
      </c>
      <c r="AZ66">
        <f ca="1">_xll.BDP($B$25,$C$25,CONCATENATE("PX391=", $AZ$53), CONCATENATE("PX392=",$AZ$54), CONCATENATE("DS004=",$B$46), "Fill=B")</f>
        <v>108624</v>
      </c>
      <c r="BA66">
        <f ca="1">_xll.BDP($B$25,$C$25,CONCATENATE("PX391=", $BA$53), CONCATENATE("PX392=",$BA$54), CONCATENATE("DS004=",$B$46), "Fill=B")</f>
        <v>125395</v>
      </c>
      <c r="BB66">
        <f ca="1">_xll.BDP($B$25,$C$25,CONCATENATE("PX391=", $BB$53), CONCATENATE("PX392=",$BB$54), CONCATENATE("DS004=",$B$46), "Fill=B")</f>
        <v>123705</v>
      </c>
      <c r="BC66">
        <f ca="1">_xll.BDP($B$25,$C$25,CONCATENATE("PX391=", $BC$53), CONCATENATE("PX392=",$BC$54), CONCATENATE("DS004=",$B$46), "Fill=B")</f>
        <v>131635</v>
      </c>
      <c r="BD66">
        <f ca="1">_xll.BDP($B$25,$C$25,CONCATENATE("PX391=", $BD$53), CONCATENATE("PX392=",$BD$54), CONCATENATE("DS004=",$B$46), "Fill=B")</f>
        <v>123215</v>
      </c>
      <c r="BE66">
        <f ca="1">_xll.BDP($B$25,$C$25,CONCATENATE("PX391=", $BE$53), CONCATENATE("PX392=",$BE$54), CONCATENATE("DS004=",$B$46), "Fill=B")</f>
        <v>124975</v>
      </c>
      <c r="BF66">
        <f ca="1">_xll.BDP($B$25,$C$25,CONCATENATE("PX391=", $BF$53), CONCATENATE("PX392=",$BF$54), CONCATENATE("DS004=",$B$46), "Fill=B")</f>
        <v>111654</v>
      </c>
      <c r="BG66">
        <f ca="1">_xll.BDP($B$25,$C$25,CONCATENATE("PX391=", $BG$53), CONCATENATE("PX392=",$BG$54), CONCATENATE("DS004=",$B$46), "Fill=B")</f>
        <v>133833</v>
      </c>
      <c r="BH66">
        <f ca="1">_xll.BDP($B$25,$C$25,CONCATENATE("PX391=", $BH$53), CONCATENATE("PX392=",$BH$54), CONCATENATE("DS004=",$B$46), "Fill=B")</f>
        <v>120577</v>
      </c>
      <c r="BI66">
        <f ca="1">_xll.BDP($B$25,$C$25,CONCATENATE("PX391=", $BI$53), CONCATENATE("PX392=",$BI$54), CONCATENATE("DS004=",$B$46), "Fill=B")</f>
        <v>123804</v>
      </c>
      <c r="BJ66">
        <f ca="1">_xll.BDP($B$25,$C$25,CONCATENATE("PX391=", $BJ$53), CONCATENATE("PX392=",$BJ$54), CONCATENATE("DS004=",$B$46), "Fill=B")</f>
        <v>131436</v>
      </c>
      <c r="BK66">
        <f ca="1">_xll.BDP($B$25,$C$25,CONCATENATE("PX391=", $BK$53), CONCATENATE("PX392=",$BK$54), CONCATENATE("DS004=",$B$46), "Fill=B")</f>
        <v>105287</v>
      </c>
      <c r="BL66">
        <f ca="1">_xll.BDP($B$25,$C$25,CONCATENATE("PX391=", $BL$53), CONCATENATE("PX392=",$BL$54), CONCATENATE("DS004=",$B$46), "Fill=B")</f>
        <v>117288</v>
      </c>
      <c r="BM66">
        <f ca="1">_xll.BDP($B$25,$C$25,CONCATENATE("PX391=", $BM$53), CONCATENATE("PX392=",$BM$54), CONCATENATE("DS004=",$B$46), "Fill=B")</f>
        <v>113329</v>
      </c>
      <c r="BN66">
        <f ca="1">_xll.BDP($B$25,$C$25,CONCATENATE("PX391=", $BN$53), CONCATENATE("PX392=",$BN$54), CONCATENATE("DS004=",$B$46), "Fill=B")</f>
        <v>115774</v>
      </c>
      <c r="BO66">
        <f ca="1">_xll.BDP($B$25,$C$25,CONCATENATE("PX391=", $BO$53), CONCATENATE("PX392=",$BO$54), CONCATENATE("DS004=",$B$46), "Fill=B")</f>
        <v>119837</v>
      </c>
      <c r="BP66">
        <f ca="1">_xll.BDP($B$25,$C$25,CONCATENATE("PX391=", $BP$53), CONCATENATE("PX392=",$BP$54), CONCATENATE("DS004=",$B$46), "Fill=B")</f>
        <v>121561</v>
      </c>
      <c r="BQ66">
        <f ca="1">_xll.BDP($B$25,$C$25,CONCATENATE("PX391=", $BQ$53), CONCATENATE("PX392=",$BQ$54), CONCATENATE("DS004=",$B$46), "Fill=B")</f>
        <v>119546</v>
      </c>
      <c r="BR66">
        <f ca="1">_xll.BDP($B$25,$C$25,CONCATENATE("PX391=", $BR$53), CONCATENATE("PX392=",$BR$54), CONCATENATE("DS004=",$B$46), "Fill=B")</f>
        <v>119747</v>
      </c>
      <c r="BS66">
        <f ca="1">_xll.BDP($B$25,$C$25,CONCATENATE("PX391=", $BS$53), CONCATENATE("PX392=",$BS$54), CONCATENATE("DS004=",$B$46), "Fill=B")</f>
        <v>135168</v>
      </c>
      <c r="BT66">
        <f ca="1">_xll.BDP($B$25,$C$25,CONCATENATE("PX391=", $BT$53), CONCATENATE("PX392=",$BT$54), CONCATENATE("DS004=",$B$46), "Fill=B")</f>
        <v>142412</v>
      </c>
      <c r="BU66">
        <f ca="1">_xll.BDP($B$25,$C$25,CONCATENATE("PX391=", $BU$53), CONCATENATE("PX392=",$BU$54), CONCATENATE("DS004=",$B$46), "Fill=B")</f>
        <v>141799</v>
      </c>
      <c r="BV66">
        <f ca="1">_xll.BDP($B$25,$C$25,CONCATENATE("PX391=", $BV$53), CONCATENATE("PX392=",$BV$54), CONCATENATE("DS004=",$B$46), "Fill=B")</f>
        <v>142419</v>
      </c>
      <c r="BW66">
        <f ca="1">_xll.BDP($B$25,$C$25,CONCATENATE("PX391=", $BW$53), CONCATENATE("PX392=",$BW$54), CONCATENATE("DS004=",$B$46), "Fill=B")</f>
        <v>130916</v>
      </c>
      <c r="BX66">
        <f ca="1">_xll.BDP($B$25,$C$25,CONCATENATE("PX391=", $BX$53), CONCATENATE("PX392=",$BX$54), CONCATENATE("DS004=",$B$46), "Fill=B")</f>
        <v>120503</v>
      </c>
      <c r="BY66">
        <f ca="1">_xll.BDP($B$25,$C$25,CONCATENATE("PX391=", $BY$53), CONCATENATE("PX392=",$BY$54), CONCATENATE("DS004=",$B$46), "Fill=B")</f>
        <v>137449</v>
      </c>
      <c r="BZ66">
        <f ca="1">_xll.BDP($B$25,$C$25,CONCATENATE("PX391=", $BZ$53), CONCATENATE("PX392=",$BZ$54), CONCATENATE("DS004=",$B$46), "Fill=B")</f>
        <v>126364</v>
      </c>
      <c r="CA66">
        <f ca="1">_xll.BDP($B$25,$C$25,CONCATENATE("PX391=", $CA$53), CONCATENATE("PX392=",$CA$54), CONCATENATE("DS004=",$B$46), "Fill=B")</f>
        <v>126150</v>
      </c>
      <c r="CB66">
        <f ca="1">_xll.BDP($B$25,$C$25,CONCATENATE("PX391=", $CB$53), CONCATENATE("PX392=",$CB$54), CONCATENATE("DS004=",$B$46), "Fill=B")</f>
        <v>125336</v>
      </c>
      <c r="CC66">
        <f ca="1">_xll.BDP($B$25,$C$25,CONCATENATE("PX391=", $CC$53), CONCATENATE("PX392=",$CC$54), CONCATENATE("DS004=",$B$46), "Fill=B")</f>
        <v>117290</v>
      </c>
      <c r="CD66">
        <f ca="1">_xll.BDP($B$25,$C$25,CONCATENATE("PX391=", $CD$53), CONCATENATE("PX392=",$CD$54), CONCATENATE("DS004=",$B$46), "Fill=B")</f>
        <v>126098</v>
      </c>
      <c r="CE66">
        <f ca="1">_xll.BDP($B$25,$C$25,CONCATENATE("PX391=", $CE$53), CONCATENATE("PX392=",$CE$54), CONCATENATE("DS004=",$B$46), "Fill=B")</f>
        <v>118304</v>
      </c>
      <c r="CF66">
        <f ca="1">_xll.BDP($B$25,$C$25,CONCATENATE("PX391=", $CF$53), CONCATENATE("PX392=",$CF$54), CONCATENATE("DS004=",$B$46), "Fill=B")</f>
        <v>118786</v>
      </c>
      <c r="CG66">
        <f ca="1">_xll.BDP($B$25,$C$25,CONCATENATE("PX391=", $CG$53), CONCATENATE("PX392=",$CG$54), CONCATENATE("DS004=",$B$46), "Fill=B")</f>
        <v>116260</v>
      </c>
      <c r="CH66">
        <f ca="1">_xll.BDP($B$25,$C$25,CONCATENATE("PX391=", $CH$53), CONCATENATE("PX392=",$CH$54), CONCATENATE("DS004=",$B$46), "Fill=B")</f>
        <v>120435</v>
      </c>
      <c r="CI66">
        <f ca="1">_xll.BDP($B$25,$C$25,CONCATENATE("PX391=", $CI$53), CONCATENATE("PX392=",$CI$54), CONCATENATE("DS004=",$B$46), "Fill=B")</f>
        <v>119811</v>
      </c>
      <c r="CJ66">
        <f ca="1">_xll.BDP($B$25,$C$25,CONCATENATE("PX391=", $CJ$53), CONCATENATE("PX392=",$CJ$54), CONCATENATE("DS004=",$B$46), "Fill=B")</f>
        <v>118234</v>
      </c>
      <c r="CK66">
        <f ca="1">_xll.BDP($B$25,$C$25,CONCATENATE("PX391=", $CK$53), CONCATENATE("PX392=",$CK$54), CONCATENATE("DS004=",$B$46), "Fill=B")</f>
        <v>122933</v>
      </c>
      <c r="CL66" t="str">
        <f>""</f>
        <v/>
      </c>
      <c r="CM66" t="str">
        <f>""</f>
        <v/>
      </c>
      <c r="CN66" t="str">
        <f>""</f>
        <v/>
      </c>
      <c r="CO66" t="str">
        <f>""</f>
        <v/>
      </c>
      <c r="CP66" t="str">
        <f>""</f>
        <v/>
      </c>
      <c r="CQ66" t="str">
        <f>""</f>
        <v/>
      </c>
      <c r="CR66" t="str">
        <f>""</f>
        <v/>
      </c>
      <c r="CS66" t="str">
        <f>""</f>
        <v/>
      </c>
      <c r="CT66" t="str">
        <f>""</f>
        <v/>
      </c>
      <c r="CU66" t="str">
        <f>""</f>
        <v/>
      </c>
      <c r="CV66" t="str">
        <f>""</f>
        <v/>
      </c>
      <c r="CW66" t="str">
        <f>""</f>
        <v/>
      </c>
      <c r="CX66" t="str">
        <f>""</f>
        <v/>
      </c>
      <c r="CY66" t="str">
        <f>""</f>
        <v/>
      </c>
      <c r="CZ66" t="str">
        <f>""</f>
        <v/>
      </c>
      <c r="DA66" t="str">
        <f>""</f>
        <v/>
      </c>
      <c r="DB66" t="str">
        <f>""</f>
        <v/>
      </c>
      <c r="DC66" t="str">
        <f>""</f>
        <v/>
      </c>
      <c r="DD66" t="str">
        <f>""</f>
        <v/>
      </c>
      <c r="DE66" t="str">
        <f>""</f>
        <v/>
      </c>
      <c r="DF66" t="str">
        <f>""</f>
        <v/>
      </c>
      <c r="DG66" t="str">
        <f>""</f>
        <v/>
      </c>
      <c r="DH66" t="str">
        <f>""</f>
        <v/>
      </c>
      <c r="DI66" t="str">
        <f>""</f>
        <v/>
      </c>
      <c r="DJ66" t="str">
        <f>""</f>
        <v/>
      </c>
      <c r="DK66" t="str">
        <f>""</f>
        <v/>
      </c>
      <c r="DL66" t="str">
        <f>""</f>
        <v/>
      </c>
      <c r="DM66" t="str">
        <f>""</f>
        <v/>
      </c>
      <c r="DN66" t="str">
        <f>""</f>
        <v/>
      </c>
      <c r="DO66" t="str">
        <f>""</f>
        <v/>
      </c>
      <c r="DP66" t="str">
        <f>""</f>
        <v/>
      </c>
      <c r="DQ66" t="str">
        <f>""</f>
        <v/>
      </c>
      <c r="DR66" t="str">
        <f>""</f>
        <v/>
      </c>
      <c r="DS66" t="str">
        <f>""</f>
        <v/>
      </c>
      <c r="DT66" t="str">
        <f>""</f>
        <v/>
      </c>
      <c r="DU66" t="str">
        <f>""</f>
        <v/>
      </c>
      <c r="DV66" t="str">
        <f>""</f>
        <v/>
      </c>
      <c r="DW66" t="str">
        <f>""</f>
        <v/>
      </c>
      <c r="DX66" t="str">
        <f>""</f>
        <v/>
      </c>
      <c r="DY66" t="str">
        <f>""</f>
        <v/>
      </c>
      <c r="DZ66" t="str">
        <f>""</f>
        <v/>
      </c>
      <c r="EA66" t="str">
        <f>""</f>
        <v/>
      </c>
      <c r="EB66" t="str">
        <f>""</f>
        <v/>
      </c>
      <c r="EC66" t="str">
        <f>""</f>
        <v/>
      </c>
      <c r="ED66" t="str">
        <f>""</f>
        <v/>
      </c>
      <c r="EE66" t="str">
        <f>""</f>
        <v/>
      </c>
      <c r="EF66" t="str">
        <f>""</f>
        <v/>
      </c>
      <c r="EG66" t="str">
        <f>""</f>
        <v/>
      </c>
      <c r="EH66" t="str">
        <f>""</f>
        <v/>
      </c>
      <c r="EI66" t="str">
        <f>""</f>
        <v/>
      </c>
      <c r="EJ66" t="str">
        <f>""</f>
        <v/>
      </c>
      <c r="EK66" t="str">
        <f>""</f>
        <v/>
      </c>
      <c r="EL66" t="str">
        <f>""</f>
        <v/>
      </c>
      <c r="EM66" t="str">
        <f>""</f>
        <v/>
      </c>
      <c r="EN66" t="str">
        <f>""</f>
        <v/>
      </c>
      <c r="EO66" t="str">
        <f>""</f>
        <v/>
      </c>
      <c r="EP66" t="str">
        <f>""</f>
        <v/>
      </c>
      <c r="EQ66" t="str">
        <f>""</f>
        <v/>
      </c>
      <c r="ER66" t="str">
        <f>""</f>
        <v/>
      </c>
      <c r="ES66" t="str">
        <f>""</f>
        <v/>
      </c>
      <c r="ET66" t="str">
        <f>""</f>
        <v/>
      </c>
      <c r="EU66" t="str">
        <f>""</f>
        <v/>
      </c>
      <c r="EV66" t="str">
        <f>""</f>
        <v/>
      </c>
      <c r="EW66" t="str">
        <f>""</f>
        <v/>
      </c>
      <c r="EX66" t="str">
        <f>""</f>
        <v/>
      </c>
      <c r="EY66" t="str">
        <f>""</f>
        <v/>
      </c>
      <c r="EZ66" t="str">
        <f>""</f>
        <v/>
      </c>
      <c r="FA66" t="str">
        <f>""</f>
        <v/>
      </c>
      <c r="FB66" t="str">
        <f>""</f>
        <v/>
      </c>
      <c r="FC66" t="str">
        <f>""</f>
        <v/>
      </c>
      <c r="FD66" t="str">
        <f>""</f>
        <v/>
      </c>
      <c r="FE66" t="str">
        <f>""</f>
        <v/>
      </c>
      <c r="FF66" t="str">
        <f>""</f>
        <v/>
      </c>
      <c r="FG66" t="str">
        <f>""</f>
        <v/>
      </c>
      <c r="FH66" t="str">
        <f>""</f>
        <v/>
      </c>
      <c r="FI66" t="str">
        <f>""</f>
        <v/>
      </c>
      <c r="FJ66" t="str">
        <f>""</f>
        <v/>
      </c>
      <c r="FK66" t="str">
        <f>""</f>
        <v/>
      </c>
      <c r="FL66" t="str">
        <f>""</f>
        <v/>
      </c>
      <c r="FM66" t="str">
        <f>""</f>
        <v/>
      </c>
      <c r="FN66" t="str">
        <f>""</f>
        <v/>
      </c>
      <c r="FO66" t="str">
        <f>""</f>
        <v/>
      </c>
      <c r="FP66" t="str">
        <f>""</f>
        <v/>
      </c>
      <c r="FQ66" t="str">
        <f>""</f>
        <v/>
      </c>
    </row>
    <row r="67" spans="1:173" x14ac:dyDescent="0.25">
      <c r="A67" t="str">
        <f>$A$26</f>
        <v xml:space="preserve">        Empty Containers (TEU)</v>
      </c>
      <c r="B67" t="str">
        <f>$B$26</f>
        <v>LALBLBEM Index</v>
      </c>
      <c r="C67" t="str">
        <f>$C$26</f>
        <v>PX385</v>
      </c>
      <c r="D67" t="str">
        <f>$D$26</f>
        <v>INTERVAL_SUM</v>
      </c>
      <c r="E67" t="str">
        <f>$E$26</f>
        <v>Dynamic</v>
      </c>
      <c r="F67" t="str">
        <f ca="1">_xll.BDP($B$26,$C$26,CONCATENATE("PX391=", $F$53), CONCATENATE("PX392=",$F$54), CONCATENATE("DS004=",$B$46), "Fill=B")</f>
        <v/>
      </c>
      <c r="G67" t="str">
        <f ca="1">_xll.BDP($B$26,$C$26,CONCATENATE("PX391=", $G$53), CONCATENATE("PX392=",$G$54), CONCATENATE("DS004=",$B$46), "Fill=B")</f>
        <v/>
      </c>
      <c r="H67">
        <f ca="1">_xll.BDP($B$26,$C$26,CONCATENATE("PX391=", $H$53), CONCATENATE("PX392=",$H$54), CONCATENATE("DS004=",$B$46), "Fill=B")</f>
        <v>319255</v>
      </c>
      <c r="I67">
        <f ca="1">_xll.BDP($B$26,$C$26,CONCATENATE("PX391=", $I$53), CONCATENATE("PX392=",$I$54), CONCATENATE("DS004=",$B$46), "Fill=B")</f>
        <v>263475</v>
      </c>
      <c r="J67">
        <f ca="1">_xll.BDP($B$26,$C$26,CONCATENATE("PX391=", $J$53), CONCATENATE("PX392=",$J$54), CONCATENATE("DS004=",$B$46), "Fill=B")</f>
        <v>217030</v>
      </c>
      <c r="K67">
        <f ca="1">_xll.BDP($B$26,$C$26,CONCATENATE("PX391=", $K$53), CONCATENATE("PX392=",$K$54), CONCATENATE("DS004=",$B$46), "Fill=B")</f>
        <v>228243</v>
      </c>
      <c r="L67">
        <f ca="1">_xll.BDP($B$26,$C$26,CONCATENATE("PX391=", $L$53), CONCATENATE("PX392=",$L$54), CONCATENATE("DS004=",$B$46), "Fill=B")</f>
        <v>268695</v>
      </c>
      <c r="M67">
        <f ca="1">_xll.BDP($B$26,$C$26,CONCATENATE("PX391=", $M$53), CONCATENATE("PX392=",$M$54), CONCATENATE("DS004=",$B$46), "Fill=B")</f>
        <v>219942</v>
      </c>
      <c r="N67">
        <f ca="1">_xll.BDP($B$26,$C$26,CONCATENATE("PX391=", $N$53), CONCATENATE("PX392=",$N$54), CONCATENATE("DS004=",$B$46), "Fill=B")</f>
        <v>191219</v>
      </c>
      <c r="O67">
        <f ca="1">_xll.BDP($B$26,$C$26,CONCATENATE("PX391=", $O$53), CONCATENATE("PX392=",$O$54), CONCATENATE("DS004=",$B$46), "Fill=B")</f>
        <v>177787</v>
      </c>
      <c r="P67">
        <f ca="1">_xll.BDP($B$26,$C$26,CONCATENATE("PX391=", $P$53), CONCATENATE("PX392=",$P$54), CONCATENATE("DS004=",$B$46), "Fill=B")</f>
        <v>204756</v>
      </c>
      <c r="Q67">
        <f ca="1">_xll.BDP($B$26,$C$26,CONCATENATE("PX391=", $Q$53), CONCATENATE("PX392=",$Q$54), CONCATENATE("DS004=",$B$46), "Fill=B")</f>
        <v>186680</v>
      </c>
      <c r="R67">
        <f ca="1">_xll.BDP($B$26,$C$26,CONCATENATE("PX391=", $R$53), CONCATENATE("PX392=",$R$54), CONCATENATE("DS004=",$B$46), "Fill=B")</f>
        <v>204313</v>
      </c>
      <c r="S67">
        <f ca="1">_xll.BDP($B$26,$C$26,CONCATENATE("PX391=", $S$53), CONCATENATE("PX392=",$S$54), CONCATENATE("DS004=",$B$46), "Fill=B")</f>
        <v>244743</v>
      </c>
      <c r="T67">
        <f ca="1">_xll.BDP($B$26,$C$26,CONCATENATE("PX391=", $T$53), CONCATENATE("PX392=",$T$54), CONCATENATE("DS004=",$B$46), "Fill=B")</f>
        <v>286212</v>
      </c>
      <c r="U67">
        <f ca="1">_xll.BDP($B$26,$C$26,CONCATENATE("PX391=", $U$53), CONCATENATE("PX392=",$U$54), CONCATENATE("DS004=",$B$46), "Fill=B")</f>
        <v>301002</v>
      </c>
      <c r="V67">
        <f ca="1">_xll.BDP($B$26,$C$26,CONCATENATE("PX391=", $V$53), CONCATENATE("PX392=",$V$54), CONCATENATE("DS004=",$B$46), "Fill=B")</f>
        <v>300257</v>
      </c>
      <c r="W67">
        <f ca="1">_xll.BDP($B$26,$C$26,CONCATENATE("PX391=", $W$53), CONCATENATE("PX392=",$W$54), CONCATENATE("DS004=",$B$46), "Fill=B")</f>
        <v>304432</v>
      </c>
      <c r="X67">
        <f ca="1">_xll.BDP($B$26,$C$26,CONCATENATE("PX391=", $X$53), CONCATENATE("PX392=",$X$54), CONCATENATE("DS004=",$B$46), "Fill=B")</f>
        <v>335778</v>
      </c>
      <c r="Y67">
        <f ca="1">_xll.BDP($B$26,$C$26,CONCATENATE("PX391=", $Y$53), CONCATENATE("PX392=",$Y$54), CONCATENATE("DS004=",$B$46), "Fill=B")</f>
        <v>298040</v>
      </c>
      <c r="Z67">
        <f ca="1">_xll.BDP($B$26,$C$26,CONCATENATE("PX391=", $Z$53), CONCATENATE("PX392=",$Z$54), CONCATENATE("DS004=",$B$46), "Fill=B")</f>
        <v>321691</v>
      </c>
      <c r="AA67">
        <f ca="1">_xll.BDP($B$26,$C$26,CONCATENATE("PX391=", $AA$53), CONCATENATE("PX392=",$AA$54), CONCATENATE("DS004=",$B$46), "Fill=B")</f>
        <v>288290</v>
      </c>
      <c r="AB67">
        <f ca="1">_xll.BDP($B$26,$C$26,CONCATENATE("PX391=", $AB$53), CONCATENATE("PX392=",$AB$54), CONCATENATE("DS004=",$B$46), "Fill=B")</f>
        <v>288550</v>
      </c>
      <c r="AC67">
        <f ca="1">_xll.BDP($B$26,$C$26,CONCATENATE("PX391=", $AC$53), CONCATENATE("PX392=",$AC$54), CONCATENATE("DS004=",$B$46), "Fill=B")</f>
        <v>281709</v>
      </c>
      <c r="AD67">
        <f ca="1">_xll.BDP($B$26,$C$26,CONCATENATE("PX391=", $AD$53), CONCATENATE("PX392=",$AD$54), CONCATENATE("DS004=",$B$46), "Fill=B")</f>
        <v>273274</v>
      </c>
      <c r="AE67">
        <f ca="1">_xll.BDP($B$26,$C$26,CONCATENATE("PX391=", $AE$53), CONCATENATE("PX392=",$AE$54), CONCATENATE("DS004=",$B$46), "Fill=B")</f>
        <v>282502</v>
      </c>
      <c r="AF67">
        <f ca="1">_xll.BDP($B$26,$C$26,CONCATENATE("PX391=", $AF$53), CONCATENATE("PX392=",$AF$54), CONCATENATE("DS004=",$B$46), "Fill=B")</f>
        <v>267456</v>
      </c>
      <c r="AG67">
        <f ca="1">_xll.BDP($B$26,$C$26,CONCATENATE("PX391=", $AG$53), CONCATENATE("PX392=",$AG$54), CONCATENATE("DS004=",$B$46), "Fill=B")</f>
        <v>280794</v>
      </c>
      <c r="AH67">
        <f ca="1">_xll.BDP($B$26,$C$26,CONCATENATE("PX391=", $AH$53), CONCATENATE("PX392=",$AH$54), CONCATENATE("DS004=",$B$46), "Fill=B")</f>
        <v>291955</v>
      </c>
      <c r="AI67">
        <f ca="1">_xll.BDP($B$26,$C$26,CONCATENATE("PX391=", $AI$53), CONCATENATE("PX392=",$AI$54), CONCATENATE("DS004=",$B$46), "Fill=B")</f>
        <v>250249</v>
      </c>
      <c r="AJ67">
        <f ca="1">_xll.BDP($B$26,$C$26,CONCATENATE("PX391=", $AJ$53), CONCATENATE("PX392=",$AJ$54), CONCATENATE("DS004=",$B$46), "Fill=B")</f>
        <v>327135</v>
      </c>
      <c r="AK67">
        <f ca="1">_xll.BDP($B$26,$C$26,CONCATENATE("PX391=", $AK$53), CONCATENATE("PX392=",$AK$54), CONCATENATE("DS004=",$B$46), "Fill=B")</f>
        <v>254969</v>
      </c>
      <c r="AL67">
        <f ca="1">_xll.BDP($B$26,$C$26,CONCATENATE("PX391=", $AL$53), CONCATENATE("PX392=",$AL$54), CONCATENATE("DS004=",$B$46), "Fill=B")</f>
        <v>292504</v>
      </c>
      <c r="AM67">
        <f ca="1">_xll.BDP($B$26,$C$26,CONCATENATE("PX391=", $AM$53), CONCATENATE("PX392=",$AM$54), CONCATENATE("DS004=",$B$46), "Fill=B")</f>
        <v>278563</v>
      </c>
      <c r="AN67">
        <f ca="1">_xll.BDP($B$26,$C$26,CONCATENATE("PX391=", $AN$53), CONCATENATE("PX392=",$AN$54), CONCATENATE("DS004=",$B$46), "Fill=B")</f>
        <v>283498</v>
      </c>
      <c r="AO67">
        <f ca="1">_xll.BDP($B$26,$C$26,CONCATENATE("PX391=", $AO$53), CONCATENATE("PX392=",$AO$54), CONCATENATE("DS004=",$B$46), "Fill=B")</f>
        <v>277440</v>
      </c>
      <c r="AP67">
        <f ca="1">_xll.BDP($B$26,$C$26,CONCATENATE("PX391=", $AP$53), CONCATENATE("PX392=",$AP$54), CONCATENATE("DS004=",$B$46), "Fill=B")</f>
        <v>283563</v>
      </c>
      <c r="AQ67">
        <f ca="1">_xll.BDP($B$26,$C$26,CONCATENATE("PX391=", $AQ$53), CONCATENATE("PX392=",$AQ$54), CONCATENATE("DS004=",$B$46), "Fill=B")</f>
        <v>289517</v>
      </c>
      <c r="AR67">
        <f ca="1">_xll.BDP($B$26,$C$26,CONCATENATE("PX391=", $AR$53), CONCATENATE("PX392=",$AR$54), CONCATENATE("DS004=",$B$46), "Fill=B")</f>
        <v>277406</v>
      </c>
      <c r="AS67">
        <f ca="1">_xll.BDP($B$26,$C$26,CONCATENATE("PX391=", $AS$53), CONCATENATE("PX392=",$AS$54), CONCATENATE("DS004=",$B$46), "Fill=B")</f>
        <v>234642</v>
      </c>
      <c r="AT67">
        <f ca="1">_xll.BDP($B$26,$C$26,CONCATENATE("PX391=", $AT$53), CONCATENATE("PX392=",$AT$54), CONCATENATE("DS004=",$B$46), "Fill=B")</f>
        <v>237672</v>
      </c>
      <c r="AU67">
        <f ca="1">_xll.BDP($B$26,$C$26,CONCATENATE("PX391=", $AU$53), CONCATENATE("PX392=",$AU$54), CONCATENATE("DS004=",$B$46), "Fill=B")</f>
        <v>183928</v>
      </c>
      <c r="AV67">
        <f ca="1">_xll.BDP($B$26,$C$26,CONCATENATE("PX391=", $AV$53), CONCATENATE("PX392=",$AV$54), CONCATENATE("DS004=",$B$46), "Fill=B")</f>
        <v>181060</v>
      </c>
      <c r="AW67">
        <f ca="1">_xll.BDP($B$26,$C$26,CONCATENATE("PX391=", $AW$53), CONCATENATE("PX392=",$AW$54), CONCATENATE("DS004=",$B$46), "Fill=B")</f>
        <v>163689</v>
      </c>
      <c r="AX67">
        <f ca="1">_xll.BDP($B$26,$C$26,CONCATENATE("PX391=", $AX$53), CONCATENATE("PX392=",$AX$54), CONCATENATE("DS004=",$B$46), "Fill=B")</f>
        <v>137652</v>
      </c>
      <c r="AY67">
        <f ca="1">_xll.BDP($B$26,$C$26,CONCATENATE("PX391=", $AY$53), CONCATENATE("PX392=",$AY$54), CONCATENATE("DS004=",$B$46), "Fill=B")</f>
        <v>164277</v>
      </c>
      <c r="AZ67">
        <f ca="1">_xll.BDP($B$26,$C$26,CONCATENATE("PX391=", $AZ$53), CONCATENATE("PX392=",$AZ$54), CONCATENATE("DS004=",$B$46), "Fill=B")</f>
        <v>208244</v>
      </c>
      <c r="BA67">
        <f ca="1">_xll.BDP($B$26,$C$26,CONCATENATE("PX391=", $BA$53), CONCATENATE("PX392=",$BA$54), CONCATENATE("DS004=",$B$46), "Fill=B")</f>
        <v>216635</v>
      </c>
      <c r="BB67">
        <f ca="1">_xll.BDP($B$26,$C$26,CONCATENATE("PX391=", $BB$53), CONCATENATE("PX392=",$BB$54), CONCATENATE("DS004=",$B$46), "Fill=B")</f>
        <v>182992</v>
      </c>
      <c r="BC67">
        <f ca="1">_xll.BDP($B$26,$C$26,CONCATENATE("PX391=", $BC$53), CONCATENATE("PX392=",$BC$54), CONCATENATE("DS004=",$B$46), "Fill=B")</f>
        <v>219728</v>
      </c>
      <c r="BD67">
        <f ca="1">_xll.BDP($B$26,$C$26,CONCATENATE("PX391=", $BD$53), CONCATENATE("PX392=",$BD$54), CONCATENATE("DS004=",$B$46), "Fill=B")</f>
        <v>228821</v>
      </c>
      <c r="BE67">
        <f ca="1">_xll.BDP($B$26,$C$26,CONCATENATE("PX391=", $BE$53), CONCATENATE("PX392=",$BE$54), CONCATENATE("DS004=",$B$46), "Fill=B")</f>
        <v>216238</v>
      </c>
      <c r="BF67">
        <f ca="1">_xll.BDP($B$26,$C$26,CONCATENATE("PX391=", $BF$53), CONCATENATE("PX392=",$BF$54), CONCATENATE("DS004=",$B$46), "Fill=B")</f>
        <v>196777</v>
      </c>
      <c r="BG67">
        <f ca="1">_xll.BDP($B$26,$C$26,CONCATENATE("PX391=", $BG$53), CONCATENATE("PX392=",$BG$54), CONCATENATE("DS004=",$B$46), "Fill=B")</f>
        <v>211718</v>
      </c>
      <c r="BH67">
        <f ca="1">_xll.BDP($B$26,$C$26,CONCATENATE("PX391=", $BH$53), CONCATENATE("PX392=",$BH$54), CONCATENATE("DS004=",$B$46), "Fill=B")</f>
        <v>162479</v>
      </c>
      <c r="BI67">
        <f ca="1">_xll.BDP($B$26,$C$26,CONCATENATE("PX391=", $BI$53), CONCATENATE("PX392=",$BI$54), CONCATENATE("DS004=",$B$46), "Fill=B")</f>
        <v>186435</v>
      </c>
      <c r="BJ67">
        <f ca="1">_xll.BDP($B$26,$C$26,CONCATENATE("PX391=", $BJ$53), CONCATENATE("PX392=",$BJ$54), CONCATENATE("DS004=",$B$46), "Fill=B")</f>
        <v>174346</v>
      </c>
      <c r="BK67">
        <f ca="1">_xll.BDP($B$26,$C$26,CONCATENATE("PX391=", $BK$53), CONCATENATE("PX392=",$BK$54), CONCATENATE("DS004=",$B$46), "Fill=B")</f>
        <v>188465</v>
      </c>
      <c r="BL67">
        <f ca="1">_xll.BDP($B$26,$C$26,CONCATENATE("PX391=", $BL$53), CONCATENATE("PX392=",$BL$54), CONCATENATE("DS004=",$B$46), "Fill=B")</f>
        <v>216160</v>
      </c>
      <c r="BM67">
        <f ca="1">_xll.BDP($B$26,$C$26,CONCATENATE("PX391=", $BM$53), CONCATENATE("PX392=",$BM$54), CONCATENATE("DS004=",$B$46), "Fill=B")</f>
        <v>255220</v>
      </c>
      <c r="BN67">
        <f ca="1">_xll.BDP($B$26,$C$26,CONCATENATE("PX391=", $BN$53), CONCATENATE("PX392=",$BN$54), CONCATENATE("DS004=",$B$46), "Fill=B")</f>
        <v>186183</v>
      </c>
      <c r="BO67">
        <f ca="1">_xll.BDP($B$26,$C$26,CONCATENATE("PX391=", $BO$53), CONCATENATE("PX392=",$BO$54), CONCATENATE("DS004=",$B$46), "Fill=B")</f>
        <v>221487</v>
      </c>
      <c r="BP67">
        <f ca="1">_xll.BDP($B$26,$C$26,CONCATENATE("PX391=", $BP$53), CONCATENATE("PX392=",$BP$54), CONCATENATE("DS004=",$B$46), "Fill=B")</f>
        <v>222343</v>
      </c>
      <c r="BQ67">
        <f ca="1">_xll.BDP($B$26,$C$26,CONCATENATE("PX391=", $BQ$53), CONCATENATE("PX392=",$BQ$54), CONCATENATE("DS004=",$B$46), "Fill=B")</f>
        <v>216968</v>
      </c>
      <c r="BR67">
        <f ca="1">_xll.BDP($B$26,$C$26,CONCATENATE("PX391=", $BR$53), CONCATENATE("PX392=",$BR$54), CONCATENATE("DS004=",$B$46), "Fill=B")</f>
        <v>220975</v>
      </c>
      <c r="BS67">
        <f ca="1">_xll.BDP($B$26,$C$26,CONCATENATE("PX391=", $BS$53), CONCATENATE("PX392=",$BS$54), CONCATENATE("DS004=",$B$46), "Fill=B")</f>
        <v>232926</v>
      </c>
      <c r="BT67">
        <f ca="1">_xll.BDP($B$26,$C$26,CONCATENATE("PX391=", $BT$53), CONCATENATE("PX392=",$BT$54), CONCATENATE("DS004=",$B$46), "Fill=B")</f>
        <v>183959</v>
      </c>
      <c r="BU67">
        <f ca="1">_xll.BDP($B$26,$C$26,CONCATENATE("PX391=", $BU$53), CONCATENATE("PX392=",$BU$54), CONCATENATE("DS004=",$B$46), "Fill=B")</f>
        <v>164264</v>
      </c>
      <c r="BV67">
        <f ca="1">_xll.BDP($B$26,$C$26,CONCATENATE("PX391=", $BV$53), CONCATENATE("PX392=",$BV$54), CONCATENATE("DS004=",$B$46), "Fill=B")</f>
        <v>165015</v>
      </c>
      <c r="BW67">
        <f ca="1">_xll.BDP($B$26,$C$26,CONCATENATE("PX391=", $BW$53), CONCATENATE("PX392=",$BW$54), CONCATENATE("DS004=",$B$46), "Fill=B")</f>
        <v>188628</v>
      </c>
      <c r="BX67">
        <f ca="1">_xll.BDP($B$26,$C$26,CONCATENATE("PX391=", $BX$53), CONCATENATE("PX392=",$BX$54), CONCATENATE("DS004=",$B$46), "Fill=B")</f>
        <v>212671</v>
      </c>
      <c r="BY67">
        <f ca="1">_xll.BDP($B$26,$C$26,CONCATENATE("PX391=", $BY$53), CONCATENATE("PX392=",$BY$54), CONCATENATE("DS004=",$B$46), "Fill=B")</f>
        <v>213749</v>
      </c>
      <c r="BZ67">
        <f ca="1">_xll.BDP($B$26,$C$26,CONCATENATE("PX391=", $BZ$53), CONCATENATE("PX392=",$BZ$54), CONCATENATE("DS004=",$B$46), "Fill=B")</f>
        <v>167085</v>
      </c>
      <c r="CA67">
        <f ca="1">_xll.BDP($B$26,$C$26,CONCATENATE("PX391=", $CA$53), CONCATENATE("PX392=",$CA$54), CONCATENATE("DS004=",$B$46), "Fill=B")</f>
        <v>204055</v>
      </c>
      <c r="CB67">
        <f ca="1">_xll.BDP($B$26,$C$26,CONCATENATE("PX391=", $CB$53), CONCATENATE("PX392=",$CB$54), CONCATENATE("DS004=",$B$46), "Fill=B")</f>
        <v>209985</v>
      </c>
      <c r="CC67">
        <f ca="1">_xll.BDP($B$26,$C$26,CONCATENATE("PX391=", $CC$53), CONCATENATE("PX392=",$CC$54), CONCATENATE("DS004=",$B$46), "Fill=B")</f>
        <v>219370</v>
      </c>
      <c r="CD67">
        <f ca="1">_xll.BDP($B$26,$C$26,CONCATENATE("PX391=", $CD$53), CONCATENATE("PX392=",$CD$54), CONCATENATE("DS004=",$B$46), "Fill=B")</f>
        <v>215394</v>
      </c>
      <c r="CE67">
        <f ca="1">_xll.BDP($B$26,$C$26,CONCATENATE("PX391=", $CE$53), CONCATENATE("PX392=",$CE$54), CONCATENATE("DS004=",$B$46), "Fill=B")</f>
        <v>205095</v>
      </c>
      <c r="CF67">
        <f ca="1">_xll.BDP($B$26,$C$26,CONCATENATE("PX391=", $CF$53), CONCATENATE("PX392=",$CF$54), CONCATENATE("DS004=",$B$46), "Fill=B")</f>
        <v>192908</v>
      </c>
      <c r="CG67">
        <f ca="1">_xll.BDP($B$26,$C$26,CONCATENATE("PX391=", $CG$53), CONCATENATE("PX392=",$CG$54), CONCATENATE("DS004=",$B$46), "Fill=B")</f>
        <v>153547</v>
      </c>
      <c r="CH67">
        <f ca="1">_xll.BDP($B$26,$C$26,CONCATENATE("PX391=", $CH$53), CONCATENATE("PX392=",$CH$54), CONCATENATE("DS004=",$B$46), "Fill=B")</f>
        <v>135413</v>
      </c>
      <c r="CI67">
        <f ca="1">_xll.BDP($B$26,$C$26,CONCATENATE("PX391=", $CI$53), CONCATENATE("PX392=",$CI$54), CONCATENATE("DS004=",$B$46), "Fill=B")</f>
        <v>128742</v>
      </c>
      <c r="CJ67">
        <f ca="1">_xll.BDP($B$26,$C$26,CONCATENATE("PX391=", $CJ$53), CONCATENATE("PX392=",$CJ$54), CONCATENATE("DS004=",$B$46), "Fill=B")</f>
        <v>165465</v>
      </c>
      <c r="CK67">
        <f ca="1">_xll.BDP($B$26,$C$26,CONCATENATE("PX391=", $CK$53), CONCATENATE("PX392=",$CK$54), CONCATENATE("DS004=",$B$46), "Fill=B")</f>
        <v>154397</v>
      </c>
      <c r="CL67" t="str">
        <f>""</f>
        <v/>
      </c>
      <c r="CM67" t="str">
        <f>""</f>
        <v/>
      </c>
      <c r="CN67" t="str">
        <f>""</f>
        <v/>
      </c>
      <c r="CO67" t="str">
        <f>""</f>
        <v/>
      </c>
      <c r="CP67" t="str">
        <f>""</f>
        <v/>
      </c>
      <c r="CQ67" t="str">
        <f>""</f>
        <v/>
      </c>
      <c r="CR67" t="str">
        <f>""</f>
        <v/>
      </c>
      <c r="CS67" t="str">
        <f>""</f>
        <v/>
      </c>
      <c r="CT67" t="str">
        <f>""</f>
        <v/>
      </c>
      <c r="CU67" t="str">
        <f>""</f>
        <v/>
      </c>
      <c r="CV67" t="str">
        <f>""</f>
        <v/>
      </c>
      <c r="CW67" t="str">
        <f>""</f>
        <v/>
      </c>
      <c r="CX67" t="str">
        <f>""</f>
        <v/>
      </c>
      <c r="CY67" t="str">
        <f>""</f>
        <v/>
      </c>
      <c r="CZ67" t="str">
        <f>""</f>
        <v/>
      </c>
      <c r="DA67" t="str">
        <f>""</f>
        <v/>
      </c>
      <c r="DB67" t="str">
        <f>""</f>
        <v/>
      </c>
      <c r="DC67" t="str">
        <f>""</f>
        <v/>
      </c>
      <c r="DD67" t="str">
        <f>""</f>
        <v/>
      </c>
      <c r="DE67" t="str">
        <f>""</f>
        <v/>
      </c>
      <c r="DF67" t="str">
        <f>""</f>
        <v/>
      </c>
      <c r="DG67" t="str">
        <f>""</f>
        <v/>
      </c>
      <c r="DH67" t="str">
        <f>""</f>
        <v/>
      </c>
      <c r="DI67" t="str">
        <f>""</f>
        <v/>
      </c>
      <c r="DJ67" t="str">
        <f>""</f>
        <v/>
      </c>
      <c r="DK67" t="str">
        <f>""</f>
        <v/>
      </c>
      <c r="DL67" t="str">
        <f>""</f>
        <v/>
      </c>
      <c r="DM67" t="str">
        <f>""</f>
        <v/>
      </c>
      <c r="DN67" t="str">
        <f>""</f>
        <v/>
      </c>
      <c r="DO67" t="str">
        <f>""</f>
        <v/>
      </c>
      <c r="DP67" t="str">
        <f>""</f>
        <v/>
      </c>
      <c r="DQ67" t="str">
        <f>""</f>
        <v/>
      </c>
      <c r="DR67" t="str">
        <f>""</f>
        <v/>
      </c>
      <c r="DS67" t="str">
        <f>""</f>
        <v/>
      </c>
      <c r="DT67" t="str">
        <f>""</f>
        <v/>
      </c>
      <c r="DU67" t="str">
        <f>""</f>
        <v/>
      </c>
      <c r="DV67" t="str">
        <f>""</f>
        <v/>
      </c>
      <c r="DW67" t="str">
        <f>""</f>
        <v/>
      </c>
      <c r="DX67" t="str">
        <f>""</f>
        <v/>
      </c>
      <c r="DY67" t="str">
        <f>""</f>
        <v/>
      </c>
      <c r="DZ67" t="str">
        <f>""</f>
        <v/>
      </c>
      <c r="EA67" t="str">
        <f>""</f>
        <v/>
      </c>
      <c r="EB67" t="str">
        <f>""</f>
        <v/>
      </c>
      <c r="EC67" t="str">
        <f>""</f>
        <v/>
      </c>
      <c r="ED67" t="str">
        <f>""</f>
        <v/>
      </c>
      <c r="EE67" t="str">
        <f>""</f>
        <v/>
      </c>
      <c r="EF67" t="str">
        <f>""</f>
        <v/>
      </c>
      <c r="EG67" t="str">
        <f>""</f>
        <v/>
      </c>
      <c r="EH67" t="str">
        <f>""</f>
        <v/>
      </c>
      <c r="EI67" t="str">
        <f>""</f>
        <v/>
      </c>
      <c r="EJ67" t="str">
        <f>""</f>
        <v/>
      </c>
      <c r="EK67" t="str">
        <f>""</f>
        <v/>
      </c>
      <c r="EL67" t="str">
        <f>""</f>
        <v/>
      </c>
      <c r="EM67" t="str">
        <f>""</f>
        <v/>
      </c>
      <c r="EN67" t="str">
        <f>""</f>
        <v/>
      </c>
      <c r="EO67" t="str">
        <f>""</f>
        <v/>
      </c>
      <c r="EP67" t="str">
        <f>""</f>
        <v/>
      </c>
      <c r="EQ67" t="str">
        <f>""</f>
        <v/>
      </c>
      <c r="ER67" t="str">
        <f>""</f>
        <v/>
      </c>
      <c r="ES67" t="str">
        <f>""</f>
        <v/>
      </c>
      <c r="ET67" t="str">
        <f>""</f>
        <v/>
      </c>
      <c r="EU67" t="str">
        <f>""</f>
        <v/>
      </c>
      <c r="EV67" t="str">
        <f>""</f>
        <v/>
      </c>
      <c r="EW67" t="str">
        <f>""</f>
        <v/>
      </c>
      <c r="EX67" t="str">
        <f>""</f>
        <v/>
      </c>
      <c r="EY67" t="str">
        <f>""</f>
        <v/>
      </c>
      <c r="EZ67" t="str">
        <f>""</f>
        <v/>
      </c>
      <c r="FA67" t="str">
        <f>""</f>
        <v/>
      </c>
      <c r="FB67" t="str">
        <f>""</f>
        <v/>
      </c>
      <c r="FC67" t="str">
        <f>""</f>
        <v/>
      </c>
      <c r="FD67" t="str">
        <f>""</f>
        <v/>
      </c>
      <c r="FE67" t="str">
        <f>""</f>
        <v/>
      </c>
      <c r="FF67" t="str">
        <f>""</f>
        <v/>
      </c>
      <c r="FG67" t="str">
        <f>""</f>
        <v/>
      </c>
      <c r="FH67" t="str">
        <f>""</f>
        <v/>
      </c>
      <c r="FI67" t="str">
        <f>""</f>
        <v/>
      </c>
      <c r="FJ67" t="str">
        <f>""</f>
        <v/>
      </c>
      <c r="FK67" t="str">
        <f>""</f>
        <v/>
      </c>
      <c r="FL67" t="str">
        <f>""</f>
        <v/>
      </c>
      <c r="FM67" t="str">
        <f>""</f>
        <v/>
      </c>
      <c r="FN67" t="str">
        <f>""</f>
        <v/>
      </c>
      <c r="FO67" t="str">
        <f>""</f>
        <v/>
      </c>
      <c r="FP67" t="str">
        <f>""</f>
        <v/>
      </c>
      <c r="FQ67" t="str">
        <f>""</f>
        <v/>
      </c>
    </row>
    <row r="68" spans="1:173" x14ac:dyDescent="0.25">
      <c r="A68" t="str">
        <f>$A$27</f>
        <v xml:space="preserve">    Port of New York New Jersey (TEU)</v>
      </c>
      <c r="B68" t="str">
        <f>$B$27</f>
        <v>PONYTOTL Index</v>
      </c>
      <c r="C68" t="str">
        <f>$C$27</f>
        <v>PX385</v>
      </c>
      <c r="D68" t="str">
        <f>$D$27</f>
        <v>INTERVAL_SUM</v>
      </c>
      <c r="E68" t="str">
        <f>$E$27</f>
        <v>Dynamic</v>
      </c>
      <c r="F68" t="str">
        <f ca="1">_xll.BDP($B$27,$C$27,CONCATENATE("PX391=", $F$53), CONCATENATE("PX392=",$F$54), CONCATENATE("DS004=",$B$46), "Fill=B")</f>
        <v/>
      </c>
      <c r="G68" t="str">
        <f ca="1">_xll.BDP($B$27,$C$27,CONCATENATE("PX391=", $G$53), CONCATENATE("PX392=",$G$54), CONCATENATE("DS004=",$B$46), "Fill=B")</f>
        <v/>
      </c>
      <c r="H68">
        <f ca="1">_xll.BDP($B$27,$C$27,CONCATENATE("PX391=", $H$53), CONCATENATE("PX392=",$H$54), CONCATENATE("DS004=",$B$46), "Fill=B")</f>
        <v>439412</v>
      </c>
      <c r="I68">
        <f ca="1">_xll.BDP($B$27,$C$27,CONCATENATE("PX391=", $I$53), CONCATENATE("PX392=",$I$54), CONCATENATE("DS004=",$B$46), "Fill=B")</f>
        <v>454946</v>
      </c>
      <c r="J68">
        <f ca="1">_xll.BDP($B$27,$C$27,CONCATENATE("PX391=", $J$53), CONCATENATE("PX392=",$J$54), CONCATENATE("DS004=",$B$46), "Fill=B")</f>
        <v>472334</v>
      </c>
      <c r="K68">
        <f ca="1">_xll.BDP($B$27,$C$27,CONCATENATE("PX391=", $K$53), CONCATENATE("PX392=",$K$54), CONCATENATE("DS004=",$B$46), "Fill=B")</f>
        <v>428190</v>
      </c>
      <c r="L68">
        <f ca="1">_xll.BDP($B$27,$C$27,CONCATENATE("PX391=", $L$53), CONCATENATE("PX392=",$L$54), CONCATENATE("DS004=",$B$46), "Fill=B")</f>
        <v>462125</v>
      </c>
      <c r="M68">
        <f ca="1">_xll.BDP($B$27,$C$27,CONCATENATE("PX391=", $M$53), CONCATENATE("PX392=",$M$54), CONCATENATE("DS004=",$B$46), "Fill=B")</f>
        <v>431191</v>
      </c>
      <c r="N68">
        <f ca="1">_xll.BDP($B$27,$C$27,CONCATENATE("PX391=", $N$53), CONCATENATE("PX392=",$N$54), CONCATENATE("DS004=",$B$46), "Fill=B")</f>
        <v>404066</v>
      </c>
      <c r="O68">
        <f ca="1">_xll.BDP($B$27,$C$27,CONCATENATE("PX391=", $O$53), CONCATENATE("PX392=",$O$54), CONCATENATE("DS004=",$B$46), "Fill=B")</f>
        <v>387006</v>
      </c>
      <c r="P68">
        <f ca="1">_xll.BDP($B$27,$C$27,CONCATENATE("PX391=", $P$53), CONCATENATE("PX392=",$P$54), CONCATENATE("DS004=",$B$46), "Fill=B")</f>
        <v>436250</v>
      </c>
      <c r="Q68">
        <f ca="1">_xll.BDP($B$27,$C$27,CONCATENATE("PX391=", $Q$53), CONCATENATE("PX392=",$Q$54), CONCATENATE("DS004=",$B$46), "Fill=B")</f>
        <v>498878</v>
      </c>
      <c r="R68">
        <f ca="1">_xll.BDP($B$27,$C$27,CONCATENATE("PX391=", $R$53), CONCATENATE("PX392=",$R$54), CONCATENATE("DS004=",$B$46), "Fill=B")</f>
        <v>459769</v>
      </c>
      <c r="S68">
        <f ca="1">_xll.BDP($B$27,$C$27,CONCATENATE("PX391=", $S$53), CONCATENATE("PX392=",$S$54), CONCATENATE("DS004=",$B$46), "Fill=B")</f>
        <v>494778</v>
      </c>
      <c r="T68">
        <f ca="1">_xll.BDP($B$27,$C$27,CONCATENATE("PX391=", $T$53), CONCATENATE("PX392=",$T$54), CONCATENATE("DS004=",$B$46), "Fill=B")</f>
        <v>526687</v>
      </c>
      <c r="U68">
        <f ca="1">_xll.BDP($B$27,$C$27,CONCATENATE("PX391=", $U$53), CONCATENATE("PX392=",$U$54), CONCATENATE("DS004=",$B$46), "Fill=B")</f>
        <v>537779</v>
      </c>
      <c r="V68">
        <f ca="1">_xll.BDP($B$27,$C$27,CONCATENATE("PX391=", $V$53), CONCATENATE("PX392=",$V$54), CONCATENATE("DS004=",$B$46), "Fill=B")</f>
        <v>498792</v>
      </c>
      <c r="W68">
        <f ca="1">_xll.BDP($B$27,$C$27,CONCATENATE("PX391=", $W$53), CONCATENATE("PX392=",$W$54), CONCATENATE("DS004=",$B$46), "Fill=B")</f>
        <v>550647</v>
      </c>
      <c r="X68">
        <f ca="1">_xll.BDP($B$27,$C$27,CONCATENATE("PX391=", $X$53), CONCATENATE("PX392=",$X$54), CONCATENATE("DS004=",$B$46), "Fill=B")</f>
        <v>544975</v>
      </c>
      <c r="Y68">
        <f ca="1">_xll.BDP($B$27,$C$27,CONCATENATE("PX391=", $Y$53), CONCATENATE("PX392=",$Y$54), CONCATENATE("DS004=",$B$46), "Fill=B")</f>
        <v>533194</v>
      </c>
      <c r="Z68">
        <f ca="1">_xll.BDP($B$27,$C$27,CONCATENATE("PX391=", $Z$53), CONCATENATE("PX392=",$Z$54), CONCATENATE("DS004=",$B$46), "Fill=B")</f>
        <v>562224</v>
      </c>
      <c r="AA68">
        <f ca="1">_xll.BDP($B$27,$C$27,CONCATENATE("PX391=", $AA$53), CONCATENATE("PX392=",$AA$54), CONCATENATE("DS004=",$B$46), "Fill=B")</f>
        <v>489321</v>
      </c>
      <c r="AB68">
        <f ca="1">_xll.BDP($B$27,$C$27,CONCATENATE("PX391=", $AB$53), CONCATENATE("PX392=",$AB$54), CONCATENATE("DS004=",$B$46), "Fill=B")</f>
        <v>498878</v>
      </c>
      <c r="AC68">
        <f ca="1">_xll.BDP($B$27,$C$27,CONCATENATE("PX391=", $AC$53), CONCATENATE("PX392=",$AC$54), CONCATENATE("DS004=",$B$46), "Fill=B")</f>
        <v>498878</v>
      </c>
      <c r="AD68">
        <f ca="1">_xll.BDP($B$27,$C$27,CONCATENATE("PX391=", $AD$53), CONCATENATE("PX392=",$AD$54), CONCATENATE("DS004=",$B$46), "Fill=B")</f>
        <v>500229</v>
      </c>
      <c r="AE68">
        <f ca="1">_xll.BDP($B$27,$C$27,CONCATENATE("PX391=", $AE$53), CONCATENATE("PX392=",$AE$54), CONCATENATE("DS004=",$B$46), "Fill=B")</f>
        <v>518785</v>
      </c>
      <c r="AF68">
        <f ca="1">_xll.BDP($B$27,$C$27,CONCATENATE("PX391=", $AF$53), CONCATENATE("PX392=",$AF$54), CONCATENATE("DS004=",$B$46), "Fill=B")</f>
        <v>479083</v>
      </c>
      <c r="AG68">
        <f ca="1">_xll.BDP($B$27,$C$27,CONCATENATE("PX391=", $AG$53), CONCATENATE("PX392=",$AG$54), CONCATENATE("DS004=",$B$46), "Fill=B")</f>
        <v>503602</v>
      </c>
      <c r="AH68">
        <f ca="1">_xll.BDP($B$27,$C$27,CONCATENATE("PX391=", $AH$53), CONCATENATE("PX392=",$AH$54), CONCATENATE("DS004=",$B$46), "Fill=B")</f>
        <v>505104</v>
      </c>
      <c r="AI68">
        <f ca="1">_xll.BDP($B$27,$C$27,CONCATENATE("PX391=", $AI$53), CONCATENATE("PX392=",$AI$54), CONCATENATE("DS004=",$B$46), "Fill=B")</f>
        <v>499758</v>
      </c>
      <c r="AJ68">
        <f ca="1">_xll.BDP($B$27,$C$27,CONCATENATE("PX391=", $AJ$53), CONCATENATE("PX392=",$AJ$54), CONCATENATE("DS004=",$B$46), "Fill=B")</f>
        <v>530875</v>
      </c>
      <c r="AK68">
        <f ca="1">_xll.BDP($B$27,$C$27,CONCATENATE("PX391=", $AK$53), CONCATENATE("PX392=",$AK$54), CONCATENATE("DS004=",$B$46), "Fill=B")</f>
        <v>480936</v>
      </c>
      <c r="AL68">
        <f ca="1">_xll.BDP($B$27,$C$27,CONCATENATE("PX391=", $AL$53), CONCATENATE("PX392=",$AL$54), CONCATENATE("DS004=",$B$46), "Fill=B")</f>
        <v>519858</v>
      </c>
      <c r="AM68">
        <f ca="1">_xll.BDP($B$27,$C$27,CONCATENATE("PX391=", $AM$53), CONCATENATE("PX392=",$AM$54), CONCATENATE("DS004=",$B$46), "Fill=B")</f>
        <v>428874</v>
      </c>
      <c r="AN68">
        <f ca="1">_xll.BDP($B$27,$C$27,CONCATENATE("PX391=", $AN$53), CONCATENATE("PX392=",$AN$54), CONCATENATE("DS004=",$B$46), "Fill=B")</f>
        <v>480130</v>
      </c>
      <c r="AO68">
        <f ca="1">_xll.BDP($B$27,$C$27,CONCATENATE("PX391=", $AO$53), CONCATENATE("PX392=",$AO$54), CONCATENATE("DS004=",$B$46), "Fill=B")</f>
        <v>462216</v>
      </c>
      <c r="AP68">
        <f ca="1">_xll.BDP($B$27,$C$27,CONCATENATE("PX391=", $AP$53), CONCATENATE("PX392=",$AP$54), CONCATENATE("DS004=",$B$46), "Fill=B")</f>
        <v>501674</v>
      </c>
      <c r="AQ68">
        <f ca="1">_xll.BDP($B$27,$C$27,CONCATENATE("PX391=", $AQ$53), CONCATENATE("PX392=",$AQ$54), CONCATENATE("DS004=",$B$46), "Fill=B")</f>
        <v>521384</v>
      </c>
      <c r="AR68">
        <f ca="1">_xll.BDP($B$27,$C$27,CONCATENATE("PX391=", $AR$53), CONCATENATE("PX392=",$AR$54), CONCATENATE("DS004=",$B$46), "Fill=B")</f>
        <v>489339</v>
      </c>
      <c r="AS68">
        <f ca="1">_xll.BDP($B$27,$C$27,CONCATENATE("PX391=", $AS$53), CONCATENATE("PX392=",$AS$54), CONCATENATE("DS004=",$B$46), "Fill=B")</f>
        <v>469954</v>
      </c>
      <c r="AT68">
        <f ca="1">_xll.BDP($B$27,$C$27,CONCATENATE("PX391=", $AT$53), CONCATENATE("PX392=",$AT$54), CONCATENATE("DS004=",$B$46), "Fill=B")</f>
        <v>428819</v>
      </c>
      <c r="AU68">
        <f ca="1">_xll.BDP($B$27,$C$27,CONCATENATE("PX391=", $AU$53), CONCATENATE("PX392=",$AU$54), CONCATENATE("DS004=",$B$46), "Fill=B")</f>
        <v>361823</v>
      </c>
      <c r="AV68">
        <f ca="1">_xll.BDP($B$27,$C$27,CONCATENATE("PX391=", $AV$53), CONCATENATE("PX392=",$AV$54), CONCATENATE("DS004=",$B$46), "Fill=B")</f>
        <v>361466</v>
      </c>
      <c r="AW68">
        <f ca="1">_xll.BDP($B$27,$C$27,CONCATENATE("PX391=", $AW$53), CONCATENATE("PX392=",$AW$54), CONCATENATE("DS004=",$B$46), "Fill=B")</f>
        <v>381386</v>
      </c>
      <c r="AX68">
        <f ca="1">_xll.BDP($B$27,$C$27,CONCATENATE("PX391=", $AX$53), CONCATENATE("PX392=",$AX$54), CONCATENATE("DS004=",$B$46), "Fill=B")</f>
        <v>408291</v>
      </c>
      <c r="AY68">
        <f ca="1">_xll.BDP($B$27,$C$27,CONCATENATE("PX391=", $AY$53), CONCATENATE("PX392=",$AY$54), CONCATENATE("DS004=",$B$46), "Fill=B")</f>
        <v>414246</v>
      </c>
      <c r="AZ68">
        <f ca="1">_xll.BDP($B$27,$C$27,CONCATENATE("PX391=", $AZ$53), CONCATENATE("PX392=",$AZ$54), CONCATENATE("DS004=",$B$46), "Fill=B")</f>
        <v>441131</v>
      </c>
      <c r="BA68">
        <f ca="1">_xll.BDP($B$27,$C$27,CONCATENATE("PX391=", $BA$53), CONCATENATE("PX392=",$BA$54), CONCATENATE("DS004=",$B$46), "Fill=B")</f>
        <v>399732</v>
      </c>
      <c r="BB68">
        <f ca="1">_xll.BDP($B$27,$C$27,CONCATENATE("PX391=", $BB$53), CONCATENATE("PX392=",$BB$54), CONCATENATE("DS004=",$B$46), "Fill=B")</f>
        <v>420545</v>
      </c>
      <c r="BC68">
        <f ca="1">_xll.BDP($B$27,$C$27,CONCATENATE("PX391=", $BC$53), CONCATENATE("PX392=",$BC$54), CONCATENATE("DS004=",$B$46), "Fill=B")</f>
        <v>466699</v>
      </c>
      <c r="BD68">
        <f ca="1">_xll.BDP($B$27,$C$27,CONCATENATE("PX391=", $BD$53), CONCATENATE("PX392=",$BD$54), CONCATENATE("DS004=",$B$46), "Fill=B")</f>
        <v>432097</v>
      </c>
      <c r="BE68">
        <f ca="1">_xll.BDP($B$27,$C$27,CONCATENATE("PX391=", $BE$53), CONCATENATE("PX392=",$BE$54), CONCATENATE("DS004=",$B$46), "Fill=B")</f>
        <v>469778</v>
      </c>
      <c r="BF68">
        <f ca="1">_xll.BDP($B$27,$C$27,CONCATENATE("PX391=", $BF$53), CONCATENATE("PX392=",$BF$54), CONCATENATE("DS004=",$B$46), "Fill=B")</f>
        <v>454987</v>
      </c>
      <c r="BG68">
        <f ca="1">_xll.BDP($B$27,$C$27,CONCATENATE("PX391=", $BG$53), CONCATENATE("PX392=",$BG$54), CONCATENATE("DS004=",$B$46), "Fill=B")</f>
        <v>424371</v>
      </c>
      <c r="BH68">
        <f ca="1">_xll.BDP($B$27,$C$27,CONCATENATE("PX391=", $BH$53), CONCATENATE("PX392=",$BH$54), CONCATENATE("DS004=",$B$46), "Fill=B")</f>
        <v>472995</v>
      </c>
      <c r="BI68">
        <f ca="1">_xll.BDP($B$27,$C$27,CONCATENATE("PX391=", $BI$53), CONCATENATE("PX392=",$BI$54), CONCATENATE("DS004=",$B$46), "Fill=B")</f>
        <v>429136</v>
      </c>
      <c r="BJ68">
        <f ca="1">_xll.BDP($B$27,$C$27,CONCATENATE("PX391=", $BJ$53), CONCATENATE("PX392=",$BJ$54), CONCATENATE("DS004=",$B$46), "Fill=B")</f>
        <v>413019</v>
      </c>
      <c r="BK68">
        <f ca="1">_xll.BDP($B$27,$C$27,CONCATENATE("PX391=", $BK$53), CONCATENATE("PX392=",$BK$54), CONCATENATE("DS004=",$B$46), "Fill=B")</f>
        <v>408881</v>
      </c>
      <c r="BL68">
        <f ca="1">_xll.BDP($B$27,$C$27,CONCATENATE("PX391=", $BL$53), CONCATENATE("PX392=",$BL$54), CONCATENATE("DS004=",$B$46), "Fill=B")</f>
        <v>439178</v>
      </c>
      <c r="BM68">
        <f ca="1">_xll.BDP($B$27,$C$27,CONCATENATE("PX391=", $BM$53), CONCATENATE("PX392=",$BM$54), CONCATENATE("DS004=",$B$46), "Fill=B")</f>
        <v>433259</v>
      </c>
      <c r="BN68">
        <f ca="1">_xll.BDP($B$27,$C$27,CONCATENATE("PX391=", $BN$53), CONCATENATE("PX392=",$BN$54), CONCATENATE("DS004=",$B$46), "Fill=B")</f>
        <v>417241</v>
      </c>
      <c r="BO68">
        <f ca="1">_xll.BDP($B$27,$C$27,CONCATENATE("PX391=", $BO$53), CONCATENATE("PX392=",$BO$54), CONCATENATE("DS004=",$B$46), "Fill=B")</f>
        <v>470384</v>
      </c>
      <c r="BP68">
        <f ca="1">_xll.BDP($B$27,$C$27,CONCATENATE("PX391=", $BP$53), CONCATENATE("PX392=",$BP$54), CONCATENATE("DS004=",$B$46), "Fill=B")</f>
        <v>420836</v>
      </c>
      <c r="BQ68">
        <f ca="1">_xll.BDP($B$27,$C$27,CONCATENATE("PX391=", $BQ$53), CONCATENATE("PX392=",$BQ$54), CONCATENATE("DS004=",$B$46), "Fill=B")</f>
        <v>458682</v>
      </c>
      <c r="BR68">
        <f ca="1">_xll.BDP($B$27,$C$27,CONCATENATE("PX391=", $BR$53), CONCATENATE("PX392=",$BR$54), CONCATENATE("DS004=",$B$46), "Fill=B")</f>
        <v>438534</v>
      </c>
      <c r="BS68">
        <f ca="1">_xll.BDP($B$27,$C$27,CONCATENATE("PX391=", $BS$53), CONCATENATE("PX392=",$BS$54), CONCATENATE("DS004=",$B$46), "Fill=B")</f>
        <v>439986</v>
      </c>
      <c r="BT68">
        <f ca="1">_xll.BDP($B$27,$C$27,CONCATENATE("PX391=", $BT$53), CONCATENATE("PX392=",$BT$54), CONCATENATE("DS004=",$B$46), "Fill=B")</f>
        <v>432422</v>
      </c>
      <c r="BU68">
        <f ca="1">_xll.BDP($B$27,$C$27,CONCATENATE("PX391=", $BU$53), CONCATENATE("PX392=",$BU$54), CONCATENATE("DS004=",$B$46), "Fill=B")</f>
        <v>407746</v>
      </c>
      <c r="BV68">
        <f ca="1">_xll.BDP($B$27,$C$27,CONCATENATE("PX391=", $BV$53), CONCATENATE("PX392=",$BV$54), CONCATENATE("DS004=",$B$46), "Fill=B")</f>
        <v>420567</v>
      </c>
      <c r="BW68">
        <f ca="1">_xll.BDP($B$27,$C$27,CONCATENATE("PX391=", $BW$53), CONCATENATE("PX392=",$BW$54), CONCATENATE("DS004=",$B$46), "Fill=B")</f>
        <v>391340</v>
      </c>
      <c r="BX68">
        <f ca="1">_xll.BDP($B$27,$C$27,CONCATENATE("PX391=", $BX$53), CONCATENATE("PX392=",$BX$54), CONCATENATE("DS004=",$B$46), "Fill=B")</f>
        <v>421896</v>
      </c>
      <c r="BY68">
        <f ca="1">_xll.BDP($B$27,$C$27,CONCATENATE("PX391=", $BY$53), CONCATENATE("PX392=",$BY$54), CONCATENATE("DS004=",$B$46), "Fill=B")</f>
        <v>395459</v>
      </c>
      <c r="BZ68">
        <f ca="1">_xll.BDP($B$27,$C$27,CONCATENATE("PX391=", $BZ$53), CONCATENATE("PX392=",$BZ$54), CONCATENATE("DS004=",$B$46), "Fill=B")</f>
        <v>413830</v>
      </c>
      <c r="CA68">
        <f ca="1">_xll.BDP($B$27,$C$27,CONCATENATE("PX391=", $CA$53), CONCATENATE("PX392=",$CA$54), CONCATENATE("DS004=",$B$46), "Fill=B")</f>
        <v>426932</v>
      </c>
      <c r="CB68">
        <f ca="1">_xll.BDP($B$27,$C$27,CONCATENATE("PX391=", $CB$53), CONCATENATE("PX392=",$CB$54), CONCATENATE("DS004=",$B$46), "Fill=B")</f>
        <v>401492</v>
      </c>
      <c r="CC68">
        <f ca="1">_xll.BDP($B$27,$C$27,CONCATENATE("PX391=", $CC$53), CONCATENATE("PX392=",$CC$54), CONCATENATE("DS004=",$B$46), "Fill=B")</f>
        <v>446160</v>
      </c>
      <c r="CD68">
        <f ca="1">_xll.BDP($B$27,$C$27,CONCATENATE("PX391=", $CD$53), CONCATENATE("PX392=",$CD$54), CONCATENATE("DS004=",$B$46), "Fill=B")</f>
        <v>404454</v>
      </c>
      <c r="CE68">
        <f ca="1">_xll.BDP($B$27,$C$27,CONCATENATE("PX391=", $CE$53), CONCATENATE("PX392=",$CE$54), CONCATENATE("DS004=",$B$46), "Fill=B")</f>
        <v>413524</v>
      </c>
      <c r="CF68">
        <f ca="1">_xll.BDP($B$27,$C$27,CONCATENATE("PX391=", $CF$53), CONCATENATE("PX392=",$CF$54), CONCATENATE("DS004=",$B$46), "Fill=B")</f>
        <v>402753</v>
      </c>
      <c r="CG68">
        <f ca="1">_xll.BDP($B$27,$C$27,CONCATENATE("PX391=", $CG$53), CONCATENATE("PX392=",$CG$54), CONCATENATE("DS004=",$B$46), "Fill=B")</f>
        <v>398283</v>
      </c>
      <c r="CH68">
        <f ca="1">_xll.BDP($B$27,$C$27,CONCATENATE("PX391=", $CH$53), CONCATENATE("PX392=",$CH$54), CONCATENATE("DS004=",$B$46), "Fill=B")</f>
        <v>364892</v>
      </c>
      <c r="CI68">
        <f ca="1">_xll.BDP($B$27,$C$27,CONCATENATE("PX391=", $CI$53), CONCATENATE("PX392=",$CI$54), CONCATENATE("DS004=",$B$46), "Fill=B")</f>
        <v>368513</v>
      </c>
      <c r="CJ68">
        <f ca="1">_xll.BDP($B$27,$C$27,CONCATENATE("PX391=", $CJ$53), CONCATENATE("PX392=",$CJ$54), CONCATENATE("DS004=",$B$46), "Fill=B")</f>
        <v>421896</v>
      </c>
      <c r="CK68">
        <f ca="1">_xll.BDP($B$27,$C$27,CONCATENATE("PX391=", $CK$53), CONCATENATE("PX392=",$CK$54), CONCATENATE("DS004=",$B$46), "Fill=B")</f>
        <v>376282</v>
      </c>
      <c r="CL68" t="str">
        <f>""</f>
        <v/>
      </c>
      <c r="CM68" t="str">
        <f>""</f>
        <v/>
      </c>
      <c r="CN68" t="str">
        <f>""</f>
        <v/>
      </c>
      <c r="CO68" t="str">
        <f>""</f>
        <v/>
      </c>
      <c r="CP68" t="str">
        <f>""</f>
        <v/>
      </c>
      <c r="CQ68" t="str">
        <f>""</f>
        <v/>
      </c>
      <c r="CR68" t="str">
        <f>""</f>
        <v/>
      </c>
      <c r="CS68" t="str">
        <f>""</f>
        <v/>
      </c>
      <c r="CT68" t="str">
        <f>""</f>
        <v/>
      </c>
      <c r="CU68" t="str">
        <f>""</f>
        <v/>
      </c>
      <c r="CV68" t="str">
        <f>""</f>
        <v/>
      </c>
      <c r="CW68" t="str">
        <f>""</f>
        <v/>
      </c>
      <c r="CX68" t="str">
        <f>""</f>
        <v/>
      </c>
      <c r="CY68" t="str">
        <f>""</f>
        <v/>
      </c>
      <c r="CZ68" t="str">
        <f>""</f>
        <v/>
      </c>
      <c r="DA68" t="str">
        <f>""</f>
        <v/>
      </c>
      <c r="DB68" t="str">
        <f>""</f>
        <v/>
      </c>
      <c r="DC68" t="str">
        <f>""</f>
        <v/>
      </c>
      <c r="DD68" t="str">
        <f>""</f>
        <v/>
      </c>
      <c r="DE68" t="str">
        <f>""</f>
        <v/>
      </c>
      <c r="DF68" t="str">
        <f>""</f>
        <v/>
      </c>
      <c r="DG68" t="str">
        <f>""</f>
        <v/>
      </c>
      <c r="DH68" t="str">
        <f>""</f>
        <v/>
      </c>
      <c r="DI68" t="str">
        <f>""</f>
        <v/>
      </c>
      <c r="DJ68" t="str">
        <f>""</f>
        <v/>
      </c>
      <c r="DK68" t="str">
        <f>""</f>
        <v/>
      </c>
      <c r="DL68" t="str">
        <f>""</f>
        <v/>
      </c>
      <c r="DM68" t="str">
        <f>""</f>
        <v/>
      </c>
      <c r="DN68" t="str">
        <f>""</f>
        <v/>
      </c>
      <c r="DO68" t="str">
        <f>""</f>
        <v/>
      </c>
      <c r="DP68" t="str">
        <f>""</f>
        <v/>
      </c>
      <c r="DQ68" t="str">
        <f>""</f>
        <v/>
      </c>
      <c r="DR68" t="str">
        <f>""</f>
        <v/>
      </c>
      <c r="DS68" t="str">
        <f>""</f>
        <v/>
      </c>
      <c r="DT68" t="str">
        <f>""</f>
        <v/>
      </c>
      <c r="DU68" t="str">
        <f>""</f>
        <v/>
      </c>
      <c r="DV68" t="str">
        <f>""</f>
        <v/>
      </c>
      <c r="DW68" t="str">
        <f>""</f>
        <v/>
      </c>
      <c r="DX68" t="str">
        <f>""</f>
        <v/>
      </c>
      <c r="DY68" t="str">
        <f>""</f>
        <v/>
      </c>
      <c r="DZ68" t="str">
        <f>""</f>
        <v/>
      </c>
      <c r="EA68" t="str">
        <f>""</f>
        <v/>
      </c>
      <c r="EB68" t="str">
        <f>""</f>
        <v/>
      </c>
      <c r="EC68" t="str">
        <f>""</f>
        <v/>
      </c>
      <c r="ED68" t="str">
        <f>""</f>
        <v/>
      </c>
      <c r="EE68" t="str">
        <f>""</f>
        <v/>
      </c>
      <c r="EF68" t="str">
        <f>""</f>
        <v/>
      </c>
      <c r="EG68" t="str">
        <f>""</f>
        <v/>
      </c>
      <c r="EH68" t="str">
        <f>""</f>
        <v/>
      </c>
      <c r="EI68" t="str">
        <f>""</f>
        <v/>
      </c>
      <c r="EJ68" t="str">
        <f>""</f>
        <v/>
      </c>
      <c r="EK68" t="str">
        <f>""</f>
        <v/>
      </c>
      <c r="EL68" t="str">
        <f>""</f>
        <v/>
      </c>
      <c r="EM68" t="str">
        <f>""</f>
        <v/>
      </c>
      <c r="EN68" t="str">
        <f>""</f>
        <v/>
      </c>
      <c r="EO68" t="str">
        <f>""</f>
        <v/>
      </c>
      <c r="EP68" t="str">
        <f>""</f>
        <v/>
      </c>
      <c r="EQ68" t="str">
        <f>""</f>
        <v/>
      </c>
      <c r="ER68" t="str">
        <f>""</f>
        <v/>
      </c>
      <c r="ES68" t="str">
        <f>""</f>
        <v/>
      </c>
      <c r="ET68" t="str">
        <f>""</f>
        <v/>
      </c>
      <c r="EU68" t="str">
        <f>""</f>
        <v/>
      </c>
      <c r="EV68" t="str">
        <f>""</f>
        <v/>
      </c>
      <c r="EW68" t="str">
        <f>""</f>
        <v/>
      </c>
      <c r="EX68" t="str">
        <f>""</f>
        <v/>
      </c>
      <c r="EY68" t="str">
        <f>""</f>
        <v/>
      </c>
      <c r="EZ68" t="str">
        <f>""</f>
        <v/>
      </c>
      <c r="FA68" t="str">
        <f>""</f>
        <v/>
      </c>
      <c r="FB68" t="str">
        <f>""</f>
        <v/>
      </c>
      <c r="FC68" t="str">
        <f>""</f>
        <v/>
      </c>
      <c r="FD68" t="str">
        <f>""</f>
        <v/>
      </c>
      <c r="FE68" t="str">
        <f>""</f>
        <v/>
      </c>
      <c r="FF68" t="str">
        <f>""</f>
        <v/>
      </c>
      <c r="FG68" t="str">
        <f>""</f>
        <v/>
      </c>
      <c r="FH68" t="str">
        <f>""</f>
        <v/>
      </c>
      <c r="FI68" t="str">
        <f>""</f>
        <v/>
      </c>
      <c r="FJ68" t="str">
        <f>""</f>
        <v/>
      </c>
      <c r="FK68" t="str">
        <f>""</f>
        <v/>
      </c>
      <c r="FL68" t="str">
        <f>""</f>
        <v/>
      </c>
      <c r="FM68" t="str">
        <f>""</f>
        <v/>
      </c>
      <c r="FN68" t="str">
        <f>""</f>
        <v/>
      </c>
      <c r="FO68" t="str">
        <f>""</f>
        <v/>
      </c>
      <c r="FP68" t="str">
        <f>""</f>
        <v/>
      </c>
      <c r="FQ68" t="str">
        <f>""</f>
        <v/>
      </c>
    </row>
    <row r="69" spans="1:173" x14ac:dyDescent="0.25">
      <c r="A69" t="str">
        <f>$A$28</f>
        <v xml:space="preserve">    Port of Savannah (TEU)</v>
      </c>
      <c r="B69" t="str">
        <f>$B$28</f>
        <v>POSATOTL Index</v>
      </c>
      <c r="C69" t="str">
        <f>$C$28</f>
        <v>PX385</v>
      </c>
      <c r="D69" t="str">
        <f>$D$28</f>
        <v>INTERVAL_SUM</v>
      </c>
      <c r="E69" t="str">
        <f>$E$28</f>
        <v>Dynamic</v>
      </c>
      <c r="F69" t="str">
        <f ca="1">_xll.BDP($B$28,$C$28,CONCATENATE("PX391=", $F$53), CONCATENATE("PX392=",$F$54), CONCATENATE("DS004=",$B$46), "Fill=B")</f>
        <v/>
      </c>
      <c r="G69" t="str">
        <f ca="1">_xll.BDP($B$28,$C$28,CONCATENATE("PX391=", $G$53), CONCATENATE("PX392=",$G$54), CONCATENATE("DS004=",$B$46), "Fill=B")</f>
        <v/>
      </c>
      <c r="H69" t="str">
        <f ca="1">_xll.BDP($B$28,$C$28,CONCATENATE("PX391=", $H$53), CONCATENATE("PX392=",$H$54), CONCATENATE("DS004=",$B$46), "Fill=B")</f>
        <v/>
      </c>
      <c r="I69">
        <f ca="1">_xll.BDP($B$28,$C$28,CONCATENATE("PX391=", $I$53), CONCATENATE("PX392=",$I$54), CONCATENATE("DS004=",$B$46), "Fill=B")</f>
        <v>413294</v>
      </c>
      <c r="J69">
        <f ca="1">_xll.BDP($B$28,$C$28,CONCATENATE("PX391=", $J$53), CONCATENATE("PX392=",$J$54), CONCATENATE("DS004=",$B$46), "Fill=B")</f>
        <v>447587</v>
      </c>
      <c r="K69">
        <f ca="1">_xll.BDP($B$28,$C$28,CONCATENATE("PX391=", $K$53), CONCATENATE("PX392=",$K$54), CONCATENATE("DS004=",$B$46), "Fill=B")</f>
        <v>381825</v>
      </c>
      <c r="L69">
        <f ca="1">_xll.BDP($B$28,$C$28,CONCATENATE("PX391=", $L$53), CONCATENATE("PX392=",$L$54), CONCATENATE("DS004=",$B$46), "Fill=B")</f>
        <v>400511</v>
      </c>
      <c r="M69">
        <f ca="1">_xll.BDP($B$28,$C$28,CONCATENATE("PX391=", $M$53), CONCATENATE("PX392=",$M$54), CONCATENATE("DS004=",$B$46), "Fill=B")</f>
        <v>408686</v>
      </c>
      <c r="N69">
        <f ca="1">_xll.BDP($B$28,$C$28,CONCATENATE("PX391=", $N$53), CONCATENATE("PX392=",$N$54), CONCATENATE("DS004=",$B$46), "Fill=B")</f>
        <v>367880</v>
      </c>
      <c r="O69">
        <f ca="1">_xll.BDP($B$28,$C$28,CONCATENATE("PX391=", $O$53), CONCATENATE("PX392=",$O$54), CONCATENATE("DS004=",$B$46), "Fill=B")</f>
        <v>394793</v>
      </c>
      <c r="P69">
        <f ca="1">_xll.BDP($B$28,$C$28,CONCATENATE("PX391=", $P$53), CONCATENATE("PX392=",$P$54), CONCATENATE("DS004=",$B$46), "Fill=B")</f>
        <v>421714</v>
      </c>
      <c r="Q69">
        <f ca="1">_xll.BDP($B$28,$C$28,CONCATENATE("PX391=", $Q$53), CONCATENATE("PX392=",$Q$54), CONCATENATE("DS004=",$B$46), "Fill=B")</f>
        <v>440759</v>
      </c>
      <c r="R69">
        <f ca="1">_xll.BDP($B$28,$C$28,CONCATENATE("PX391=", $R$53), CONCATENATE("PX392=",$R$54), CONCATENATE("DS004=",$B$46), "Fill=B")</f>
        <v>464883</v>
      </c>
      <c r="S69">
        <f ca="1">_xll.BDP($B$28,$C$28,CONCATENATE("PX391=", $S$53), CONCATENATE("PX392=",$S$54), CONCATENATE("DS004=",$B$46), "Fill=B")</f>
        <v>552806</v>
      </c>
      <c r="T69">
        <f ca="1">_xll.BDP($B$28,$C$28,CONCATENATE("PX391=", $T$53), CONCATENATE("PX392=",$T$54), CONCATENATE("DS004=",$B$46), "Fill=B")</f>
        <v>436279</v>
      </c>
      <c r="U69">
        <f ca="1">_xll.BDP($B$28,$C$28,CONCATENATE("PX391=", $U$53), CONCATENATE("PX392=",$U$54), CONCATENATE("DS004=",$B$46), "Fill=B")</f>
        <v>575513</v>
      </c>
      <c r="V69">
        <f ca="1">_xll.BDP($B$28,$C$28,CONCATENATE("PX391=", $V$53), CONCATENATE("PX392=",$V$54), CONCATENATE("DS004=",$B$46), "Fill=B")</f>
        <v>530800</v>
      </c>
      <c r="W69">
        <f ca="1">_xll.BDP($B$28,$C$28,CONCATENATE("PX391=", $W$53), CONCATENATE("PX392=",$W$54), CONCATENATE("DS004=",$B$46), "Fill=B")</f>
        <v>494107</v>
      </c>
      <c r="X69">
        <f ca="1">_xll.BDP($B$28,$C$28,CONCATENATE("PX391=", $X$53), CONCATENATE("PX392=",$X$54), CONCATENATE("DS004=",$B$46), "Fill=B")</f>
        <v>519388</v>
      </c>
      <c r="Y69">
        <f ca="1">_xll.BDP($B$28,$C$28,CONCATENATE("PX391=", $Y$53), CONCATENATE("PX392=",$Y$54), CONCATENATE("DS004=",$B$46), "Fill=B")</f>
        <v>495782</v>
      </c>
      <c r="Z69">
        <f ca="1">_xll.BDP($B$28,$C$28,CONCATENATE("PX391=", $Z$53), CONCATENATE("PX392=",$Z$54), CONCATENATE("DS004=",$B$46), "Fill=B")</f>
        <v>444690</v>
      </c>
      <c r="AA69">
        <f ca="1">_xll.BDP($B$28,$C$28,CONCATENATE("PX391=", $AA$53), CONCATENATE("PX392=",$AA$54), CONCATENATE("DS004=",$B$46), "Fill=B")</f>
        <v>460413</v>
      </c>
      <c r="AB69">
        <f ca="1">_xll.BDP($B$28,$C$28,CONCATENATE("PX391=", $AB$53), CONCATENATE("PX392=",$AB$54), CONCATENATE("DS004=",$B$46), "Fill=B")</f>
        <v>476713</v>
      </c>
      <c r="AC69">
        <f ca="1">_xll.BDP($B$28,$C$28,CONCATENATE("PX391=", $AC$53), CONCATENATE("PX392=",$AC$54), CONCATENATE("DS004=",$B$46), "Fill=B")</f>
        <v>464951</v>
      </c>
      <c r="AD69">
        <f ca="1">_xll.BDP($B$28,$C$28,CONCATENATE("PX391=", $AD$53), CONCATENATE("PX392=",$AD$54), CONCATENATE("DS004=",$B$46), "Fill=B")</f>
        <v>495749</v>
      </c>
      <c r="AE69">
        <f ca="1">_xll.BDP($B$28,$C$28,CONCATENATE("PX391=", $AE$53), CONCATENATE("PX392=",$AE$54), CONCATENATE("DS004=",$B$46), "Fill=B")</f>
        <v>504347</v>
      </c>
      <c r="AF69">
        <f ca="1">_xll.BDP($B$28,$C$28,CONCATENATE("PX391=", $AF$53), CONCATENATE("PX392=",$AF$54), CONCATENATE("DS004=",$B$46), "Fill=B")</f>
        <v>472062</v>
      </c>
      <c r="AG69">
        <f ca="1">_xll.BDP($B$28,$C$28,CONCATENATE("PX391=", $AG$53), CONCATENATE("PX392=",$AG$54), CONCATENATE("DS004=",$B$46), "Fill=B")</f>
        <v>485595</v>
      </c>
      <c r="AH69">
        <f ca="1">_xll.BDP($B$28,$C$28,CONCATENATE("PX391=", $AH$53), CONCATENATE("PX392=",$AH$54), CONCATENATE("DS004=",$B$46), "Fill=B")</f>
        <v>449916</v>
      </c>
      <c r="AI69">
        <f ca="1">_xll.BDP($B$28,$C$28,CONCATENATE("PX391=", $AI$53), CONCATENATE("PX392=",$AI$54), CONCATENATE("DS004=",$B$46), "Fill=B")</f>
        <v>446815</v>
      </c>
      <c r="AJ69">
        <f ca="1">_xll.BDP($B$28,$C$28,CONCATENATE("PX391=", $AJ$53), CONCATENATE("PX392=",$AJ$54), CONCATENATE("DS004=",$B$46), "Fill=B")</f>
        <v>478620</v>
      </c>
      <c r="AK69">
        <f ca="1">_xll.BDP($B$28,$C$28,CONCATENATE("PX391=", $AK$53), CONCATENATE("PX392=",$AK$54), CONCATENATE("DS004=",$B$46), "Fill=B")</f>
        <v>466633</v>
      </c>
      <c r="AL69">
        <f ca="1">_xll.BDP($B$28,$C$28,CONCATENATE("PX391=", $AL$53), CONCATENATE("PX392=",$AL$54), CONCATENATE("DS004=",$B$46), "Fill=B")</f>
        <v>498064</v>
      </c>
      <c r="AM69">
        <f ca="1">_xll.BDP($B$28,$C$28,CONCATENATE("PX391=", $AM$53), CONCATENATE("PX392=",$AM$54), CONCATENATE("DS004=",$B$46), "Fill=B")</f>
        <v>390804</v>
      </c>
      <c r="AN69">
        <f ca="1">_xll.BDP($B$28,$C$28,CONCATENATE("PX391=", $AN$53), CONCATENATE("PX392=",$AN$54), CONCATENATE("DS004=",$B$46), "Fill=B")</f>
        <v>459608</v>
      </c>
      <c r="AO69">
        <f ca="1">_xll.BDP($B$28,$C$28,CONCATENATE("PX391=", $AO$53), CONCATENATE("PX392=",$AO$54), CONCATENATE("DS004=",$B$46), "Fill=B")</f>
        <v>447519</v>
      </c>
      <c r="AP69">
        <f ca="1">_xll.BDP($B$28,$C$28,CONCATENATE("PX391=", $AP$53), CONCATENATE("PX392=",$AP$54), CONCATENATE("DS004=",$B$46), "Fill=B")</f>
        <v>464804</v>
      </c>
      <c r="AQ69">
        <f ca="1">_xll.BDP($B$28,$C$28,CONCATENATE("PX391=", $AQ$53), CONCATENATE("PX392=",$AQ$54), CONCATENATE("DS004=",$B$46), "Fill=B")</f>
        <v>464095</v>
      </c>
      <c r="AR69">
        <f ca="1">_xll.BDP($B$28,$C$28,CONCATENATE("PX391=", $AR$53), CONCATENATE("PX392=",$AR$54), CONCATENATE("DS004=",$B$46), "Fill=B")</f>
        <v>412138</v>
      </c>
      <c r="AS69">
        <f ca="1">_xll.BDP($B$28,$C$28,CONCATENATE("PX391=", $AS$53), CONCATENATE("PX392=",$AS$54), CONCATENATE("DS004=",$B$46), "Fill=B")</f>
        <v>441596</v>
      </c>
      <c r="AT69">
        <f ca="1">_xll.BDP($B$28,$C$28,CONCATENATE("PX391=", $AT$53), CONCATENATE("PX392=",$AT$54), CONCATENATE("DS004=",$B$46), "Fill=B")</f>
        <v>360697</v>
      </c>
      <c r="AU69">
        <f ca="1">_xll.BDP($B$28,$C$28,CONCATENATE("PX391=", $AU$53), CONCATENATE("PX392=",$AU$54), CONCATENATE("DS004=",$B$46), "Fill=B")</f>
        <v>338287</v>
      </c>
      <c r="AV69">
        <f ca="1">_xll.BDP($B$28,$C$28,CONCATENATE("PX391=", $AV$53), CONCATENATE("PX392=",$AV$54), CONCATENATE("DS004=",$B$46), "Fill=B")</f>
        <v>337359</v>
      </c>
      <c r="AW69">
        <f ca="1">_xll.BDP($B$28,$C$28,CONCATENATE("PX391=", $AW$53), CONCATENATE("PX392=",$AW$54), CONCATENATE("DS004=",$B$46), "Fill=B")</f>
        <v>337890</v>
      </c>
      <c r="AX69">
        <f ca="1">_xll.BDP($B$28,$C$28,CONCATENATE("PX391=", $AX$53), CONCATENATE("PX392=",$AX$54), CONCATENATE("DS004=",$B$46), "Fill=B")</f>
        <v>335789</v>
      </c>
      <c r="AY69">
        <f ca="1">_xll.BDP($B$28,$C$28,CONCATENATE("PX391=", $AY$53), CONCATENATE("PX392=",$AY$54), CONCATENATE("DS004=",$B$46), "Fill=B")</f>
        <v>364405</v>
      </c>
      <c r="AZ69">
        <f ca="1">_xll.BDP($B$28,$C$28,CONCATENATE("PX391=", $AZ$53), CONCATENATE("PX392=",$AZ$54), CONCATENATE("DS004=",$B$46), "Fill=B")</f>
        <v>377671</v>
      </c>
      <c r="BA69">
        <f ca="1">_xll.BDP($B$28,$C$28,CONCATENATE("PX391=", $BA$53), CONCATENATE("PX392=",$BA$54), CONCATENATE("DS004=",$B$46), "Fill=B")</f>
        <v>360834</v>
      </c>
      <c r="BB69">
        <f ca="1">_xll.BDP($B$28,$C$28,CONCATENATE("PX391=", $BB$53), CONCATENATE("PX392=",$BB$54), CONCATENATE("DS004=",$B$46), "Fill=B")</f>
        <v>362964</v>
      </c>
      <c r="BC69">
        <f ca="1">_xll.BDP($B$28,$C$28,CONCATENATE("PX391=", $BC$53), CONCATENATE("PX392=",$BC$54), CONCATENATE("DS004=",$B$46), "Fill=B")</f>
        <v>428381</v>
      </c>
      <c r="BD69">
        <f ca="1">_xll.BDP($B$28,$C$28,CONCATENATE("PX391=", $BD$53), CONCATENATE("PX392=",$BD$54), CONCATENATE("DS004=",$B$46), "Fill=B")</f>
        <v>369999</v>
      </c>
      <c r="BE69">
        <f ca="1">_xll.BDP($B$28,$C$28,CONCATENATE("PX391=", $BE$53), CONCATENATE("PX392=",$BE$54), CONCATENATE("DS004=",$B$46), "Fill=B")</f>
        <v>437747</v>
      </c>
      <c r="BF69">
        <f ca="1">_xll.BDP($B$28,$C$28,CONCATENATE("PX391=", $BF$53), CONCATENATE("PX392=",$BF$54), CONCATENATE("DS004=",$B$46), "Fill=B")</f>
        <v>387022</v>
      </c>
      <c r="BG69">
        <f ca="1">_xll.BDP($B$28,$C$28,CONCATENATE("PX391=", $BG$53), CONCATENATE("PX392=",$BG$54), CONCATENATE("DS004=",$B$46), "Fill=B")</f>
        <v>361906</v>
      </c>
      <c r="BH69">
        <f ca="1">_xll.BDP($B$28,$C$28,CONCATENATE("PX391=", $BH$53), CONCATENATE("PX392=",$BH$54), CONCATENATE("DS004=",$B$46), "Fill=B")</f>
        <v>373394</v>
      </c>
      <c r="BI69">
        <f ca="1">_xll.BDP($B$28,$C$28,CONCATENATE("PX391=", $BI$53), CONCATENATE("PX392=",$BI$54), CONCATENATE("DS004=",$B$46), "Fill=B")</f>
        <v>364481</v>
      </c>
      <c r="BJ69">
        <f ca="1">_xll.BDP($B$28,$C$28,CONCATENATE("PX391=", $BJ$53), CONCATENATE("PX392=",$BJ$54), CONCATENATE("DS004=",$B$46), "Fill=B")</f>
        <v>410326</v>
      </c>
      <c r="BK69">
        <f ca="1">_xll.BDP($B$28,$C$28,CONCATENATE("PX391=", $BK$53), CONCATENATE("PX392=",$BK$54), CONCATENATE("DS004=",$B$46), "Fill=B")</f>
        <v>312042</v>
      </c>
      <c r="BL69">
        <f ca="1">_xll.BDP($B$28,$C$28,CONCATENATE("PX391=", $BL$53), CONCATENATE("PX392=",$BL$54), CONCATENATE("DS004=",$B$46), "Fill=B")</f>
        <v>430079</v>
      </c>
      <c r="BM69">
        <f ca="1">_xll.BDP($B$28,$C$28,CONCATENATE("PX391=", $BM$53), CONCATENATE("PX392=",$BM$54), CONCATENATE("DS004=",$B$46), "Fill=B")</f>
        <v>351366</v>
      </c>
      <c r="BN69">
        <f ca="1">_xll.BDP($B$28,$C$28,CONCATENATE("PX391=", $BN$53), CONCATENATE("PX392=",$BN$54), CONCATENATE("DS004=",$B$46), "Fill=B")</f>
        <v>344506</v>
      </c>
      <c r="BO69">
        <f ca="1">_xll.BDP($B$28,$C$28,CONCATENATE("PX391=", $BO$53), CONCATENATE("PX392=",$BO$54), CONCATENATE("DS004=",$B$46), "Fill=B")</f>
        <v>413778</v>
      </c>
      <c r="BP69">
        <f ca="1">_xll.BDP($B$28,$C$28,CONCATENATE("PX391=", $BP$53), CONCATENATE("PX392=",$BP$54), CONCATENATE("DS004=",$B$46), "Fill=B")</f>
        <v>364150</v>
      </c>
      <c r="BQ69">
        <f ca="1">_xll.BDP($B$28,$C$28,CONCATENATE("PX391=", $BQ$53), CONCATENATE("PX392=",$BQ$54), CONCATENATE("DS004=",$B$46), "Fill=B")</f>
        <v>375844</v>
      </c>
      <c r="BR69">
        <f ca="1">_xll.BDP($B$28,$C$28,CONCATENATE("PX391=", $BR$53), CONCATENATE("PX392=",$BR$54), CONCATENATE("DS004=",$B$46), "Fill=B")</f>
        <v>378767</v>
      </c>
      <c r="BS69">
        <f ca="1">_xll.BDP($B$28,$C$28,CONCATENATE("PX391=", $BS$53), CONCATENATE("PX392=",$BS$54), CONCATENATE("DS004=",$B$46), "Fill=B")</f>
        <v>370726</v>
      </c>
      <c r="BT69">
        <f ca="1">_xll.BDP($B$28,$C$28,CONCATENATE("PX391=", $BT$53), CONCATENATE("PX392=",$BT$54), CONCATENATE("DS004=",$B$46), "Fill=B")</f>
        <v>361029</v>
      </c>
      <c r="BU69">
        <f ca="1">_xll.BDP($B$28,$C$28,CONCATENATE("PX391=", $BU$53), CONCATENATE("PX392=",$BU$54), CONCATENATE("DS004=",$B$46), "Fill=B")</f>
        <v>356717</v>
      </c>
      <c r="BV69">
        <f ca="1">_xll.BDP($B$28,$C$28,CONCATENATE("PX391=", $BV$53), CONCATENATE("PX392=",$BV$54), CONCATENATE("DS004=",$B$46), "Fill=B")</f>
        <v>355208</v>
      </c>
      <c r="BW69">
        <f ca="1">_xll.BDP($B$28,$C$28,CONCATENATE("PX391=", $BW$53), CONCATENATE("PX392=",$BW$54), CONCATENATE("DS004=",$B$46), "Fill=B")</f>
        <v>341094</v>
      </c>
      <c r="BX69">
        <f ca="1">_xll.BDP($B$28,$C$28,CONCATENATE("PX391=", $BX$53), CONCATENATE("PX392=",$BX$54), CONCATENATE("DS004=",$B$46), "Fill=B")</f>
        <v>338793</v>
      </c>
      <c r="BY69">
        <f ca="1">_xll.BDP($B$28,$C$28,CONCATENATE("PX391=", $BY$53), CONCATENATE("PX392=",$BY$54), CONCATENATE("DS004=",$B$46), "Fill=B")</f>
        <v>323117</v>
      </c>
      <c r="BZ69">
        <f ca="1">_xll.BDP($B$28,$C$28,CONCATENATE("PX391=", $BZ$53), CONCATENATE("PX392=",$BZ$54), CONCATENATE("DS004=",$B$46), "Fill=B")</f>
        <v>309147</v>
      </c>
      <c r="CA69">
        <f ca="1">_xll.BDP($B$28,$C$28,CONCATENATE("PX391=", $CA$53), CONCATENATE("PX392=",$CA$54), CONCATENATE("DS004=",$B$46), "Fill=B")</f>
        <v>409814</v>
      </c>
      <c r="CB69">
        <f ca="1">_xll.BDP($B$28,$C$28,CONCATENATE("PX391=", $CB$53), CONCATENATE("PX392=",$CB$54), CONCATENATE("DS004=",$B$46), "Fill=B")</f>
        <v>325141</v>
      </c>
      <c r="CC69">
        <f ca="1">_xll.BDP($B$28,$C$28,CONCATENATE("PX391=", $CC$53), CONCATENATE("PX392=",$CC$54), CONCATENATE("DS004=",$B$46), "Fill=B")</f>
        <v>348297</v>
      </c>
      <c r="CD69">
        <f ca="1">_xll.BDP($B$28,$C$28,CONCATENATE("PX391=", $CD$53), CONCATENATE("PX392=",$CD$54), CONCATENATE("DS004=",$B$46), "Fill=B")</f>
        <v>336099</v>
      </c>
      <c r="CE69">
        <f ca="1">_xll.BDP($B$28,$C$28,CONCATENATE("PX391=", $CE$53), CONCATENATE("PX392=",$CE$54), CONCATENATE("DS004=",$B$46), "Fill=B")</f>
        <v>337711</v>
      </c>
      <c r="CF69">
        <f ca="1">_xll.BDP($B$28,$C$28,CONCATENATE("PX391=", $CF$53), CONCATENATE("PX392=",$CF$54), CONCATENATE("DS004=",$B$46), "Fill=B")</f>
        <v>350104</v>
      </c>
      <c r="CG69">
        <f ca="1">_xll.BDP($B$28,$C$28,CONCATENATE("PX391=", $CG$53), CONCATENATE("PX392=",$CG$54), CONCATENATE("DS004=",$B$46), "Fill=B")</f>
        <v>333006</v>
      </c>
      <c r="CH69">
        <f ca="1">_xll.BDP($B$28,$C$28,CONCATENATE("PX391=", $CH$53), CONCATENATE("PX392=",$CH$54), CONCATENATE("DS004=",$B$46), "Fill=B")</f>
        <v>311770</v>
      </c>
      <c r="CI69">
        <f ca="1">_xll.BDP($B$28,$C$28,CONCATENATE("PX391=", $CI$53), CONCATENATE("PX392=",$CI$54), CONCATENATE("DS004=",$B$46), "Fill=B")</f>
        <v>330539</v>
      </c>
      <c r="CJ69">
        <f ca="1">_xll.BDP($B$28,$C$28,CONCATENATE("PX391=", $CJ$53), CONCATENATE("PX392=",$CJ$54), CONCATENATE("DS004=",$B$46), "Fill=B")</f>
        <v>331468</v>
      </c>
      <c r="CK69">
        <f ca="1">_xll.BDP($B$28,$C$28,CONCATENATE("PX391=", $CK$53), CONCATENATE("PX392=",$CK$54), CONCATENATE("DS004=",$B$46), "Fill=B")</f>
        <v>292173</v>
      </c>
      <c r="CL69" t="str">
        <f>""</f>
        <v/>
      </c>
      <c r="CM69" t="str">
        <f>""</f>
        <v/>
      </c>
      <c r="CN69" t="str">
        <f>""</f>
        <v/>
      </c>
      <c r="CO69" t="str">
        <f>""</f>
        <v/>
      </c>
      <c r="CP69" t="str">
        <f>""</f>
        <v/>
      </c>
      <c r="CQ69" t="str">
        <f>""</f>
        <v/>
      </c>
      <c r="CR69" t="str">
        <f>""</f>
        <v/>
      </c>
      <c r="CS69" t="str">
        <f>""</f>
        <v/>
      </c>
      <c r="CT69" t="str">
        <f>""</f>
        <v/>
      </c>
      <c r="CU69" t="str">
        <f>""</f>
        <v/>
      </c>
      <c r="CV69" t="str">
        <f>""</f>
        <v/>
      </c>
      <c r="CW69" t="str">
        <f>""</f>
        <v/>
      </c>
      <c r="CX69" t="str">
        <f>""</f>
        <v/>
      </c>
      <c r="CY69" t="str">
        <f>""</f>
        <v/>
      </c>
      <c r="CZ69" t="str">
        <f>""</f>
        <v/>
      </c>
      <c r="DA69" t="str">
        <f>""</f>
        <v/>
      </c>
      <c r="DB69" t="str">
        <f>""</f>
        <v/>
      </c>
      <c r="DC69" t="str">
        <f>""</f>
        <v/>
      </c>
      <c r="DD69" t="str">
        <f>""</f>
        <v/>
      </c>
      <c r="DE69" t="str">
        <f>""</f>
        <v/>
      </c>
      <c r="DF69" t="str">
        <f>""</f>
        <v/>
      </c>
      <c r="DG69" t="str">
        <f>""</f>
        <v/>
      </c>
      <c r="DH69" t="str">
        <f>""</f>
        <v/>
      </c>
      <c r="DI69" t="str">
        <f>""</f>
        <v/>
      </c>
      <c r="DJ69" t="str">
        <f>""</f>
        <v/>
      </c>
      <c r="DK69" t="str">
        <f>""</f>
        <v/>
      </c>
      <c r="DL69" t="str">
        <f>""</f>
        <v/>
      </c>
      <c r="DM69" t="str">
        <f>""</f>
        <v/>
      </c>
      <c r="DN69" t="str">
        <f>""</f>
        <v/>
      </c>
      <c r="DO69" t="str">
        <f>""</f>
        <v/>
      </c>
      <c r="DP69" t="str">
        <f>""</f>
        <v/>
      </c>
      <c r="DQ69" t="str">
        <f>""</f>
        <v/>
      </c>
      <c r="DR69" t="str">
        <f>""</f>
        <v/>
      </c>
      <c r="DS69" t="str">
        <f>""</f>
        <v/>
      </c>
      <c r="DT69" t="str">
        <f>""</f>
        <v/>
      </c>
      <c r="DU69" t="str">
        <f>""</f>
        <v/>
      </c>
      <c r="DV69" t="str">
        <f>""</f>
        <v/>
      </c>
      <c r="DW69" t="str">
        <f>""</f>
        <v/>
      </c>
      <c r="DX69" t="str">
        <f>""</f>
        <v/>
      </c>
      <c r="DY69" t="str">
        <f>""</f>
        <v/>
      </c>
      <c r="DZ69" t="str">
        <f>""</f>
        <v/>
      </c>
      <c r="EA69" t="str">
        <f>""</f>
        <v/>
      </c>
      <c r="EB69" t="str">
        <f>""</f>
        <v/>
      </c>
      <c r="EC69" t="str">
        <f>""</f>
        <v/>
      </c>
      <c r="ED69" t="str">
        <f>""</f>
        <v/>
      </c>
      <c r="EE69" t="str">
        <f>""</f>
        <v/>
      </c>
      <c r="EF69" t="str">
        <f>""</f>
        <v/>
      </c>
      <c r="EG69" t="str">
        <f>""</f>
        <v/>
      </c>
      <c r="EH69" t="str">
        <f>""</f>
        <v/>
      </c>
      <c r="EI69" t="str">
        <f>""</f>
        <v/>
      </c>
      <c r="EJ69" t="str">
        <f>""</f>
        <v/>
      </c>
      <c r="EK69" t="str">
        <f>""</f>
        <v/>
      </c>
      <c r="EL69" t="str">
        <f>""</f>
        <v/>
      </c>
      <c r="EM69" t="str">
        <f>""</f>
        <v/>
      </c>
      <c r="EN69" t="str">
        <f>""</f>
        <v/>
      </c>
      <c r="EO69" t="str">
        <f>""</f>
        <v/>
      </c>
      <c r="EP69" t="str">
        <f>""</f>
        <v/>
      </c>
      <c r="EQ69" t="str">
        <f>""</f>
        <v/>
      </c>
      <c r="ER69" t="str">
        <f>""</f>
        <v/>
      </c>
      <c r="ES69" t="str">
        <f>""</f>
        <v/>
      </c>
      <c r="ET69" t="str">
        <f>""</f>
        <v/>
      </c>
      <c r="EU69" t="str">
        <f>""</f>
        <v/>
      </c>
      <c r="EV69" t="str">
        <f>""</f>
        <v/>
      </c>
      <c r="EW69" t="str">
        <f>""</f>
        <v/>
      </c>
      <c r="EX69" t="str">
        <f>""</f>
        <v/>
      </c>
      <c r="EY69" t="str">
        <f>""</f>
        <v/>
      </c>
      <c r="EZ69" t="str">
        <f>""</f>
        <v/>
      </c>
      <c r="FA69" t="str">
        <f>""</f>
        <v/>
      </c>
      <c r="FB69" t="str">
        <f>""</f>
        <v/>
      </c>
      <c r="FC69" t="str">
        <f>""</f>
        <v/>
      </c>
      <c r="FD69" t="str">
        <f>""</f>
        <v/>
      </c>
      <c r="FE69" t="str">
        <f>""</f>
        <v/>
      </c>
      <c r="FF69" t="str">
        <f>""</f>
        <v/>
      </c>
      <c r="FG69" t="str">
        <f>""</f>
        <v/>
      </c>
      <c r="FH69" t="str">
        <f>""</f>
        <v/>
      </c>
      <c r="FI69" t="str">
        <f>""</f>
        <v/>
      </c>
      <c r="FJ69" t="str">
        <f>""</f>
        <v/>
      </c>
      <c r="FK69" t="str">
        <f>""</f>
        <v/>
      </c>
      <c r="FL69" t="str">
        <f>""</f>
        <v/>
      </c>
      <c r="FM69" t="str">
        <f>""</f>
        <v/>
      </c>
      <c r="FN69" t="str">
        <f>""</f>
        <v/>
      </c>
      <c r="FO69" t="str">
        <f>""</f>
        <v/>
      </c>
      <c r="FP69" t="str">
        <f>""</f>
        <v/>
      </c>
      <c r="FQ69" t="str">
        <f>""</f>
        <v/>
      </c>
    </row>
    <row r="70" spans="1:173" x14ac:dyDescent="0.25">
      <c r="A70" t="str">
        <f>$A$29</f>
        <v xml:space="preserve">    Port of Vancouver (TEU)</v>
      </c>
      <c r="B70" t="str">
        <f>$B$29</f>
        <v>PVANTOTL Index</v>
      </c>
      <c r="C70" t="str">
        <f>$C$29</f>
        <v>PX385</v>
      </c>
      <c r="D70" t="str">
        <f>$D$29</f>
        <v>INTERVAL_SUM</v>
      </c>
      <c r="E70" t="str">
        <f>$E$29</f>
        <v>Dynamic</v>
      </c>
      <c r="F70" t="str">
        <f ca="1">_xll.BDP($B$29,$C$29,CONCATENATE("PX391=", $F$53), CONCATENATE("PX392=",$F$54), CONCATENATE("DS004=",$B$46), "Fill=B")</f>
        <v/>
      </c>
      <c r="G70" t="str">
        <f ca="1">_xll.BDP($B$29,$C$29,CONCATENATE("PX391=", $G$53), CONCATENATE("PX392=",$G$54), CONCATENATE("DS004=",$B$46), "Fill=B")</f>
        <v/>
      </c>
      <c r="H70">
        <f ca="1">_xll.BDP($B$29,$C$29,CONCATENATE("PX391=", $H$53), CONCATENATE("PX392=",$H$54), CONCATENATE("DS004=",$B$46), "Fill=B")</f>
        <v>286241</v>
      </c>
      <c r="I70">
        <f ca="1">_xll.BDP($B$29,$C$29,CONCATENATE("PX391=", $I$53), CONCATENATE("PX392=",$I$54), CONCATENATE("DS004=",$B$46), "Fill=B")</f>
        <v>253978</v>
      </c>
      <c r="J70">
        <f ca="1">_xll.BDP($B$29,$C$29,CONCATENATE("PX391=", $J$53), CONCATENATE("PX392=",$J$54), CONCATENATE("DS004=",$B$46), "Fill=B")</f>
        <v>197511</v>
      </c>
      <c r="K70">
        <f ca="1">_xll.BDP($B$29,$C$29,CONCATENATE("PX391=", $K$53), CONCATENATE("PX392=",$K$54), CONCATENATE("DS004=",$B$46), "Fill=B")</f>
        <v>285162</v>
      </c>
      <c r="L70">
        <f ca="1">_xll.BDP($B$29,$C$29,CONCATENATE("PX391=", $L$53), CONCATENATE("PX392=",$L$54), CONCATENATE("DS004=",$B$46), "Fill=B")</f>
        <v>280296</v>
      </c>
      <c r="M70">
        <f ca="1">_xll.BDP($B$29,$C$29,CONCATENATE("PX391=", $M$53), CONCATENATE("PX392=",$M$54), CONCATENATE("DS004=",$B$46), "Fill=B")</f>
        <v>281171</v>
      </c>
      <c r="N70">
        <f ca="1">_xll.BDP($B$29,$C$29,CONCATENATE("PX391=", $N$53), CONCATENATE("PX392=",$N$54), CONCATENATE("DS004=",$B$46), "Fill=B")</f>
        <v>226852</v>
      </c>
      <c r="O70">
        <f ca="1">_xll.BDP($B$29,$C$29,CONCATENATE("PX391=", $O$53), CONCATENATE("PX392=",$O$54), CONCATENATE("DS004=",$B$46), "Fill=B")</f>
        <v>233950</v>
      </c>
      <c r="P70">
        <f ca="1">_xll.BDP($B$29,$C$29,CONCATENATE("PX391=", $P$53), CONCATENATE("PX392=",$P$54), CONCATENATE("DS004=",$B$46), "Fill=B")</f>
        <v>247473</v>
      </c>
      <c r="Q70">
        <f ca="1">_xll.BDP($B$29,$C$29,CONCATENATE("PX391=", $Q$53), CONCATENATE("PX392=",$Q$54), CONCATENATE("DS004=",$B$46), "Fill=B")</f>
        <v>207013</v>
      </c>
      <c r="R70">
        <f ca="1">_xll.BDP($B$29,$C$29,CONCATENATE("PX391=", $R$53), CONCATENATE("PX392=",$R$54), CONCATENATE("DS004=",$B$46), "Fill=B")</f>
        <v>275601</v>
      </c>
      <c r="S70">
        <f ca="1">_xll.BDP($B$29,$C$29,CONCATENATE("PX391=", $S$53), CONCATENATE("PX392=",$S$54), CONCATENATE("DS004=",$B$46), "Fill=B")</f>
        <v>308542</v>
      </c>
      <c r="T70">
        <f ca="1">_xll.BDP($B$29,$C$29,CONCATENATE("PX391=", $T$53), CONCATENATE("PX392=",$T$54), CONCATENATE("DS004=",$B$46), "Fill=B")</f>
        <v>325187</v>
      </c>
      <c r="U70">
        <f ca="1">_xll.BDP($B$29,$C$29,CONCATENATE("PX391=", $U$53), CONCATENATE("PX392=",$U$54), CONCATENATE("DS004=",$B$46), "Fill=B")</f>
        <v>331874</v>
      </c>
      <c r="V70">
        <f ca="1">_xll.BDP($B$29,$C$29,CONCATENATE("PX391=", $V$53), CONCATENATE("PX392=",$V$54), CONCATENATE("DS004=",$B$46), "Fill=B")</f>
        <v>305600</v>
      </c>
      <c r="W70">
        <f ca="1">_xll.BDP($B$29,$C$29,CONCATENATE("PX391=", $W$53), CONCATENATE("PX392=",$W$54), CONCATENATE("DS004=",$B$46), "Fill=B")</f>
        <v>319894</v>
      </c>
      <c r="X70">
        <f ca="1">_xll.BDP($B$29,$C$29,CONCATENATE("PX391=", $X$53), CONCATENATE("PX392=",$X$54), CONCATENATE("DS004=",$B$46), "Fill=B")</f>
        <v>320182</v>
      </c>
      <c r="Y70">
        <f ca="1">_xll.BDP($B$29,$C$29,CONCATENATE("PX391=", $Y$53), CONCATENATE("PX392=",$Y$54), CONCATENATE("DS004=",$B$46), "Fill=B")</f>
        <v>327562</v>
      </c>
      <c r="Z70">
        <f ca="1">_xll.BDP($B$29,$C$29,CONCATENATE("PX391=", $Z$53), CONCATENATE("PX392=",$Z$54), CONCATENATE("DS004=",$B$46), "Fill=B")</f>
        <v>330693</v>
      </c>
      <c r="AA70">
        <f ca="1">_xll.BDP($B$29,$C$29,CONCATENATE("PX391=", $AA$53), CONCATENATE("PX392=",$AA$54), CONCATENATE("DS004=",$B$46), "Fill=B")</f>
        <v>252536</v>
      </c>
      <c r="AB70">
        <f ca="1">_xll.BDP($B$29,$C$29,CONCATENATE("PX391=", $AB$53), CONCATENATE("PX392=",$AB$54), CONCATENATE("DS004=",$B$46), "Fill=B")</f>
        <v>252612</v>
      </c>
      <c r="AC70">
        <f ca="1">_xll.BDP($B$29,$C$29,CONCATENATE("PX391=", $AC$53), CONCATENATE("PX392=",$AC$54), CONCATENATE("DS004=",$B$46), "Fill=B")</f>
        <v>254617</v>
      </c>
      <c r="AD70">
        <f ca="1">_xll.BDP($B$29,$C$29,CONCATENATE("PX391=", $AD$53), CONCATENATE("PX392=",$AD$54), CONCATENATE("DS004=",$B$46), "Fill=B")</f>
        <v>240583</v>
      </c>
      <c r="AE70">
        <f ca="1">_xll.BDP($B$29,$C$29,CONCATENATE("PX391=", $AE$53), CONCATENATE("PX392=",$AE$54), CONCATENATE("DS004=",$B$46), "Fill=B")</f>
        <v>327146</v>
      </c>
      <c r="AF70">
        <f ca="1">_xll.BDP($B$29,$C$29,CONCATENATE("PX391=", $AF$53), CONCATENATE("PX392=",$AF$54), CONCATENATE("DS004=",$B$46), "Fill=B")</f>
        <v>311855</v>
      </c>
      <c r="AG70">
        <f ca="1">_xll.BDP($B$29,$C$29,CONCATENATE("PX391=", $AG$53), CONCATENATE("PX392=",$AG$54), CONCATENATE("DS004=",$B$46), "Fill=B")</f>
        <v>336695</v>
      </c>
      <c r="AH70">
        <f ca="1">_xll.BDP($B$29,$C$29,CONCATENATE("PX391=", $AH$53), CONCATENATE("PX392=",$AH$54), CONCATENATE("DS004=",$B$46), "Fill=B")</f>
        <v>265593</v>
      </c>
      <c r="AI70">
        <f ca="1">_xll.BDP($B$29,$C$29,CONCATENATE("PX391=", $AI$53), CONCATENATE("PX392=",$AI$54), CONCATENATE("DS004=",$B$46), "Fill=B")</f>
        <v>302003</v>
      </c>
      <c r="AJ70">
        <f ca="1">_xll.BDP($B$29,$C$29,CONCATENATE("PX391=", $AJ$53), CONCATENATE("PX392=",$AJ$54), CONCATENATE("DS004=",$B$46), "Fill=B")</f>
        <v>371855</v>
      </c>
      <c r="AK70">
        <f ca="1">_xll.BDP($B$29,$C$29,CONCATENATE("PX391=", $AK$53), CONCATENATE("PX392=",$AK$54), CONCATENATE("DS004=",$B$46), "Fill=B")</f>
        <v>337271</v>
      </c>
      <c r="AL70">
        <f ca="1">_xll.BDP($B$29,$C$29,CONCATENATE("PX391=", $AL$53), CONCATENATE("PX392=",$AL$54), CONCATENATE("DS004=",$B$46), "Fill=B")</f>
        <v>332258</v>
      </c>
      <c r="AM70">
        <f ca="1">_xll.BDP($B$29,$C$29,CONCATENATE("PX391=", $AM$53), CONCATENATE("PX392=",$AM$54), CONCATENATE("DS004=",$B$46), "Fill=B")</f>
        <v>280733</v>
      </c>
      <c r="AN70">
        <f ca="1">_xll.BDP($B$29,$C$29,CONCATENATE("PX391=", $AN$53), CONCATENATE("PX392=",$AN$54), CONCATENATE("DS004=",$B$46), "Fill=B")</f>
        <v>319972</v>
      </c>
      <c r="AO70">
        <f ca="1">_xll.BDP($B$29,$C$29,CONCATENATE("PX391=", $AO$53), CONCATENATE("PX392=",$AO$54), CONCATENATE("DS004=",$B$46), "Fill=B")</f>
        <v>321302</v>
      </c>
      <c r="AP70">
        <f ca="1">_xll.BDP($B$29,$C$29,CONCATENATE("PX391=", $AP$53), CONCATENATE("PX392=",$AP$54), CONCATENATE("DS004=",$B$46), "Fill=B")</f>
        <v>315721</v>
      </c>
      <c r="AQ70">
        <f ca="1">_xll.BDP($B$29,$C$29,CONCATENATE("PX391=", $AQ$53), CONCATENATE("PX392=",$AQ$54), CONCATENATE("DS004=",$B$46), "Fill=B")</f>
        <v>359384</v>
      </c>
      <c r="AR70">
        <f ca="1">_xll.BDP($B$29,$C$29,CONCATENATE("PX391=", $AR$53), CONCATENATE("PX392=",$AR$54), CONCATENATE("DS004=",$B$46), "Fill=B")</f>
        <v>302737</v>
      </c>
      <c r="AS70">
        <f ca="1">_xll.BDP($B$29,$C$29,CONCATENATE("PX391=", $AS$53), CONCATENATE("PX392=",$AS$54), CONCATENATE("DS004=",$B$46), "Fill=B")</f>
        <v>300341</v>
      </c>
      <c r="AT70">
        <f ca="1">_xll.BDP($B$29,$C$29,CONCATENATE("PX391=", $AT$53), CONCATENATE("PX392=",$AT$54), CONCATENATE("DS004=",$B$46), "Fill=B")</f>
        <v>303559</v>
      </c>
      <c r="AU70">
        <f ca="1">_xll.BDP($B$29,$C$29,CONCATENATE("PX391=", $AU$53), CONCATENATE("PX392=",$AU$54), CONCATENATE("DS004=",$B$46), "Fill=B")</f>
        <v>275171</v>
      </c>
      <c r="AV70">
        <f ca="1">_xll.BDP($B$29,$C$29,CONCATENATE("PX391=", $AV$53), CONCATENATE("PX392=",$AV$54), CONCATENATE("DS004=",$B$46), "Fill=B")</f>
        <v>276230</v>
      </c>
      <c r="AW70">
        <f ca="1">_xll.BDP($B$29,$C$29,CONCATENATE("PX391=", $AW$53), CONCATENATE("PX392=",$AW$54), CONCATENATE("DS004=",$B$46), "Fill=B")</f>
        <v>278223</v>
      </c>
      <c r="AX70">
        <f ca="1">_xll.BDP($B$29,$C$29,CONCATENATE("PX391=", $AX$53), CONCATENATE("PX392=",$AX$54), CONCATENATE("DS004=",$B$46), "Fill=B")</f>
        <v>237696</v>
      </c>
      <c r="AY70">
        <f ca="1">_xll.BDP($B$29,$C$29,CONCATENATE("PX391=", $AY$53), CONCATENATE("PX392=",$AY$54), CONCATENATE("DS004=",$B$46), "Fill=B")</f>
        <v>231560</v>
      </c>
      <c r="AZ70">
        <f ca="1">_xll.BDP($B$29,$C$29,CONCATENATE("PX391=", $AZ$53), CONCATENATE("PX392=",$AZ$54), CONCATENATE("DS004=",$B$46), "Fill=B")</f>
        <v>265599</v>
      </c>
      <c r="BA70">
        <f ca="1">_xll.BDP($B$29,$C$29,CONCATENATE("PX391=", $BA$53), CONCATENATE("PX392=",$BA$54), CONCATENATE("DS004=",$B$46), "Fill=B")</f>
        <v>271868</v>
      </c>
      <c r="BB70">
        <f ca="1">_xll.BDP($B$29,$C$29,CONCATENATE("PX391=", $BB$53), CONCATENATE("PX392=",$BB$54), CONCATENATE("DS004=",$B$46), "Fill=B")</f>
        <v>257943</v>
      </c>
      <c r="BC70">
        <f ca="1">_xll.BDP($B$29,$C$29,CONCATENATE("PX391=", $BC$53), CONCATENATE("PX392=",$BC$54), CONCATENATE("DS004=",$B$46), "Fill=B")</f>
        <v>272899</v>
      </c>
      <c r="BD70">
        <f ca="1">_xll.BDP($B$29,$C$29,CONCATENATE("PX391=", $BD$53), CONCATENATE("PX392=",$BD$54), CONCATENATE("DS004=",$B$46), "Fill=B")</f>
        <v>303835</v>
      </c>
      <c r="BE70">
        <f ca="1">_xll.BDP($B$29,$C$29,CONCATENATE("PX391=", $BE$53), CONCATENATE("PX392=",$BE$54), CONCATENATE("DS004=",$B$46), "Fill=B")</f>
        <v>295765</v>
      </c>
      <c r="BF70">
        <f ca="1">_xll.BDP($B$29,$C$29,CONCATENATE("PX391=", $BF$53), CONCATENATE("PX392=",$BF$54), CONCATENATE("DS004=",$B$46), "Fill=B")</f>
        <v>301174</v>
      </c>
      <c r="BG70">
        <f ca="1">_xll.BDP($B$29,$C$29,CONCATENATE("PX391=", $BG$53), CONCATENATE("PX392=",$BG$54), CONCATENATE("DS004=",$B$46), "Fill=B")</f>
        <v>285593</v>
      </c>
      <c r="BH70">
        <f ca="1">_xll.BDP($B$29,$C$29,CONCATENATE("PX391=", $BH$53), CONCATENATE("PX392=",$BH$54), CONCATENATE("DS004=",$B$46), "Fill=B")</f>
        <v>276115</v>
      </c>
      <c r="BI70">
        <f ca="1">_xll.BDP($B$29,$C$29,CONCATENATE("PX391=", $BI$53), CONCATENATE("PX392=",$BI$54), CONCATENATE("DS004=",$B$46), "Fill=B")</f>
        <v>290630</v>
      </c>
      <c r="BJ70">
        <f ca="1">_xll.BDP($B$29,$C$29,CONCATENATE("PX391=", $BJ$53), CONCATENATE("PX392=",$BJ$54), CONCATENATE("DS004=",$B$46), "Fill=B")</f>
        <v>269681</v>
      </c>
      <c r="BK70">
        <f ca="1">_xll.BDP($B$29,$C$29,CONCATENATE("PX391=", $BK$53), CONCATENATE("PX392=",$BK$54), CONCATENATE("DS004=",$B$46), "Fill=B")</f>
        <v>259831</v>
      </c>
      <c r="BL70">
        <f ca="1">_xll.BDP($B$29,$C$29,CONCATENATE("PX391=", $BL$53), CONCATENATE("PX392=",$BL$54), CONCATENATE("DS004=",$B$46), "Fill=B")</f>
        <v>313527</v>
      </c>
      <c r="BM70">
        <f ca="1">_xll.BDP($B$29,$C$29,CONCATENATE("PX391=", $BM$53), CONCATENATE("PX392=",$BM$54), CONCATENATE("DS004=",$B$46), "Fill=B")</f>
        <v>271715</v>
      </c>
      <c r="BN70">
        <f ca="1">_xll.BDP($B$29,$C$29,CONCATENATE("PX391=", $BN$53), CONCATENATE("PX392=",$BN$54), CONCATENATE("DS004=",$B$46), "Fill=B")</f>
        <v>305325</v>
      </c>
      <c r="BO70">
        <f ca="1">_xll.BDP($B$29,$C$29,CONCATENATE("PX391=", $BO$53), CONCATENATE("PX392=",$BO$54), CONCATENATE("DS004=",$B$46), "Fill=B")</f>
        <v>299258</v>
      </c>
      <c r="BP70">
        <f ca="1">_xll.BDP($B$29,$C$29,CONCATENATE("PX391=", $BP$53), CONCATENATE("PX392=",$BP$54), CONCATENATE("DS004=",$B$46), "Fill=B")</f>
        <v>310982</v>
      </c>
      <c r="BQ70">
        <f ca="1">_xll.BDP($B$29,$C$29,CONCATENATE("PX391=", $BQ$53), CONCATENATE("PX392=",$BQ$54), CONCATENATE("DS004=",$B$46), "Fill=B")</f>
        <v>273638</v>
      </c>
      <c r="BR70">
        <f ca="1">_xll.BDP($B$29,$C$29,CONCATENATE("PX391=", $BR$53), CONCATENATE("PX392=",$BR$54), CONCATENATE("DS004=",$B$46), "Fill=B")</f>
        <v>298093</v>
      </c>
      <c r="BS70">
        <f ca="1">_xll.BDP($B$29,$C$29,CONCATENATE("PX391=", $BS$53), CONCATENATE("PX392=",$BS$54), CONCATENATE("DS004=",$B$46), "Fill=B")</f>
        <v>285082</v>
      </c>
      <c r="BT70">
        <f ca="1">_xll.BDP($B$29,$C$29,CONCATENATE("PX391=", $BT$53), CONCATENATE("PX392=",$BT$54), CONCATENATE("DS004=",$B$46), "Fill=B")</f>
        <v>292273</v>
      </c>
      <c r="BU70">
        <f ca="1">_xll.BDP($B$29,$C$29,CONCATENATE("PX391=", $BU$53), CONCATENATE("PX392=",$BU$54), CONCATENATE("DS004=",$B$46), "Fill=B")</f>
        <v>258869</v>
      </c>
      <c r="BV70">
        <f ca="1">_xll.BDP($B$29,$C$29,CONCATENATE("PX391=", $BV$53), CONCATENATE("PX392=",$BV$54), CONCATENATE("DS004=",$B$46), "Fill=B")</f>
        <v>286563</v>
      </c>
      <c r="BW70">
        <f ca="1">_xll.BDP($B$29,$C$29,CONCATENATE("PX391=", $BW$53), CONCATENATE("PX392=",$BW$54), CONCATENATE("DS004=",$B$46), "Fill=B")</f>
        <v>248583</v>
      </c>
      <c r="BX70">
        <f ca="1">_xll.BDP($B$29,$C$29,CONCATENATE("PX391=", $BX$53), CONCATENATE("PX392=",$BX$54), CONCATENATE("DS004=",$B$46), "Fill=B")</f>
        <v>266071</v>
      </c>
      <c r="BY70">
        <f ca="1">_xll.BDP($B$29,$C$29,CONCATENATE("PX391=", $BY$53), CONCATENATE("PX392=",$BY$54), CONCATENATE("DS004=",$B$46), "Fill=B")</f>
        <v>270488</v>
      </c>
      <c r="BZ70">
        <f ca="1">_xll.BDP($B$29,$C$29,CONCATENATE("PX391=", $BZ$53), CONCATENATE("PX392=",$BZ$54), CONCATENATE("DS004=",$B$46), "Fill=B")</f>
        <v>289576</v>
      </c>
      <c r="CA70">
        <f ca="1">_xll.BDP($B$29,$C$29,CONCATENATE("PX391=", $CA$53), CONCATENATE("PX392=",$CA$54), CONCATENATE("DS004=",$B$46), "Fill=B")</f>
        <v>277257</v>
      </c>
      <c r="CB70">
        <f ca="1">_xll.BDP($B$29,$C$29,CONCATENATE("PX391=", $CB$53), CONCATENATE("PX392=",$CB$54), CONCATENATE("DS004=",$B$46), "Fill=B")</f>
        <v>284965</v>
      </c>
      <c r="CC70">
        <f ca="1">_xll.BDP($B$29,$C$29,CONCATENATE("PX391=", $CC$53), CONCATENATE("PX392=",$CC$54), CONCATENATE("DS004=",$B$46), "Fill=B")</f>
        <v>278538</v>
      </c>
      <c r="CD70">
        <f ca="1">_xll.BDP($B$29,$C$29,CONCATENATE("PX391=", $CD$53), CONCATENATE("PX392=",$CD$54), CONCATENATE("DS004=",$B$46), "Fill=B")</f>
        <v>292867</v>
      </c>
      <c r="CE70">
        <f ca="1">_xll.BDP($B$29,$C$29,CONCATENATE("PX391=", $CE$53), CONCATENATE("PX392=",$CE$54), CONCATENATE("DS004=",$B$46), "Fill=B")</f>
        <v>270895</v>
      </c>
      <c r="CF70">
        <f ca="1">_xll.BDP($B$29,$C$29,CONCATENATE("PX391=", $CF$53), CONCATENATE("PX392=",$CF$54), CONCATENATE("DS004=",$B$46), "Fill=B")</f>
        <v>289948</v>
      </c>
      <c r="CG70">
        <f ca="1">_xll.BDP($B$29,$C$29,CONCATENATE("PX391=", $CG$53), CONCATENATE("PX392=",$CG$54), CONCATENATE("DS004=",$B$46), "Fill=B")</f>
        <v>257451</v>
      </c>
      <c r="CH70">
        <f ca="1">_xll.BDP($B$29,$C$29,CONCATENATE("PX391=", $CH$53), CONCATENATE("PX392=",$CH$54), CONCATENATE("DS004=",$B$46), "Fill=B")</f>
        <v>250204</v>
      </c>
      <c r="CI70">
        <f ca="1">_xll.BDP($B$29,$C$29,CONCATENATE("PX391=", $CI$53), CONCATENATE("PX392=",$CI$54), CONCATENATE("DS004=",$B$46), "Fill=B")</f>
        <v>250514</v>
      </c>
      <c r="CJ70">
        <f ca="1">_xll.BDP($B$29,$C$29,CONCATENATE("PX391=", $CJ$53), CONCATENATE("PX392=",$CJ$54), CONCATENATE("DS004=",$B$46), "Fill=B")</f>
        <v>239522</v>
      </c>
      <c r="CK70">
        <f ca="1">_xll.BDP($B$29,$C$29,CONCATENATE("PX391=", $CK$53), CONCATENATE("PX392=",$CK$54), CONCATENATE("DS004=",$B$46), "Fill=B")</f>
        <v>239090</v>
      </c>
      <c r="CL70" t="str">
        <f>""</f>
        <v/>
      </c>
      <c r="CM70" t="str">
        <f>""</f>
        <v/>
      </c>
      <c r="CN70" t="str">
        <f>""</f>
        <v/>
      </c>
      <c r="CO70" t="str">
        <f>""</f>
        <v/>
      </c>
      <c r="CP70" t="str">
        <f>""</f>
        <v/>
      </c>
      <c r="CQ70" t="str">
        <f>""</f>
        <v/>
      </c>
      <c r="CR70" t="str">
        <f>""</f>
        <v/>
      </c>
      <c r="CS70" t="str">
        <f>""</f>
        <v/>
      </c>
      <c r="CT70" t="str">
        <f>""</f>
        <v/>
      </c>
      <c r="CU70" t="str">
        <f>""</f>
        <v/>
      </c>
      <c r="CV70" t="str">
        <f>""</f>
        <v/>
      </c>
      <c r="CW70" t="str">
        <f>""</f>
        <v/>
      </c>
      <c r="CX70" t="str">
        <f>""</f>
        <v/>
      </c>
      <c r="CY70" t="str">
        <f>""</f>
        <v/>
      </c>
      <c r="CZ70" t="str">
        <f>""</f>
        <v/>
      </c>
      <c r="DA70" t="str">
        <f>""</f>
        <v/>
      </c>
      <c r="DB70" t="str">
        <f>""</f>
        <v/>
      </c>
      <c r="DC70" t="str">
        <f>""</f>
        <v/>
      </c>
      <c r="DD70" t="str">
        <f>""</f>
        <v/>
      </c>
      <c r="DE70" t="str">
        <f>""</f>
        <v/>
      </c>
      <c r="DF70" t="str">
        <f>""</f>
        <v/>
      </c>
      <c r="DG70" t="str">
        <f>""</f>
        <v/>
      </c>
      <c r="DH70" t="str">
        <f>""</f>
        <v/>
      </c>
      <c r="DI70" t="str">
        <f>""</f>
        <v/>
      </c>
      <c r="DJ70" t="str">
        <f>""</f>
        <v/>
      </c>
      <c r="DK70" t="str">
        <f>""</f>
        <v/>
      </c>
      <c r="DL70" t="str">
        <f>""</f>
        <v/>
      </c>
      <c r="DM70" t="str">
        <f>""</f>
        <v/>
      </c>
      <c r="DN70" t="str">
        <f>""</f>
        <v/>
      </c>
      <c r="DO70" t="str">
        <f>""</f>
        <v/>
      </c>
      <c r="DP70" t="str">
        <f>""</f>
        <v/>
      </c>
      <c r="DQ70" t="str">
        <f>""</f>
        <v/>
      </c>
      <c r="DR70" t="str">
        <f>""</f>
        <v/>
      </c>
      <c r="DS70" t="str">
        <f>""</f>
        <v/>
      </c>
      <c r="DT70" t="str">
        <f>""</f>
        <v/>
      </c>
      <c r="DU70" t="str">
        <f>""</f>
        <v/>
      </c>
      <c r="DV70" t="str">
        <f>""</f>
        <v/>
      </c>
      <c r="DW70" t="str">
        <f>""</f>
        <v/>
      </c>
      <c r="DX70" t="str">
        <f>""</f>
        <v/>
      </c>
      <c r="DY70" t="str">
        <f>""</f>
        <v/>
      </c>
      <c r="DZ70" t="str">
        <f>""</f>
        <v/>
      </c>
      <c r="EA70" t="str">
        <f>""</f>
        <v/>
      </c>
      <c r="EB70" t="str">
        <f>""</f>
        <v/>
      </c>
      <c r="EC70" t="str">
        <f>""</f>
        <v/>
      </c>
      <c r="ED70" t="str">
        <f>""</f>
        <v/>
      </c>
      <c r="EE70" t="str">
        <f>""</f>
        <v/>
      </c>
      <c r="EF70" t="str">
        <f>""</f>
        <v/>
      </c>
      <c r="EG70" t="str">
        <f>""</f>
        <v/>
      </c>
      <c r="EH70" t="str">
        <f>""</f>
        <v/>
      </c>
      <c r="EI70" t="str">
        <f>""</f>
        <v/>
      </c>
      <c r="EJ70" t="str">
        <f>""</f>
        <v/>
      </c>
      <c r="EK70" t="str">
        <f>""</f>
        <v/>
      </c>
      <c r="EL70" t="str">
        <f>""</f>
        <v/>
      </c>
      <c r="EM70" t="str">
        <f>""</f>
        <v/>
      </c>
      <c r="EN70" t="str">
        <f>""</f>
        <v/>
      </c>
      <c r="EO70" t="str">
        <f>""</f>
        <v/>
      </c>
      <c r="EP70" t="str">
        <f>""</f>
        <v/>
      </c>
      <c r="EQ70" t="str">
        <f>""</f>
        <v/>
      </c>
      <c r="ER70" t="str">
        <f>""</f>
        <v/>
      </c>
      <c r="ES70" t="str">
        <f>""</f>
        <v/>
      </c>
      <c r="ET70" t="str">
        <f>""</f>
        <v/>
      </c>
      <c r="EU70" t="str">
        <f>""</f>
        <v/>
      </c>
      <c r="EV70" t="str">
        <f>""</f>
        <v/>
      </c>
      <c r="EW70" t="str">
        <f>""</f>
        <v/>
      </c>
      <c r="EX70" t="str">
        <f>""</f>
        <v/>
      </c>
      <c r="EY70" t="str">
        <f>""</f>
        <v/>
      </c>
      <c r="EZ70" t="str">
        <f>""</f>
        <v/>
      </c>
      <c r="FA70" t="str">
        <f>""</f>
        <v/>
      </c>
      <c r="FB70" t="str">
        <f>""</f>
        <v/>
      </c>
      <c r="FC70" t="str">
        <f>""</f>
        <v/>
      </c>
      <c r="FD70" t="str">
        <f>""</f>
        <v/>
      </c>
      <c r="FE70" t="str">
        <f>""</f>
        <v/>
      </c>
      <c r="FF70" t="str">
        <f>""</f>
        <v/>
      </c>
      <c r="FG70" t="str">
        <f>""</f>
        <v/>
      </c>
      <c r="FH70" t="str">
        <f>""</f>
        <v/>
      </c>
      <c r="FI70" t="str">
        <f>""</f>
        <v/>
      </c>
      <c r="FJ70" t="str">
        <f>""</f>
        <v/>
      </c>
      <c r="FK70" t="str">
        <f>""</f>
        <v/>
      </c>
      <c r="FL70" t="str">
        <f>""</f>
        <v/>
      </c>
      <c r="FM70" t="str">
        <f>""</f>
        <v/>
      </c>
      <c r="FN70" t="str">
        <f>""</f>
        <v/>
      </c>
      <c r="FO70" t="str">
        <f>""</f>
        <v/>
      </c>
      <c r="FP70" t="str">
        <f>""</f>
        <v/>
      </c>
      <c r="FQ70" t="str">
        <f>""</f>
        <v/>
      </c>
    </row>
    <row r="71" spans="1:173" x14ac:dyDescent="0.25">
      <c r="A71" t="str">
        <f>$A$30</f>
        <v xml:space="preserve">    Ports of Seattle/Tacoma Seaport Alliance (TEU)</v>
      </c>
      <c r="B71" t="str">
        <f>$B$30</f>
        <v>SEAXTOTL Index</v>
      </c>
      <c r="C71" t="str">
        <f>$C$30</f>
        <v>PX385</v>
      </c>
      <c r="D71" t="str">
        <f>$D$30</f>
        <v>INTERVAL_SUM</v>
      </c>
      <c r="E71" t="str">
        <f>$E$30</f>
        <v>Dynamic</v>
      </c>
      <c r="F71" t="str">
        <f ca="1">_xll.BDP($B$30,$C$30,CONCATENATE("PX391=", $F$53), CONCATENATE("PX392=",$F$54), CONCATENATE("DS004=",$B$46), "Fill=B")</f>
        <v/>
      </c>
      <c r="G71" t="str">
        <f ca="1">_xll.BDP($B$30,$C$30,CONCATENATE("PX391=", $G$53), CONCATENATE("PX392=",$G$54), CONCATENATE("DS004=",$B$46), "Fill=B")</f>
        <v/>
      </c>
      <c r="H71">
        <f ca="1">_xll.BDP($B$30,$C$30,CONCATENATE("PX391=", $H$53), CONCATENATE("PX392=",$H$54), CONCATENATE("DS004=",$B$46), "Fill=B")</f>
        <v>329609</v>
      </c>
      <c r="I71">
        <f ca="1">_xll.BDP($B$30,$C$30,CONCATENATE("PX391=", $I$53), CONCATENATE("PX392=",$I$54), CONCATENATE("DS004=",$B$46), "Fill=B")</f>
        <v>242700</v>
      </c>
      <c r="J71">
        <f ca="1">_xll.BDP($B$30,$C$30,CONCATENATE("PX391=", $J$53), CONCATENATE("PX392=",$J$54), CONCATENATE("DS004=",$B$46), "Fill=B")</f>
        <v>234875</v>
      </c>
      <c r="K71">
        <f ca="1">_xll.BDP($B$30,$C$30,CONCATENATE("PX391=", $K$53), CONCATENATE("PX392=",$K$54), CONCATENATE("DS004=",$B$46), "Fill=B")</f>
        <v>254458</v>
      </c>
      <c r="L71">
        <f ca="1">_xll.BDP($B$30,$C$30,CONCATENATE("PX391=", $L$53), CONCATENATE("PX392=",$L$54), CONCATENATE("DS004=",$B$46), "Fill=B")</f>
        <v>229974</v>
      </c>
      <c r="M71">
        <f ca="1">_xll.BDP($B$30,$C$30,CONCATENATE("PX391=", $M$53), CONCATENATE("PX392=",$M$54), CONCATENATE("DS004=",$B$46), "Fill=B")</f>
        <v>232321</v>
      </c>
      <c r="N71">
        <f ca="1">_xll.BDP($B$30,$C$30,CONCATENATE("PX391=", $N$53), CONCATENATE("PX392=",$N$54), CONCATENATE("DS004=",$B$46), "Fill=B")</f>
        <v>240979</v>
      </c>
      <c r="O71">
        <f ca="1">_xll.BDP($B$30,$C$30,CONCATENATE("PX391=", $O$53), CONCATENATE("PX392=",$O$54), CONCATENATE("DS004=",$B$46), "Fill=B")</f>
        <v>225747</v>
      </c>
      <c r="P71">
        <f ca="1">_xll.BDP($B$30,$C$30,CONCATENATE("PX391=", $P$53), CONCATENATE("PX392=",$P$54), CONCATENATE("DS004=",$B$46), "Fill=B")</f>
        <v>213095</v>
      </c>
      <c r="Q71">
        <f ca="1">_xll.BDP($B$30,$C$30,CONCATENATE("PX391=", $Q$53), CONCATENATE("PX392=",$Q$54), CONCATENATE("DS004=",$B$46), "Fill=B")</f>
        <v>231799</v>
      </c>
      <c r="R71">
        <f ca="1">_xll.BDP($B$30,$C$30,CONCATENATE("PX391=", $R$53), CONCATENATE("PX392=",$R$54), CONCATENATE("DS004=",$B$46), "Fill=B")</f>
        <v>247037</v>
      </c>
      <c r="S71">
        <f ca="1">_xll.BDP($B$30,$C$30,CONCATENATE("PX391=", $S$53), CONCATENATE("PX392=",$S$54), CONCATENATE("DS004=",$B$46), "Fill=B")</f>
        <v>272129</v>
      </c>
      <c r="T71">
        <f ca="1">_xll.BDP($B$30,$C$30,CONCATENATE("PX391=", $T$53), CONCATENATE("PX392=",$T$54), CONCATENATE("DS004=",$B$46), "Fill=B")</f>
        <v>285315</v>
      </c>
      <c r="U71">
        <f ca="1">_xll.BDP($B$30,$C$30,CONCATENATE("PX391=", $U$53), CONCATENATE("PX392=",$U$54), CONCATENATE("DS004=",$B$46), "Fill=B")</f>
        <v>280436</v>
      </c>
      <c r="V71">
        <f ca="1">_xll.BDP($B$30,$C$30,CONCATENATE("PX391=", $V$53), CONCATENATE("PX392=",$V$54), CONCATENATE("DS004=",$B$46), "Fill=B")</f>
        <v>260572</v>
      </c>
      <c r="W71">
        <f ca="1">_xll.BDP($B$30,$C$30,CONCATENATE("PX391=", $W$53), CONCATENATE("PX392=",$W$54), CONCATENATE("DS004=",$B$46), "Fill=B")</f>
        <v>309123</v>
      </c>
      <c r="X71">
        <f ca="1">_xll.BDP($B$30,$C$30,CONCATENATE("PX391=", $X$53), CONCATENATE("PX392=",$X$54), CONCATENATE("DS004=",$B$46), "Fill=B")</f>
        <v>329740</v>
      </c>
      <c r="Y71">
        <f ca="1">_xll.BDP($B$30,$C$30,CONCATENATE("PX391=", $Y$53), CONCATENATE("PX392=",$Y$54), CONCATENATE("DS004=",$B$46), "Fill=B")</f>
        <v>266635</v>
      </c>
      <c r="Z71">
        <f ca="1">_xll.BDP($B$30,$C$30,CONCATENATE("PX391=", $Z$53), CONCATENATE("PX392=",$Z$54), CONCATENATE("DS004=",$B$46), "Fill=B")</f>
        <v>330906</v>
      </c>
      <c r="AA71">
        <f ca="1">_xll.BDP($B$30,$C$30,CONCATENATE("PX391=", $AA$53), CONCATENATE("PX392=",$AA$54), CONCATENATE("DS004=",$B$46), "Fill=B")</f>
        <v>298046</v>
      </c>
      <c r="AB71">
        <f ca="1">_xll.BDP($B$30,$C$30,CONCATENATE("PX391=", $AB$53), CONCATENATE("PX392=",$AB$54), CONCATENATE("DS004=",$B$46), "Fill=B")</f>
        <v>272281</v>
      </c>
      <c r="AC71">
        <f ca="1">_xll.BDP($B$30,$C$30,CONCATENATE("PX391=", $AC$53), CONCATENATE("PX392=",$AC$54), CONCATENATE("DS004=",$B$46), "Fill=B")</f>
        <v>254102</v>
      </c>
      <c r="AD71">
        <f ca="1">_xll.BDP($B$30,$C$30,CONCATENATE("PX391=", $AD$53), CONCATENATE("PX392=",$AD$54), CONCATENATE("DS004=",$B$46), "Fill=B")</f>
        <v>325604</v>
      </c>
      <c r="AE71">
        <f ca="1">_xll.BDP($B$30,$C$30,CONCATENATE("PX391=", $AE$53), CONCATENATE("PX392=",$AE$54), CONCATENATE("DS004=",$B$46), "Fill=B")</f>
        <v>314801</v>
      </c>
      <c r="AF71">
        <f ca="1">_xll.BDP($B$30,$C$30,CONCATENATE("PX391=", $AF$53), CONCATENATE("PX392=",$AF$54), CONCATENATE("DS004=",$B$46), "Fill=B")</f>
        <v>337513</v>
      </c>
      <c r="AG71">
        <f ca="1">_xll.BDP($B$30,$C$30,CONCATENATE("PX391=", $AG$53), CONCATENATE("PX392=",$AG$54), CONCATENATE("DS004=",$B$46), "Fill=B")</f>
        <v>313127</v>
      </c>
      <c r="AH71">
        <f ca="1">_xll.BDP($B$30,$C$30,CONCATENATE("PX391=", $AH$53), CONCATENATE("PX392=",$AH$54), CONCATENATE("DS004=",$B$46), "Fill=B")</f>
        <v>309722</v>
      </c>
      <c r="AI71">
        <f ca="1">_xll.BDP($B$30,$C$30,CONCATENATE("PX391=", $AI$53), CONCATENATE("PX392=",$AI$54), CONCATENATE("DS004=",$B$46), "Fill=B")</f>
        <v>344573</v>
      </c>
      <c r="AJ71">
        <f ca="1">_xll.BDP($B$30,$C$30,CONCATENATE("PX391=", $AJ$53), CONCATENATE("PX392=",$AJ$54), CONCATENATE("DS004=",$B$46), "Fill=B")</f>
        <v>336397</v>
      </c>
      <c r="AK71">
        <f ca="1">_xll.BDP($B$30,$C$30,CONCATENATE("PX391=", $AK$53), CONCATENATE("PX392=",$AK$54), CONCATENATE("DS004=",$B$46), "Fill=B")</f>
        <v>303642</v>
      </c>
      <c r="AL71">
        <f ca="1">_xll.BDP($B$30,$C$30,CONCATENATE("PX391=", $AL$53), CONCATENATE("PX392=",$AL$54), CONCATENATE("DS004=",$B$46), "Fill=B")</f>
        <v>339322</v>
      </c>
      <c r="AM71">
        <f ca="1">_xll.BDP($B$30,$C$30,CONCATENATE("PX391=", $AM$53), CONCATENATE("PX392=",$AM$54), CONCATENATE("DS004=",$B$46), "Fill=B")</f>
        <v>268216</v>
      </c>
      <c r="AN71">
        <f ca="1">_xll.BDP($B$30,$C$30,CONCATENATE("PX391=", $AN$53), CONCATENATE("PX392=",$AN$54), CONCATENATE("DS004=",$B$46), "Fill=B")</f>
        <v>289187</v>
      </c>
      <c r="AO71">
        <f ca="1">_xll.BDP($B$30,$C$30,CONCATENATE("PX391=", $AO$53), CONCATENATE("PX392=",$AO$54), CONCATENATE("DS004=",$B$46), "Fill=B")</f>
        <v>301814</v>
      </c>
      <c r="AP71">
        <f ca="1">_xll.BDP($B$30,$C$30,CONCATENATE("PX391=", $AP$53), CONCATENATE("PX392=",$AP$54), CONCATENATE("DS004=",$B$46), "Fill=B")</f>
        <v>301932</v>
      </c>
      <c r="AQ71">
        <f ca="1">_xll.BDP($B$30,$C$30,CONCATENATE("PX391=", $AQ$53), CONCATENATE("PX392=",$AQ$54), CONCATENATE("DS004=",$B$46), "Fill=B")</f>
        <v>296892</v>
      </c>
      <c r="AR71">
        <f ca="1">_xll.BDP($B$30,$C$30,CONCATENATE("PX391=", $AR$53), CONCATENATE("PX392=",$AR$54), CONCATENATE("DS004=",$B$46), "Fill=B")</f>
        <v>308682</v>
      </c>
      <c r="AS71">
        <f ca="1">_xll.BDP($B$30,$C$30,CONCATENATE("PX391=", $AS$53), CONCATENATE("PX392=",$AS$54), CONCATENATE("DS004=",$B$46), "Fill=B")</f>
        <v>276407</v>
      </c>
      <c r="AT71">
        <f ca="1">_xll.BDP($B$30,$C$30,CONCATENATE("PX391=", $AT$53), CONCATENATE("PX392=",$AT$54), CONCATENATE("DS004=",$B$46), "Fill=B")</f>
        <v>270388</v>
      </c>
      <c r="AU71">
        <f ca="1">_xll.BDP($B$30,$C$30,CONCATENATE("PX391=", $AU$53), CONCATENATE("PX392=",$AU$54), CONCATENATE("DS004=",$B$46), "Fill=B")</f>
        <v>287036</v>
      </c>
      <c r="AV71">
        <f ca="1">_xll.BDP($B$30,$C$30,CONCATENATE("PX391=", $AV$53), CONCATENATE("PX392=",$AV$54), CONCATENATE("DS004=",$B$46), "Fill=B")</f>
        <v>240671</v>
      </c>
      <c r="AW71">
        <f ca="1">_xll.BDP($B$30,$C$30,CONCATENATE("PX391=", $AW$53), CONCATENATE("PX392=",$AW$54), CONCATENATE("DS004=",$B$46), "Fill=B")</f>
        <v>247675</v>
      </c>
      <c r="AX71">
        <f ca="1">_xll.BDP($B$30,$C$30,CONCATENATE("PX391=", $AX$53), CONCATENATE("PX392=",$AX$54), CONCATENATE("DS004=",$B$46), "Fill=B")</f>
        <v>264133</v>
      </c>
      <c r="AY71">
        <f ca="1">_xll.BDP($B$30,$C$30,CONCATENATE("PX391=", $AY$53), CONCATENATE("PX392=",$AY$54), CONCATENATE("DS004=",$B$46), "Fill=B")</f>
        <v>260932</v>
      </c>
      <c r="AZ71">
        <f ca="1">_xll.BDP($B$30,$C$30,CONCATENATE("PX391=", $AZ$53), CONCATENATE("PX392=",$AZ$54), CONCATENATE("DS004=",$B$46), "Fill=B")</f>
        <v>263816</v>
      </c>
      <c r="BA71">
        <f ca="1">_xll.BDP($B$30,$C$30,CONCATENATE("PX391=", $BA$53), CONCATENATE("PX392=",$BA$54), CONCATENATE("DS004=",$B$46), "Fill=B")</f>
        <v>284452</v>
      </c>
      <c r="BB71">
        <f ca="1">_xll.BDP($B$30,$C$30,CONCATENATE("PX391=", $BB$53), CONCATENATE("PX392=",$BB$54), CONCATENATE("DS004=",$B$46), "Fill=B")</f>
        <v>271178</v>
      </c>
      <c r="BC71">
        <f ca="1">_xll.BDP($B$30,$C$30,CONCATENATE("PX391=", $BC$53), CONCATENATE("PX392=",$BC$54), CONCATENATE("DS004=",$B$46), "Fill=B")</f>
        <v>310066</v>
      </c>
      <c r="BD71">
        <f ca="1">_xll.BDP($B$30,$C$30,CONCATENATE("PX391=", $BD$53), CONCATENATE("PX392=",$BD$54), CONCATENATE("DS004=",$B$46), "Fill=B")</f>
        <v>347278</v>
      </c>
      <c r="BE71">
        <f ca="1">_xll.BDP($B$30,$C$30,CONCATENATE("PX391=", $BE$53), CONCATENATE("PX392=",$BE$54), CONCATENATE("DS004=",$B$46), "Fill=B")</f>
        <v>320564</v>
      </c>
      <c r="BF71">
        <f ca="1">_xll.BDP($B$30,$C$30,CONCATENATE("PX391=", $BF$53), CONCATENATE("PX392=",$BF$54), CONCATENATE("DS004=",$B$46), "Fill=B")</f>
        <v>326515</v>
      </c>
      <c r="BG71">
        <f ca="1">_xll.BDP($B$30,$C$30,CONCATENATE("PX391=", $BG$53), CONCATENATE("PX392=",$BG$54), CONCATENATE("DS004=",$B$46), "Fill=B")</f>
        <v>343221</v>
      </c>
      <c r="BH71">
        <f ca="1">_xll.BDP($B$30,$C$30,CONCATENATE("PX391=", $BH$53), CONCATENATE("PX392=",$BH$54), CONCATENATE("DS004=",$B$46), "Fill=B")</f>
        <v>315792</v>
      </c>
      <c r="BI71">
        <f ca="1">_xll.BDP($B$30,$C$30,CONCATENATE("PX391=", $BI$53), CONCATENATE("PX392=",$BI$54), CONCATENATE("DS004=",$B$46), "Fill=B")</f>
        <v>323948</v>
      </c>
      <c r="BJ71">
        <f ca="1">_xll.BDP($B$30,$C$30,CONCATENATE("PX391=", $BJ$53), CONCATENATE("PX392=",$BJ$54), CONCATENATE("DS004=",$B$46), "Fill=B")</f>
        <v>336828</v>
      </c>
      <c r="BK71">
        <f ca="1">_xll.BDP($B$30,$C$30,CONCATENATE("PX391=", $BK$53), CONCATENATE("PX392=",$BK$54), CONCATENATE("DS004=",$B$46), "Fill=B")</f>
        <v>269233</v>
      </c>
      <c r="BL71">
        <f ca="1">_xll.BDP($B$30,$C$30,CONCATENATE("PX391=", $BL$53), CONCATENATE("PX392=",$BL$54), CONCATENATE("DS004=",$B$46), "Fill=B")</f>
        <v>326228</v>
      </c>
      <c r="BM71">
        <f ca="1">_xll.BDP($B$30,$C$30,CONCATENATE("PX391=", $BM$53), CONCATENATE("PX392=",$BM$54), CONCATENATE("DS004=",$B$46), "Fill=B")</f>
        <v>349055</v>
      </c>
      <c r="BN71">
        <f ca="1">_xll.BDP($B$30,$C$30,CONCATENATE("PX391=", $BN$53), CONCATENATE("PX392=",$BN$54), CONCATENATE("DS004=",$B$46), "Fill=B")</f>
        <v>319242</v>
      </c>
      <c r="BO71">
        <f ca="1">_xll.BDP($B$30,$C$30,CONCATENATE("PX391=", $BO$53), CONCATENATE("PX392=",$BO$54), CONCATENATE("DS004=",$B$46), "Fill=B")</f>
        <v>333995</v>
      </c>
      <c r="BP71">
        <f ca="1">_xll.BDP($B$30,$C$30,CONCATENATE("PX391=", $BP$53), CONCATENATE("PX392=",$BP$54), CONCATENATE("DS004=",$B$46), "Fill=B")</f>
        <v>373845</v>
      </c>
      <c r="BQ71">
        <f ca="1">_xll.BDP($B$30,$C$30,CONCATENATE("PX391=", $BQ$53), CONCATENATE("PX392=",$BQ$54), CONCATENATE("DS004=",$B$46), "Fill=B")</f>
        <v>314321</v>
      </c>
      <c r="BR71">
        <f ca="1">_xll.BDP($B$30,$C$30,CONCATENATE("PX391=", $BR$53), CONCATENATE("PX392=",$BR$54), CONCATENATE("DS004=",$B$46), "Fill=B")</f>
        <v>327462</v>
      </c>
      <c r="BS71">
        <f ca="1">_xll.BDP($B$30,$C$30,CONCATENATE("PX391=", $BS$53), CONCATENATE("PX392=",$BS$54), CONCATENATE("DS004=",$B$46), "Fill=B")</f>
        <v>351284</v>
      </c>
      <c r="BT71">
        <f ca="1">_xll.BDP($B$30,$C$30,CONCATENATE("PX391=", $BT$53), CONCATENATE("PX392=",$BT$54), CONCATENATE("DS004=",$B$46), "Fill=B")</f>
        <v>309243</v>
      </c>
      <c r="BU71">
        <f ca="1">_xll.BDP($B$30,$C$30,CONCATENATE("PX391=", $BU$53), CONCATENATE("PX392=",$BU$54), CONCATENATE("DS004=",$B$46), "Fill=B")</f>
        <v>279715</v>
      </c>
      <c r="BV71">
        <f ca="1">_xll.BDP($B$30,$C$30,CONCATENATE("PX391=", $BV$53), CONCATENATE("PX392=",$BV$54), CONCATENATE("DS004=",$B$46), "Fill=B")</f>
        <v>302516</v>
      </c>
      <c r="BW71">
        <f ca="1">_xll.BDP($B$30,$C$30,CONCATENATE("PX391=", $BW$53), CONCATENATE("PX392=",$BW$54), CONCATENATE("DS004=",$B$46), "Fill=B")</f>
        <v>280737</v>
      </c>
      <c r="BX71">
        <f ca="1">_xll.BDP($B$30,$C$30,CONCATENATE("PX391=", $BX$53), CONCATENATE("PX392=",$BX$54), CONCATENATE("DS004=",$B$46), "Fill=B")</f>
        <v>256212</v>
      </c>
      <c r="BY71">
        <f ca="1">_xll.BDP($B$30,$C$30,CONCATENATE("PX391=", $BY$53), CONCATENATE("PX392=",$BY$54), CONCATENATE("DS004=",$B$46), "Fill=B")</f>
        <v>312782</v>
      </c>
      <c r="BZ71">
        <f ca="1">_xll.BDP($B$30,$C$30,CONCATENATE("PX391=", $BZ$53), CONCATENATE("PX392=",$BZ$54), CONCATENATE("DS004=",$B$46), "Fill=B")</f>
        <v>299150</v>
      </c>
      <c r="CA71">
        <f ca="1">_xll.BDP($B$30,$C$30,CONCATENATE("PX391=", $CA$53), CONCATENATE("PX392=",$CA$54), CONCATENATE("DS004=",$B$46), "Fill=B")</f>
        <v>303951</v>
      </c>
      <c r="CB71">
        <f ca="1">_xll.BDP($B$30,$C$30,CONCATENATE("PX391=", $CB$53), CONCATENATE("PX392=",$CB$54), CONCATENATE("DS004=",$B$46), "Fill=B")</f>
        <v>323477</v>
      </c>
      <c r="CC71">
        <f ca="1">_xll.BDP($B$30,$C$30,CONCATENATE("PX391=", $CC$53), CONCATENATE("PX392=",$CC$54), CONCATENATE("DS004=",$B$46), "Fill=B")</f>
        <v>337719</v>
      </c>
      <c r="CD71">
        <f ca="1">_xll.BDP($B$30,$C$30,CONCATENATE("PX391=", $CD$53), CONCATENATE("PX392=",$CD$54), CONCATENATE("DS004=",$B$46), "Fill=B")</f>
        <v>295968</v>
      </c>
      <c r="CE71">
        <f ca="1">_xll.BDP($B$30,$C$30,CONCATENATE("PX391=", $CE$53), CONCATENATE("PX392=",$CE$54), CONCATENATE("DS004=",$B$46), "Fill=B")</f>
        <v>323409</v>
      </c>
      <c r="CF71">
        <f ca="1">_xll.BDP($B$30,$C$30,CONCATENATE("PX391=", $CF$53), CONCATENATE("PX392=",$CF$54), CONCATENATE("DS004=",$B$46), "Fill=B")</f>
        <v>323581</v>
      </c>
      <c r="CG71">
        <f ca="1">_xll.BDP($B$30,$C$30,CONCATENATE("PX391=", $CG$53), CONCATENATE("PX392=",$CG$54), CONCATENATE("DS004=",$B$46), "Fill=B")</f>
        <v>282772</v>
      </c>
      <c r="CH71">
        <f ca="1">_xll.BDP($B$30,$C$30,CONCATENATE("PX391=", $CH$53), CONCATENATE("PX392=",$CH$54), CONCATENATE("DS004=",$B$46), "Fill=B")</f>
        <v>334473</v>
      </c>
      <c r="CI71">
        <f ca="1">_xll.BDP($B$30,$C$30,CONCATENATE("PX391=", $CI$53), CONCATENATE("PX392=",$CI$54), CONCATENATE("DS004=",$B$46), "Fill=B")</f>
        <v>263718</v>
      </c>
      <c r="CJ71">
        <f ca="1">_xll.BDP($B$30,$C$30,CONCATENATE("PX391=", $CJ$53), CONCATENATE("PX392=",$CJ$54), CONCATENATE("DS004=",$B$46), "Fill=B")</f>
        <v>301174</v>
      </c>
      <c r="CK71">
        <f ca="1">_xll.BDP($B$30,$C$30,CONCATENATE("PX391=", $CK$53), CONCATENATE("PX392=",$CK$54), CONCATENATE("DS004=",$B$46), "Fill=B")</f>
        <v>316217</v>
      </c>
      <c r="CL71" t="str">
        <f>""</f>
        <v/>
      </c>
      <c r="CM71" t="str">
        <f>""</f>
        <v/>
      </c>
      <c r="CN71" t="str">
        <f>""</f>
        <v/>
      </c>
      <c r="CO71" t="str">
        <f>""</f>
        <v/>
      </c>
      <c r="CP71" t="str">
        <f>""</f>
        <v/>
      </c>
      <c r="CQ71" t="str">
        <f>""</f>
        <v/>
      </c>
      <c r="CR71" t="str">
        <f>""</f>
        <v/>
      </c>
      <c r="CS71" t="str">
        <f>""</f>
        <v/>
      </c>
      <c r="CT71" t="str">
        <f>""</f>
        <v/>
      </c>
      <c r="CU71" t="str">
        <f>""</f>
        <v/>
      </c>
      <c r="CV71" t="str">
        <f>""</f>
        <v/>
      </c>
      <c r="CW71" t="str">
        <f>""</f>
        <v/>
      </c>
      <c r="CX71" t="str">
        <f>""</f>
        <v/>
      </c>
      <c r="CY71" t="str">
        <f>""</f>
        <v/>
      </c>
      <c r="CZ71" t="str">
        <f>""</f>
        <v/>
      </c>
      <c r="DA71" t="str">
        <f>""</f>
        <v/>
      </c>
      <c r="DB71" t="str">
        <f>""</f>
        <v/>
      </c>
      <c r="DC71" t="str">
        <f>""</f>
        <v/>
      </c>
      <c r="DD71" t="str">
        <f>""</f>
        <v/>
      </c>
      <c r="DE71" t="str">
        <f>""</f>
        <v/>
      </c>
      <c r="DF71" t="str">
        <f>""</f>
        <v/>
      </c>
      <c r="DG71" t="str">
        <f>""</f>
        <v/>
      </c>
      <c r="DH71" t="str">
        <f>""</f>
        <v/>
      </c>
      <c r="DI71" t="str">
        <f>""</f>
        <v/>
      </c>
      <c r="DJ71" t="str">
        <f>""</f>
        <v/>
      </c>
      <c r="DK71" t="str">
        <f>""</f>
        <v/>
      </c>
      <c r="DL71" t="str">
        <f>""</f>
        <v/>
      </c>
      <c r="DM71" t="str">
        <f>""</f>
        <v/>
      </c>
      <c r="DN71" t="str">
        <f>""</f>
        <v/>
      </c>
      <c r="DO71" t="str">
        <f>""</f>
        <v/>
      </c>
      <c r="DP71" t="str">
        <f>""</f>
        <v/>
      </c>
      <c r="DQ71" t="str">
        <f>""</f>
        <v/>
      </c>
      <c r="DR71" t="str">
        <f>""</f>
        <v/>
      </c>
      <c r="DS71" t="str">
        <f>""</f>
        <v/>
      </c>
      <c r="DT71" t="str">
        <f>""</f>
        <v/>
      </c>
      <c r="DU71" t="str">
        <f>""</f>
        <v/>
      </c>
      <c r="DV71" t="str">
        <f>""</f>
        <v/>
      </c>
      <c r="DW71" t="str">
        <f>""</f>
        <v/>
      </c>
      <c r="DX71" t="str">
        <f>""</f>
        <v/>
      </c>
      <c r="DY71" t="str">
        <f>""</f>
        <v/>
      </c>
      <c r="DZ71" t="str">
        <f>""</f>
        <v/>
      </c>
      <c r="EA71" t="str">
        <f>""</f>
        <v/>
      </c>
      <c r="EB71" t="str">
        <f>""</f>
        <v/>
      </c>
      <c r="EC71" t="str">
        <f>""</f>
        <v/>
      </c>
      <c r="ED71" t="str">
        <f>""</f>
        <v/>
      </c>
      <c r="EE71" t="str">
        <f>""</f>
        <v/>
      </c>
      <c r="EF71" t="str">
        <f>""</f>
        <v/>
      </c>
      <c r="EG71" t="str">
        <f>""</f>
        <v/>
      </c>
      <c r="EH71" t="str">
        <f>""</f>
        <v/>
      </c>
      <c r="EI71" t="str">
        <f>""</f>
        <v/>
      </c>
      <c r="EJ71" t="str">
        <f>""</f>
        <v/>
      </c>
      <c r="EK71" t="str">
        <f>""</f>
        <v/>
      </c>
      <c r="EL71" t="str">
        <f>""</f>
        <v/>
      </c>
      <c r="EM71" t="str">
        <f>""</f>
        <v/>
      </c>
      <c r="EN71" t="str">
        <f>""</f>
        <v/>
      </c>
      <c r="EO71" t="str">
        <f>""</f>
        <v/>
      </c>
      <c r="EP71" t="str">
        <f>""</f>
        <v/>
      </c>
      <c r="EQ71" t="str">
        <f>""</f>
        <v/>
      </c>
      <c r="ER71" t="str">
        <f>""</f>
        <v/>
      </c>
      <c r="ES71" t="str">
        <f>""</f>
        <v/>
      </c>
      <c r="ET71" t="str">
        <f>""</f>
        <v/>
      </c>
      <c r="EU71" t="str">
        <f>""</f>
        <v/>
      </c>
      <c r="EV71" t="str">
        <f>""</f>
        <v/>
      </c>
      <c r="EW71" t="str">
        <f>""</f>
        <v/>
      </c>
      <c r="EX71" t="str">
        <f>""</f>
        <v/>
      </c>
      <c r="EY71" t="str">
        <f>""</f>
        <v/>
      </c>
      <c r="EZ71" t="str">
        <f>""</f>
        <v/>
      </c>
      <c r="FA71" t="str">
        <f>""</f>
        <v/>
      </c>
      <c r="FB71" t="str">
        <f>""</f>
        <v/>
      </c>
      <c r="FC71" t="str">
        <f>""</f>
        <v/>
      </c>
      <c r="FD71" t="str">
        <f>""</f>
        <v/>
      </c>
      <c r="FE71" t="str">
        <f>""</f>
        <v/>
      </c>
      <c r="FF71" t="str">
        <f>""</f>
        <v/>
      </c>
      <c r="FG71" t="str">
        <f>""</f>
        <v/>
      </c>
      <c r="FH71" t="str">
        <f>""</f>
        <v/>
      </c>
      <c r="FI71" t="str">
        <f>""</f>
        <v/>
      </c>
      <c r="FJ71" t="str">
        <f>""</f>
        <v/>
      </c>
      <c r="FK71" t="str">
        <f>""</f>
        <v/>
      </c>
      <c r="FL71" t="str">
        <f>""</f>
        <v/>
      </c>
      <c r="FM71" t="str">
        <f>""</f>
        <v/>
      </c>
      <c r="FN71" t="str">
        <f>""</f>
        <v/>
      </c>
      <c r="FO71" t="str">
        <f>""</f>
        <v/>
      </c>
      <c r="FP71" t="str">
        <f>""</f>
        <v/>
      </c>
      <c r="FQ71" t="str">
        <f>""</f>
        <v/>
      </c>
    </row>
    <row r="72" spans="1:173" x14ac:dyDescent="0.25">
      <c r="A72" t="str">
        <f>$A$31</f>
        <v xml:space="preserve">    Port of Oakland (TEU)</v>
      </c>
      <c r="B72" t="str">
        <f>$B$31</f>
        <v>POOKTOTL Index</v>
      </c>
      <c r="C72" t="str">
        <f>$C$31</f>
        <v>PX385</v>
      </c>
      <c r="D72" t="str">
        <f>$D$31</f>
        <v>INTERVAL_SUM</v>
      </c>
      <c r="E72" t="str">
        <f>$E$31</f>
        <v>Dynamic</v>
      </c>
      <c r="F72" t="str">
        <f ca="1">_xll.BDP($B$31,$C$31,CONCATENATE("PX391=", $F$53), CONCATENATE("PX392=",$F$54), CONCATENATE("DS004=",$B$46), "Fill=B")</f>
        <v/>
      </c>
      <c r="G72" t="str">
        <f ca="1">_xll.BDP($B$31,$C$31,CONCATENATE("PX391=", $G$53), CONCATENATE("PX392=",$G$54), CONCATENATE("DS004=",$B$46), "Fill=B")</f>
        <v/>
      </c>
      <c r="H72">
        <f ca="1">_xll.BDP($B$31,$C$31,CONCATENATE("PX391=", $H$53), CONCATENATE("PX392=",$H$54), CONCATENATE("DS004=",$B$46), "Fill=B")</f>
        <v>171822</v>
      </c>
      <c r="I72">
        <f ca="1">_xll.BDP($B$31,$C$31,CONCATENATE("PX391=", $I$53), CONCATENATE("PX392=",$I$54), CONCATENATE("DS004=",$B$46), "Fill=B")</f>
        <v>179161</v>
      </c>
      <c r="J72">
        <f ca="1">_xll.BDP($B$31,$C$31,CONCATENATE("PX391=", $J$53), CONCATENATE("PX392=",$J$54), CONCATENATE("DS004=",$B$46), "Fill=B")</f>
        <v>181555</v>
      </c>
      <c r="K72">
        <f ca="1">_xll.BDP($B$31,$C$31,CONCATENATE("PX391=", $K$53), CONCATENATE("PX392=",$K$54), CONCATENATE("DS004=",$B$46), "Fill=B")</f>
        <v>155827</v>
      </c>
      <c r="L72">
        <f ca="1">_xll.BDP($B$31,$C$31,CONCATENATE("PX391=", $L$53), CONCATENATE("PX392=",$L$54), CONCATENATE("DS004=",$B$46), "Fill=B")</f>
        <v>178513</v>
      </c>
      <c r="M72">
        <f ca="1">_xll.BDP($B$31,$C$31,CONCATENATE("PX391=", $M$53), CONCATENATE("PX392=",$M$54), CONCATENATE("DS004=",$B$46), "Fill=B")</f>
        <v>174482</v>
      </c>
      <c r="N72">
        <f ca="1">_xll.BDP($B$31,$C$31,CONCATENATE("PX391=", $N$53), CONCATENATE("PX392=",$N$54), CONCATENATE("DS004=",$B$46), "Fill=B")</f>
        <v>170268</v>
      </c>
      <c r="O72">
        <f ca="1">_xll.BDP($B$31,$C$31,CONCATENATE("PX391=", $O$53), CONCATENATE("PX392=",$O$54), CONCATENATE("DS004=",$B$46), "Fill=B")</f>
        <v>153837</v>
      </c>
      <c r="P72">
        <f ca="1">_xll.BDP($B$31,$C$31,CONCATENATE("PX391=", $P$53), CONCATENATE("PX392=",$P$54), CONCATENATE("DS004=",$B$46), "Fill=B")</f>
        <v>179228</v>
      </c>
      <c r="Q72">
        <f ca="1">_xll.BDP($B$31,$C$31,CONCATENATE("PX391=", $Q$53), CONCATENATE("PX392=",$Q$54), CONCATENATE("DS004=",$B$46), "Fill=B")</f>
        <v>163027</v>
      </c>
      <c r="R72">
        <f ca="1">_xll.BDP($B$31,$C$31,CONCATENATE("PX391=", $R$53), CONCATENATE("PX392=",$R$54), CONCATENATE("DS004=",$B$46), "Fill=B")</f>
        <v>184606</v>
      </c>
      <c r="S72">
        <f ca="1">_xll.BDP($B$31,$C$31,CONCATENATE("PX391=", $S$53), CONCATENATE("PX392=",$S$54), CONCATENATE("DS004=",$B$46), "Fill=B")</f>
        <v>202487</v>
      </c>
      <c r="T72">
        <f ca="1">_xll.BDP($B$31,$C$31,CONCATENATE("PX391=", $T$53), CONCATENATE("PX392=",$T$54), CONCATENATE("DS004=",$B$46), "Fill=B")</f>
        <v>184729</v>
      </c>
      <c r="U72">
        <f ca="1">_xll.BDP($B$31,$C$31,CONCATENATE("PX391=", $U$53), CONCATENATE("PX392=",$U$54), CONCATENATE("DS004=",$B$46), "Fill=B")</f>
        <v>211123</v>
      </c>
      <c r="V72">
        <f ca="1">_xll.BDP($B$31,$C$31,CONCATENATE("PX391=", $V$53), CONCATENATE("PX392=",$V$54), CONCATENATE("DS004=",$B$46), "Fill=B")</f>
        <v>160356</v>
      </c>
      <c r="W72">
        <f ca="1">_xll.BDP($B$31,$C$31,CONCATENATE("PX391=", $W$53), CONCATENATE("PX392=",$W$54), CONCATENATE("DS004=",$B$46), "Fill=B")</f>
        <v>216096</v>
      </c>
      <c r="X72">
        <f ca="1">_xll.BDP($B$31,$C$31,CONCATENATE("PX391=", $X$53), CONCATENATE("PX392=",$X$54), CONCATENATE("DS004=",$B$46), "Fill=B")</f>
        <v>224302</v>
      </c>
      <c r="Y72">
        <f ca="1">_xll.BDP($B$31,$C$31,CONCATENATE("PX391=", $Y$53), CONCATENATE("PX392=",$Y$54), CONCATENATE("DS004=",$B$46), "Fill=B")</f>
        <v>188442</v>
      </c>
      <c r="Z72">
        <f ca="1">_xll.BDP($B$31,$C$31,CONCATENATE("PX391=", $Z$53), CONCATENATE("PX392=",$Z$54), CONCATENATE("DS004=",$B$46), "Fill=B")</f>
        <v>214461</v>
      </c>
      <c r="AA72">
        <f ca="1">_xll.BDP($B$31,$C$31,CONCATENATE("PX391=", $AA$53), CONCATENATE("PX392=",$AA$54), CONCATENATE("DS004=",$B$46), "Fill=B")</f>
        <v>194784</v>
      </c>
      <c r="AB72">
        <f ca="1">_xll.BDP($B$31,$C$31,CONCATENATE("PX391=", $AB$53), CONCATENATE("PX392=",$AB$54), CONCATENATE("DS004=",$B$46), "Fill=B")</f>
        <v>193195</v>
      </c>
      <c r="AC72">
        <f ca="1">_xll.BDP($B$31,$C$31,CONCATENATE("PX391=", $AC$53), CONCATENATE("PX392=",$AC$54), CONCATENATE("DS004=",$B$46), "Fill=B")</f>
        <v>169650</v>
      </c>
      <c r="AD72">
        <f ca="1">_xll.BDP($B$31,$C$31,CONCATENATE("PX391=", $AD$53), CONCATENATE("PX392=",$AD$54), CONCATENATE("DS004=",$B$46), "Fill=B")</f>
        <v>189096</v>
      </c>
      <c r="AE72">
        <f ca="1">_xll.BDP($B$31,$C$31,CONCATENATE("PX391=", $AE$53), CONCATENATE("PX392=",$AE$54), CONCATENATE("DS004=",$B$46), "Fill=B")</f>
        <v>173308</v>
      </c>
      <c r="AF72">
        <f ca="1">_xll.BDP($B$31,$C$31,CONCATENATE("PX391=", $AF$53), CONCATENATE("PX392=",$AF$54), CONCATENATE("DS004=",$B$46), "Fill=B")</f>
        <v>183273</v>
      </c>
      <c r="AG72">
        <f ca="1">_xll.BDP($B$31,$C$31,CONCATENATE("PX391=", $AG$53), CONCATENATE("PX392=",$AG$54), CONCATENATE("DS004=",$B$46), "Fill=B")</f>
        <v>220050</v>
      </c>
      <c r="AH72">
        <f ca="1">_xll.BDP($B$31,$C$31,CONCATENATE("PX391=", $AH$53), CONCATENATE("PX392=",$AH$54), CONCATENATE("DS004=",$B$46), "Fill=B")</f>
        <v>211394</v>
      </c>
      <c r="AI72">
        <f ca="1">_xll.BDP($B$31,$C$31,CONCATENATE("PX391=", $AI$53), CONCATENATE("PX392=",$AI$54), CONCATENATE("DS004=",$B$46), "Fill=B")</f>
        <v>222483</v>
      </c>
      <c r="AJ72">
        <f ca="1">_xll.BDP($B$31,$C$31,CONCATENATE("PX391=", $AJ$53), CONCATENATE("PX392=",$AJ$54), CONCATENATE("DS004=",$B$46), "Fill=B")</f>
        <v>226408</v>
      </c>
      <c r="AK72">
        <f ca="1">_xll.BDP($B$31,$C$31,CONCATENATE("PX391=", $AK$53), CONCATENATE("PX392=",$AK$54), CONCATENATE("DS004=",$B$46), "Fill=B")</f>
        <v>221838</v>
      </c>
      <c r="AL72">
        <f ca="1">_xll.BDP($B$31,$C$31,CONCATENATE("PX391=", $AL$53), CONCATENATE("PX392=",$AL$54), CONCATENATE("DS004=",$B$46), "Fill=B")</f>
        <v>241467</v>
      </c>
      <c r="AM72">
        <f ca="1">_xll.BDP($B$31,$C$31,CONCATENATE("PX391=", $AM$53), CONCATENATE("PX392=",$AM$54), CONCATENATE("DS004=",$B$46), "Fill=B")</f>
        <v>190489</v>
      </c>
      <c r="AN72">
        <f ca="1">_xll.BDP($B$31,$C$31,CONCATENATE("PX391=", $AN$53), CONCATENATE("PX392=",$AN$54), CONCATENATE("DS004=",$B$46), "Fill=B")</f>
        <v>199098</v>
      </c>
      <c r="AO72">
        <f ca="1">_xll.BDP($B$31,$C$31,CONCATENATE("PX391=", $AO$53), CONCATENATE("PX392=",$AO$54), CONCATENATE("DS004=",$B$46), "Fill=B")</f>
        <v>208339</v>
      </c>
      <c r="AP72">
        <f ca="1">_xll.BDP($B$31,$C$31,CONCATENATE("PX391=", $AP$53), CONCATENATE("PX392=",$AP$54), CONCATENATE("DS004=",$B$46), "Fill=B")</f>
        <v>197695</v>
      </c>
      <c r="AQ72">
        <f ca="1">_xll.BDP($B$31,$C$31,CONCATENATE("PX391=", $AQ$53), CONCATENATE("PX392=",$AQ$54), CONCATENATE("DS004=",$B$46), "Fill=B")</f>
        <v>216664</v>
      </c>
      <c r="AR72">
        <f ca="1">_xll.BDP($B$31,$C$31,CONCATENATE("PX391=", $AR$53), CONCATENATE("PX392=",$AR$54), CONCATENATE("DS004=",$B$46), "Fill=B")</f>
        <v>225807</v>
      </c>
      <c r="AS72">
        <f ca="1">_xll.BDP($B$31,$C$31,CONCATENATE("PX391=", $AS$53), CONCATENATE("PX392=",$AS$54), CONCATENATE("DS004=",$B$46), "Fill=B")</f>
        <v>225489</v>
      </c>
      <c r="AT72">
        <f ca="1">_xll.BDP($B$31,$C$31,CONCATENATE("PX391=", $AT$53), CONCATENATE("PX392=",$AT$54), CONCATENATE("DS004=",$B$46), "Fill=B")</f>
        <v>219080</v>
      </c>
      <c r="AU72">
        <f ca="1">_xll.BDP($B$31,$C$31,CONCATENATE("PX391=", $AU$53), CONCATENATE("PX392=",$AU$54), CONCATENATE("DS004=",$B$46), "Fill=B")</f>
        <v>199011</v>
      </c>
      <c r="AV72">
        <f ca="1">_xll.BDP($B$31,$C$31,CONCATENATE("PX391=", $AV$53), CONCATENATE("PX392=",$AV$54), CONCATENATE("DS004=",$B$46), "Fill=B")</f>
        <v>185595</v>
      </c>
      <c r="AW72">
        <f ca="1">_xll.BDP($B$31,$C$31,CONCATENATE("PX391=", $AW$53), CONCATENATE("PX392=",$AW$54), CONCATENATE("DS004=",$B$46), "Fill=B")</f>
        <v>201918</v>
      </c>
      <c r="AX72">
        <f ca="1">_xll.BDP($B$31,$C$31,CONCATENATE("PX391=", $AX$53), CONCATENATE("PX392=",$AX$54), CONCATENATE("DS004=",$B$46), "Fill=B")</f>
        <v>190188</v>
      </c>
      <c r="AY72">
        <f ca="1">_xll.BDP($B$31,$C$31,CONCATENATE("PX391=", $AY$53), CONCATENATE("PX392=",$AY$54), CONCATENATE("DS004=",$B$46), "Fill=B")</f>
        <v>180875</v>
      </c>
      <c r="AZ72">
        <f ca="1">_xll.BDP($B$31,$C$31,CONCATENATE("PX391=", $AZ$53), CONCATENATE("PX392=",$AZ$54), CONCATENATE("DS004=",$B$46), "Fill=B")</f>
        <v>211228</v>
      </c>
      <c r="BA72">
        <f ca="1">_xll.BDP($B$31,$C$31,CONCATENATE("PX391=", $BA$53), CONCATENATE("PX392=",$BA$54), CONCATENATE("DS004=",$B$46), "Fill=B")</f>
        <v>193963</v>
      </c>
      <c r="BB72">
        <f ca="1">_xll.BDP($B$31,$C$31,CONCATENATE("PX391=", $BB$53), CONCATENATE("PX392=",$BB$54), CONCATENATE("DS004=",$B$46), "Fill=B")</f>
        <v>197360</v>
      </c>
      <c r="BC72">
        <f ca="1">_xll.BDP($B$31,$C$31,CONCATENATE("PX391=", $BC$53), CONCATENATE("PX392=",$BC$54), CONCATENATE("DS004=",$B$46), "Fill=B")</f>
        <v>204880</v>
      </c>
      <c r="BD72">
        <f ca="1">_xll.BDP($B$31,$C$31,CONCATENATE("PX391=", $BD$53), CONCATENATE("PX392=",$BD$54), CONCATENATE("DS004=",$B$46), "Fill=B")</f>
        <v>206544</v>
      </c>
      <c r="BE72">
        <f ca="1">_xll.BDP($B$31,$C$31,CONCATENATE("PX391=", $BE$53), CONCATENATE("PX392=",$BE$54), CONCATENATE("DS004=",$B$46), "Fill=B")</f>
        <v>224537</v>
      </c>
      <c r="BF72">
        <f ca="1">_xll.BDP($B$31,$C$31,CONCATENATE("PX391=", $BF$53), CONCATENATE("PX392=",$BF$54), CONCATENATE("DS004=",$B$46), "Fill=B")</f>
        <v>218191</v>
      </c>
      <c r="BG72">
        <f ca="1">_xll.BDP($B$31,$C$31,CONCATENATE("PX391=", $BG$53), CONCATENATE("PX392=",$BG$54), CONCATENATE("DS004=",$B$46), "Fill=B")</f>
        <v>203730</v>
      </c>
      <c r="BH72">
        <f ca="1">_xll.BDP($B$31,$C$31,CONCATENATE("PX391=", $BH$53), CONCATENATE("PX392=",$BH$54), CONCATENATE("DS004=",$B$46), "Fill=B")</f>
        <v>223101</v>
      </c>
      <c r="BI72">
        <f ca="1">_xll.BDP($B$31,$C$31,CONCATENATE("PX391=", $BI$53), CONCATENATE("PX392=",$BI$54), CONCATENATE("DS004=",$B$46), "Fill=B")</f>
        <v>216003</v>
      </c>
      <c r="BJ72">
        <f ca="1">_xll.BDP($B$31,$C$31,CONCATENATE("PX391=", $BJ$53), CONCATENATE("PX392=",$BJ$54), CONCATENATE("DS004=",$B$46), "Fill=B")</f>
        <v>213972</v>
      </c>
      <c r="BK72">
        <f ca="1">_xll.BDP($B$31,$C$31,CONCATENATE("PX391=", $BK$53), CONCATENATE("PX392=",$BK$54), CONCATENATE("DS004=",$B$46), "Fill=B")</f>
        <v>185685</v>
      </c>
      <c r="BL72">
        <f ca="1">_xll.BDP($B$31,$C$31,CONCATENATE("PX391=", $BL$53), CONCATENATE("PX392=",$BL$54), CONCATENATE("DS004=",$B$46), "Fill=B")</f>
        <v>212493</v>
      </c>
      <c r="BM72">
        <f ca="1">_xll.BDP($B$31,$C$31,CONCATENATE("PX391=", $BM$53), CONCATENATE("PX392=",$BM$54), CONCATENATE("DS004=",$B$46), "Fill=B")</f>
        <v>220922</v>
      </c>
      <c r="BN72">
        <f ca="1">_xll.BDP($B$31,$C$31,CONCATENATE("PX391=", $BN$53), CONCATENATE("PX392=",$BN$54), CONCATENATE("DS004=",$B$46), "Fill=B")</f>
        <v>219125</v>
      </c>
      <c r="BO72">
        <f ca="1">_xll.BDP($B$31,$C$31,CONCATENATE("PX391=", $BO$53), CONCATENATE("PX392=",$BO$54), CONCATENATE("DS004=",$B$46), "Fill=B")</f>
        <v>226052</v>
      </c>
      <c r="BP72">
        <f ca="1">_xll.BDP($B$31,$C$31,CONCATENATE("PX391=", $BP$53), CONCATENATE("PX392=",$BP$54), CONCATENATE("DS004=",$B$46), "Fill=B")</f>
        <v>220068</v>
      </c>
      <c r="BQ72">
        <f ca="1">_xll.BDP($B$31,$C$31,CONCATENATE("PX391=", $BQ$53), CONCATENATE("PX392=",$BQ$54), CONCATENATE("DS004=",$B$46), "Fill=B")</f>
        <v>231188</v>
      </c>
      <c r="BR72">
        <f ca="1">_xll.BDP($B$31,$C$31,CONCATENATE("PX391=", $BR$53), CONCATENATE("PX392=",$BR$54), CONCATENATE("DS004=",$B$46), "Fill=B")</f>
        <v>217407</v>
      </c>
      <c r="BS72">
        <f ca="1">_xll.BDP($B$31,$C$31,CONCATENATE("PX391=", $BS$53), CONCATENATE("PX392=",$BS$54), CONCATENATE("DS004=",$B$46), "Fill=B")</f>
        <v>215496</v>
      </c>
      <c r="BT72">
        <f ca="1">_xll.BDP($B$31,$C$31,CONCATENATE("PX391=", $BT$53), CONCATENATE("PX392=",$BT$54), CONCATENATE("DS004=",$B$46), "Fill=B")</f>
        <v>204767</v>
      </c>
      <c r="BU72">
        <f ca="1">_xll.BDP($B$31,$C$31,CONCATENATE("PX391=", $BU$53), CONCATENATE("PX392=",$BU$54), CONCATENATE("DS004=",$B$46), "Fill=B")</f>
        <v>204017</v>
      </c>
      <c r="BV72">
        <f ca="1">_xll.BDP($B$31,$C$31,CONCATENATE("PX391=", $BV$53), CONCATENATE("PX392=",$BV$54), CONCATENATE("DS004=",$B$46), "Fill=B")</f>
        <v>193341</v>
      </c>
      <c r="BW72">
        <f ca="1">_xll.BDP($B$31,$C$31,CONCATENATE("PX391=", $BW$53), CONCATENATE("PX392=",$BW$54), CONCATENATE("DS004=",$B$46), "Fill=B")</f>
        <v>188175</v>
      </c>
      <c r="BX72">
        <f ca="1">_xll.BDP($B$31,$C$31,CONCATENATE("PX391=", $BX$53), CONCATENATE("PX392=",$BX$54), CONCATENATE("DS004=",$B$46), "Fill=B")</f>
        <v>205840</v>
      </c>
      <c r="BY72">
        <f ca="1">_xll.BDP($B$31,$C$31,CONCATENATE("PX391=", $BY$53), CONCATENATE("PX392=",$BY$54), CONCATENATE("DS004=",$B$46), "Fill=B")</f>
        <v>206836</v>
      </c>
      <c r="BZ72">
        <f ca="1">_xll.BDP($B$31,$C$31,CONCATENATE("PX391=", $BZ$53), CONCATENATE("PX392=",$BZ$54), CONCATENATE("DS004=",$B$46), "Fill=B")</f>
        <v>186069</v>
      </c>
      <c r="CA72">
        <f ca="1">_xll.BDP($B$31,$C$31,CONCATENATE("PX391=", $CA$53), CONCATENATE("PX392=",$CA$54), CONCATENATE("DS004=",$B$46), "Fill=B")</f>
        <v>209914</v>
      </c>
      <c r="CB72">
        <f ca="1">_xll.BDP($B$31,$C$31,CONCATENATE("PX391=", $CB$53), CONCATENATE("PX392=",$CB$54), CONCATENATE("DS004=",$B$46), "Fill=B")</f>
        <v>211470</v>
      </c>
      <c r="CC72">
        <f ca="1">_xll.BDP($B$31,$C$31,CONCATENATE("PX391=", $CC$53), CONCATENATE("PX392=",$CC$54), CONCATENATE("DS004=",$B$46), "Fill=B")</f>
        <v>212655</v>
      </c>
      <c r="CD72">
        <f ca="1">_xll.BDP($B$31,$C$31,CONCATENATE("PX391=", $CD$53), CONCATENATE("PX392=",$CD$54), CONCATENATE("DS004=",$B$46), "Fill=B")</f>
        <v>209890</v>
      </c>
      <c r="CE72">
        <f ca="1">_xll.BDP($B$31,$C$31,CONCATENATE("PX391=", $CE$53), CONCATENATE("PX392=",$CE$54), CONCATENATE("DS004=",$B$46), "Fill=B")</f>
        <v>204255</v>
      </c>
      <c r="CF72">
        <f ca="1">_xll.BDP($B$31,$C$31,CONCATENATE("PX391=", $CF$53), CONCATENATE("PX392=",$CF$54), CONCATENATE("DS004=",$B$46), "Fill=B")</f>
        <v>210960</v>
      </c>
      <c r="CG72">
        <f ca="1">_xll.BDP($B$31,$C$31,CONCATENATE("PX391=", $CG$53), CONCATENATE("PX392=",$CG$54), CONCATENATE("DS004=",$B$46), "Fill=B")</f>
        <v>197501</v>
      </c>
      <c r="CH72">
        <f ca="1">_xll.BDP($B$31,$C$31,CONCATENATE("PX391=", $CH$53), CONCATENATE("PX392=",$CH$54), CONCATENATE("DS004=",$B$46), "Fill=B")</f>
        <v>199077</v>
      </c>
      <c r="CI72">
        <f ca="1">_xll.BDP($B$31,$C$31,CONCATENATE("PX391=", $CI$53), CONCATENATE("PX392=",$CI$54), CONCATENATE("DS004=",$B$46), "Fill=B")</f>
        <v>174902</v>
      </c>
      <c r="CJ72">
        <f ca="1">_xll.BDP($B$31,$C$31,CONCATENATE("PX391=", $CJ$53), CONCATENATE("PX392=",$CJ$54), CONCATENATE("DS004=",$B$46), "Fill=B")</f>
        <v>197310</v>
      </c>
      <c r="CK72">
        <f ca="1">_xll.BDP($B$31,$C$31,CONCATENATE("PX391=", $CK$53), CONCATENATE("PX392=",$CK$54), CONCATENATE("DS004=",$B$46), "Fill=B")</f>
        <v>199155</v>
      </c>
      <c r="CL72" t="str">
        <f>""</f>
        <v/>
      </c>
      <c r="CM72" t="str">
        <f>""</f>
        <v/>
      </c>
      <c r="CN72" t="str">
        <f>""</f>
        <v/>
      </c>
      <c r="CO72" t="str">
        <f>""</f>
        <v/>
      </c>
      <c r="CP72" t="str">
        <f>""</f>
        <v/>
      </c>
      <c r="CQ72" t="str">
        <f>""</f>
        <v/>
      </c>
      <c r="CR72" t="str">
        <f>""</f>
        <v/>
      </c>
      <c r="CS72" t="str">
        <f>""</f>
        <v/>
      </c>
      <c r="CT72" t="str">
        <f>""</f>
        <v/>
      </c>
      <c r="CU72" t="str">
        <f>""</f>
        <v/>
      </c>
      <c r="CV72" t="str">
        <f>""</f>
        <v/>
      </c>
      <c r="CW72" t="str">
        <f>""</f>
        <v/>
      </c>
      <c r="CX72" t="str">
        <f>""</f>
        <v/>
      </c>
      <c r="CY72" t="str">
        <f>""</f>
        <v/>
      </c>
      <c r="CZ72" t="str">
        <f>""</f>
        <v/>
      </c>
      <c r="DA72" t="str">
        <f>""</f>
        <v/>
      </c>
      <c r="DB72" t="str">
        <f>""</f>
        <v/>
      </c>
      <c r="DC72" t="str">
        <f>""</f>
        <v/>
      </c>
      <c r="DD72" t="str">
        <f>""</f>
        <v/>
      </c>
      <c r="DE72" t="str">
        <f>""</f>
        <v/>
      </c>
      <c r="DF72" t="str">
        <f>""</f>
        <v/>
      </c>
      <c r="DG72" t="str">
        <f>""</f>
        <v/>
      </c>
      <c r="DH72" t="str">
        <f>""</f>
        <v/>
      </c>
      <c r="DI72" t="str">
        <f>""</f>
        <v/>
      </c>
      <c r="DJ72" t="str">
        <f>""</f>
        <v/>
      </c>
      <c r="DK72" t="str">
        <f>""</f>
        <v/>
      </c>
      <c r="DL72" t="str">
        <f>""</f>
        <v/>
      </c>
      <c r="DM72" t="str">
        <f>""</f>
        <v/>
      </c>
      <c r="DN72" t="str">
        <f>""</f>
        <v/>
      </c>
      <c r="DO72" t="str">
        <f>""</f>
        <v/>
      </c>
      <c r="DP72" t="str">
        <f>""</f>
        <v/>
      </c>
      <c r="DQ72" t="str">
        <f>""</f>
        <v/>
      </c>
      <c r="DR72" t="str">
        <f>""</f>
        <v/>
      </c>
      <c r="DS72" t="str">
        <f>""</f>
        <v/>
      </c>
      <c r="DT72" t="str">
        <f>""</f>
        <v/>
      </c>
      <c r="DU72" t="str">
        <f>""</f>
        <v/>
      </c>
      <c r="DV72" t="str">
        <f>""</f>
        <v/>
      </c>
      <c r="DW72" t="str">
        <f>""</f>
        <v/>
      </c>
      <c r="DX72" t="str">
        <f>""</f>
        <v/>
      </c>
      <c r="DY72" t="str">
        <f>""</f>
        <v/>
      </c>
      <c r="DZ72" t="str">
        <f>""</f>
        <v/>
      </c>
      <c r="EA72" t="str">
        <f>""</f>
        <v/>
      </c>
      <c r="EB72" t="str">
        <f>""</f>
        <v/>
      </c>
      <c r="EC72" t="str">
        <f>""</f>
        <v/>
      </c>
      <c r="ED72" t="str">
        <f>""</f>
        <v/>
      </c>
      <c r="EE72" t="str">
        <f>""</f>
        <v/>
      </c>
      <c r="EF72" t="str">
        <f>""</f>
        <v/>
      </c>
      <c r="EG72" t="str">
        <f>""</f>
        <v/>
      </c>
      <c r="EH72" t="str">
        <f>""</f>
        <v/>
      </c>
      <c r="EI72" t="str">
        <f>""</f>
        <v/>
      </c>
      <c r="EJ72" t="str">
        <f>""</f>
        <v/>
      </c>
      <c r="EK72" t="str">
        <f>""</f>
        <v/>
      </c>
      <c r="EL72" t="str">
        <f>""</f>
        <v/>
      </c>
      <c r="EM72" t="str">
        <f>""</f>
        <v/>
      </c>
      <c r="EN72" t="str">
        <f>""</f>
        <v/>
      </c>
      <c r="EO72" t="str">
        <f>""</f>
        <v/>
      </c>
      <c r="EP72" t="str">
        <f>""</f>
        <v/>
      </c>
      <c r="EQ72" t="str">
        <f>""</f>
        <v/>
      </c>
      <c r="ER72" t="str">
        <f>""</f>
        <v/>
      </c>
      <c r="ES72" t="str">
        <f>""</f>
        <v/>
      </c>
      <c r="ET72" t="str">
        <f>""</f>
        <v/>
      </c>
      <c r="EU72" t="str">
        <f>""</f>
        <v/>
      </c>
      <c r="EV72" t="str">
        <f>""</f>
        <v/>
      </c>
      <c r="EW72" t="str">
        <f>""</f>
        <v/>
      </c>
      <c r="EX72" t="str">
        <f>""</f>
        <v/>
      </c>
      <c r="EY72" t="str">
        <f>""</f>
        <v/>
      </c>
      <c r="EZ72" t="str">
        <f>""</f>
        <v/>
      </c>
      <c r="FA72" t="str">
        <f>""</f>
        <v/>
      </c>
      <c r="FB72" t="str">
        <f>""</f>
        <v/>
      </c>
      <c r="FC72" t="str">
        <f>""</f>
        <v/>
      </c>
      <c r="FD72" t="str">
        <f>""</f>
        <v/>
      </c>
      <c r="FE72" t="str">
        <f>""</f>
        <v/>
      </c>
      <c r="FF72" t="str">
        <f>""</f>
        <v/>
      </c>
      <c r="FG72" t="str">
        <f>""</f>
        <v/>
      </c>
      <c r="FH72" t="str">
        <f>""</f>
        <v/>
      </c>
      <c r="FI72" t="str">
        <f>""</f>
        <v/>
      </c>
      <c r="FJ72" t="str">
        <f>""</f>
        <v/>
      </c>
      <c r="FK72" t="str">
        <f>""</f>
        <v/>
      </c>
      <c r="FL72" t="str">
        <f>""</f>
        <v/>
      </c>
      <c r="FM72" t="str">
        <f>""</f>
        <v/>
      </c>
      <c r="FN72" t="str">
        <f>""</f>
        <v/>
      </c>
      <c r="FO72" t="str">
        <f>""</f>
        <v/>
      </c>
      <c r="FP72" t="str">
        <f>""</f>
        <v/>
      </c>
      <c r="FQ72" t="str">
        <f>""</f>
        <v/>
      </c>
    </row>
    <row r="73" spans="1:173" x14ac:dyDescent="0.25">
      <c r="A73" t="str">
        <f>$A$32</f>
        <v xml:space="preserve">    Port of Virginia (TEU)</v>
      </c>
      <c r="B73" t="str">
        <f>$B$32</f>
        <v>POVATOTL Index</v>
      </c>
      <c r="C73" t="str">
        <f>$C$32</f>
        <v>PX385</v>
      </c>
      <c r="D73" t="str">
        <f>$D$32</f>
        <v>INTERVAL_SUM</v>
      </c>
      <c r="E73" t="str">
        <f>$E$32</f>
        <v>Dynamic</v>
      </c>
      <c r="F73" t="str">
        <f ca="1">_xll.BDP($B$32,$C$32,CONCATENATE("PX391=", $F$53), CONCATENATE("PX392=",$F$54), CONCATENATE("DS004=",$B$46), "Fill=B")</f>
        <v/>
      </c>
      <c r="G73" t="str">
        <f ca="1">_xll.BDP($B$32,$C$32,CONCATENATE("PX391=", $G$53), CONCATENATE("PX392=",$G$54), CONCATENATE("DS004=",$B$46), "Fill=B")</f>
        <v/>
      </c>
      <c r="H73" t="str">
        <f ca="1">_xll.BDP($B$32,$C$32,CONCATENATE("PX391=", $H$53), CONCATENATE("PX392=",$H$54), CONCATENATE("DS004=",$B$46), "Fill=B")</f>
        <v/>
      </c>
      <c r="I73">
        <f ca="1">_xll.BDP($B$32,$C$32,CONCATENATE("PX391=", $I$53), CONCATENATE("PX392=",$I$54), CONCATENATE("DS004=",$B$46), "Fill=B")</f>
        <v>287232</v>
      </c>
      <c r="J73">
        <f ca="1">_xll.BDP($B$32,$C$32,CONCATENATE("PX391=", $J$53), CONCATENATE("PX392=",$J$54), CONCATENATE("DS004=",$B$46), "Fill=B")</f>
        <v>298202</v>
      </c>
      <c r="K73">
        <f ca="1">_xll.BDP($B$32,$C$32,CONCATENATE("PX391=", $K$53), CONCATENATE("PX392=",$K$54), CONCATENATE("DS004=",$B$46), "Fill=B")</f>
        <v>263998</v>
      </c>
      <c r="L73">
        <f ca="1">_xll.BDP($B$32,$C$32,CONCATENATE("PX391=", $L$53), CONCATENATE("PX392=",$L$54), CONCATENATE("DS004=",$B$46), "Fill=B")</f>
        <v>265875</v>
      </c>
      <c r="M73">
        <f ca="1">_xll.BDP($B$32,$C$32,CONCATENATE("PX391=", $M$53), CONCATENATE("PX392=",$M$54), CONCATENATE("DS004=",$B$46), "Fill=B")</f>
        <v>256414</v>
      </c>
      <c r="N73">
        <f ca="1">_xll.BDP($B$32,$C$32,CONCATENATE("PX391=", $N$53), CONCATENATE("PX392=",$N$54), CONCATENATE("DS004=",$B$46), "Fill=B")</f>
        <v>248815</v>
      </c>
      <c r="O73">
        <f ca="1">_xll.BDP($B$32,$C$32,CONCATENATE("PX391=", $O$53), CONCATENATE("PX392=",$O$54), CONCATENATE("DS004=",$B$46), "Fill=B")</f>
        <v>256967</v>
      </c>
      <c r="P73">
        <f ca="1">_xll.BDP($B$32,$C$32,CONCATENATE("PX391=", $P$53), CONCATENATE("PX392=",$P$54), CONCATENATE("DS004=",$B$46), "Fill=B")</f>
        <v>288380</v>
      </c>
      <c r="Q73">
        <f ca="1">_xll.BDP($B$32,$C$32,CONCATENATE("PX391=", $Q$53), CONCATENATE("PX392=",$Q$54), CONCATENATE("DS004=",$B$46), "Fill=B")</f>
        <v>273965</v>
      </c>
      <c r="R73">
        <f ca="1">_xll.BDP($B$32,$C$32,CONCATENATE("PX391=", $R$53), CONCATENATE("PX392=",$R$54), CONCATENATE("DS004=",$B$46), "Fill=B")</f>
        <v>285943</v>
      </c>
      <c r="S73">
        <f ca="1">_xll.BDP($B$32,$C$32,CONCATENATE("PX391=", $S$53), CONCATENATE("PX392=",$S$54), CONCATENATE("DS004=",$B$46), "Fill=B")</f>
        <v>318452</v>
      </c>
      <c r="T73">
        <f ca="1">_xll.BDP($B$32,$C$32,CONCATENATE("PX391=", $T$53), CONCATENATE("PX392=",$T$54), CONCATENATE("DS004=",$B$46), "Fill=B")</f>
        <v>312230</v>
      </c>
      <c r="U73">
        <f ca="1">_xll.BDP($B$32,$C$32,CONCATENATE("PX391=", $U$53), CONCATENATE("PX392=",$U$54), CONCATENATE("DS004=",$B$46), "Fill=B")</f>
        <v>340926</v>
      </c>
      <c r="V73">
        <f ca="1">_xll.BDP($B$32,$C$32,CONCATENATE("PX391=", $V$53), CONCATENATE("PX392=",$V$54), CONCATENATE("DS004=",$B$46), "Fill=B")</f>
        <v>317691</v>
      </c>
      <c r="W73">
        <f ca="1">_xll.BDP($B$32,$C$32,CONCATENATE("PX391=", $W$53), CONCATENATE("PX392=",$W$54), CONCATENATE("DS004=",$B$46), "Fill=B")</f>
        <v>316250</v>
      </c>
      <c r="X73">
        <f ca="1">_xll.BDP($B$32,$C$32,CONCATENATE("PX391=", $X$53), CONCATENATE("PX392=",$X$54), CONCATENATE("DS004=",$B$46), "Fill=B")</f>
        <v>341611</v>
      </c>
      <c r="Y73">
        <f ca="1">_xll.BDP($B$32,$C$32,CONCATENATE("PX391=", $Y$53), CONCATENATE("PX392=",$Y$54), CONCATENATE("DS004=",$B$46), "Fill=B")</f>
        <v>323244</v>
      </c>
      <c r="Z73">
        <f ca="1">_xll.BDP($B$32,$C$32,CONCATENATE("PX391=", $Z$53), CONCATENATE("PX392=",$Z$54), CONCATENATE("DS004=",$B$46), "Fill=B")</f>
        <v>314698</v>
      </c>
      <c r="AA73">
        <f ca="1">_xll.BDP($B$32,$C$32,CONCATENATE("PX391=", $AA$53), CONCATENATE("PX392=",$AA$54), CONCATENATE("DS004=",$B$46), "Fill=B")</f>
        <v>296201</v>
      </c>
      <c r="AB73">
        <f ca="1">_xll.BDP($B$32,$C$32,CONCATENATE("PX391=", $AB$53), CONCATENATE("PX392=",$AB$54), CONCATENATE("DS004=",$B$46), "Fill=B")</f>
        <v>262020</v>
      </c>
      <c r="AC73">
        <f ca="1">_xll.BDP($B$32,$C$32,CONCATENATE("PX391=", $AC$53), CONCATENATE("PX392=",$AC$54), CONCATENATE("DS004=",$B$46), "Fill=B")</f>
        <v>325527</v>
      </c>
      <c r="AD73">
        <f ca="1">_xll.BDP($B$32,$C$32,CONCATENATE("PX391=", $AD$53), CONCATENATE("PX392=",$AD$54), CONCATENATE("DS004=",$B$46), "Fill=B")</f>
        <v>290759</v>
      </c>
      <c r="AE73">
        <f ca="1">_xll.BDP($B$32,$C$32,CONCATENATE("PX391=", $AE$53), CONCATENATE("PX392=",$AE$54), CONCATENATE("DS004=",$B$46), "Fill=B")</f>
        <v>318482</v>
      </c>
      <c r="AF73">
        <f ca="1">_xll.BDP($B$32,$C$32,CONCATENATE("PX391=", $AF$53), CONCATENATE("PX392=",$AF$54), CONCATENATE("DS004=",$B$46), "Fill=B")</f>
        <v>306216</v>
      </c>
      <c r="AG73">
        <f ca="1">_xll.BDP($B$32,$C$32,CONCATENATE("PX391=", $AG$53), CONCATENATE("PX392=",$AG$54), CONCATENATE("DS004=",$B$46), "Fill=B")</f>
        <v>307023</v>
      </c>
      <c r="AH73">
        <f ca="1">_xll.BDP($B$32,$C$32,CONCATENATE("PX391=", $AH$53), CONCATENATE("PX392=",$AH$54), CONCATENATE("DS004=",$B$46), "Fill=B")</f>
        <v>293126</v>
      </c>
      <c r="AI73">
        <f ca="1">_xll.BDP($B$32,$C$32,CONCATENATE("PX391=", $AI$53), CONCATENATE("PX392=",$AI$54), CONCATENATE("DS004=",$B$46), "Fill=B")</f>
        <v>281346</v>
      </c>
      <c r="AJ73">
        <f ca="1">_xll.BDP($B$32,$C$32,CONCATENATE("PX391=", $AJ$53), CONCATENATE("PX392=",$AJ$54), CONCATENATE("DS004=",$B$46), "Fill=B")</f>
        <v>314942</v>
      </c>
      <c r="AK73">
        <f ca="1">_xll.BDP($B$32,$C$32,CONCATENATE("PX391=", $AK$53), CONCATENATE("PX392=",$AK$54), CONCATENATE("DS004=",$B$46), "Fill=B")</f>
        <v>286405</v>
      </c>
      <c r="AL73">
        <f ca="1">_xll.BDP($B$32,$C$32,CONCATENATE("PX391=", $AL$53), CONCATENATE("PX392=",$AL$54), CONCATENATE("DS004=",$B$46), "Fill=B")</f>
        <v>279514</v>
      </c>
      <c r="AM73">
        <f ca="1">_xll.BDP($B$32,$C$32,CONCATENATE("PX391=", $AM$53), CONCATENATE("PX392=",$AM$54), CONCATENATE("DS004=",$B$46), "Fill=B")</f>
        <v>248526</v>
      </c>
      <c r="AN73">
        <f ca="1">_xll.BDP($B$32,$C$32,CONCATENATE("PX391=", $AN$53), CONCATENATE("PX392=",$AN$54), CONCATENATE("DS004=",$B$46), "Fill=B")</f>
        <v>270969</v>
      </c>
      <c r="AO73">
        <f ca="1">_xll.BDP($B$32,$C$32,CONCATENATE("PX391=", $AO$53), CONCATENATE("PX392=",$AO$54), CONCATENATE("DS004=",$B$46), "Fill=B")</f>
        <v>260401</v>
      </c>
      <c r="AP73">
        <f ca="1">_xll.BDP($B$32,$C$32,CONCATENATE("PX391=", $AP$53), CONCATENATE("PX392=",$AP$54), CONCATENATE("DS004=",$B$46), "Fill=B")</f>
        <v>279868</v>
      </c>
      <c r="AQ73">
        <f ca="1">_xll.BDP($B$32,$C$32,CONCATENATE("PX391=", $AQ$53), CONCATENATE("PX392=",$AQ$54), CONCATENATE("DS004=",$B$46), "Fill=B")</f>
        <v>274215</v>
      </c>
      <c r="AR73">
        <f ca="1">_xll.BDP($B$32,$C$32,CONCATENATE("PX391=", $AR$53), CONCATENATE("PX392=",$AR$54), CONCATENATE("DS004=",$B$46), "Fill=B")</f>
        <v>256439</v>
      </c>
      <c r="AS73">
        <f ca="1">_xll.BDP($B$32,$C$32,CONCATENATE("PX391=", $AS$53), CONCATENATE("PX392=",$AS$54), CONCATENATE("DS004=",$B$46), "Fill=B")</f>
        <v>247349</v>
      </c>
      <c r="AT73">
        <f ca="1">_xll.BDP($B$32,$C$32,CONCATENATE("PX391=", $AT$53), CONCATENATE("PX392=",$AT$54), CONCATENATE("DS004=",$B$46), "Fill=B")</f>
        <v>221028</v>
      </c>
      <c r="AU73">
        <f ca="1">_xll.BDP($B$32,$C$32,CONCATENATE("PX391=", $AU$53), CONCATENATE("PX392=",$AU$54), CONCATENATE("DS004=",$B$46), "Fill=B")</f>
        <v>210669</v>
      </c>
      <c r="AV73">
        <f ca="1">_xll.BDP($B$32,$C$32,CONCATENATE("PX391=", $AV$53), CONCATENATE("PX392=",$AV$54), CONCATENATE("DS004=",$B$46), "Fill=B")</f>
        <v>201837</v>
      </c>
      <c r="AW73">
        <f ca="1">_xll.BDP($B$32,$C$32,CONCATENATE("PX391=", $AW$53), CONCATENATE("PX392=",$AW$54), CONCATENATE("DS004=",$B$46), "Fill=B")</f>
        <v>207244</v>
      </c>
      <c r="AX73">
        <f ca="1">_xll.BDP($B$32,$C$32,CONCATENATE("PX391=", $AX$53), CONCATENATE("PX392=",$AX$54), CONCATENATE("DS004=",$B$46), "Fill=B")</f>
        <v>219315</v>
      </c>
      <c r="AY73">
        <f ca="1">_xll.BDP($B$32,$C$32,CONCATENATE("PX391=", $AY$53), CONCATENATE("PX392=",$AY$54), CONCATENATE("DS004=",$B$46), "Fill=B")</f>
        <v>207816</v>
      </c>
      <c r="AZ73">
        <f ca="1">_xll.BDP($B$32,$C$32,CONCATENATE("PX391=", $AZ$53), CONCATENATE("PX392=",$AZ$54), CONCATENATE("DS004=",$B$46), "Fill=B")</f>
        <v>227234</v>
      </c>
      <c r="BA73">
        <f ca="1">_xll.BDP($B$32,$C$32,CONCATENATE("PX391=", $BA$53), CONCATENATE("PX392=",$BA$54), CONCATENATE("DS004=",$B$46), "Fill=B")</f>
        <v>224902</v>
      </c>
      <c r="BB73">
        <f ca="1">_xll.BDP($B$32,$C$32,CONCATENATE("PX391=", $BB$53), CONCATENATE("PX392=",$BB$54), CONCATENATE("DS004=",$B$46), "Fill=B")</f>
        <v>226982</v>
      </c>
      <c r="BC73">
        <f ca="1">_xll.BDP($B$32,$C$32,CONCATENATE("PX391=", $BC$53), CONCATENATE("PX392=",$BC$54), CONCATENATE("DS004=",$B$46), "Fill=B")</f>
        <v>266976</v>
      </c>
      <c r="BD73">
        <f ca="1">_xll.BDP($B$32,$C$32,CONCATENATE("PX391=", $BD$53), CONCATENATE("PX392=",$BD$54), CONCATENATE("DS004=",$B$46), "Fill=B")</f>
        <v>241416</v>
      </c>
      <c r="BE73">
        <f ca="1">_xll.BDP($B$32,$C$32,CONCATENATE("PX391=", $BE$53), CONCATENATE("PX392=",$BE$54), CONCATENATE("DS004=",$B$46), "Fill=B")</f>
        <v>257675</v>
      </c>
      <c r="BF73">
        <f ca="1">_xll.BDP($B$32,$C$32,CONCATENATE("PX391=", $BF$53), CONCATENATE("PX392=",$BF$54), CONCATENATE("DS004=",$B$46), "Fill=B")</f>
        <v>265559</v>
      </c>
      <c r="BG73">
        <f ca="1">_xll.BDP($B$32,$C$32,CONCATENATE("PX391=", $BG$53), CONCATENATE("PX392=",$BG$54), CONCATENATE("DS004=",$B$46), "Fill=B")</f>
        <v>239329</v>
      </c>
      <c r="BH73">
        <f ca="1">_xll.BDP($B$32,$C$32,CONCATENATE("PX391=", $BH$53), CONCATENATE("PX392=",$BH$54), CONCATENATE("DS004=",$B$46), "Fill=B")</f>
        <v>260894</v>
      </c>
      <c r="BI73">
        <f ca="1">_xll.BDP($B$32,$C$32,CONCATENATE("PX391=", $BI$53), CONCATENATE("PX392=",$BI$54), CONCATENATE("DS004=",$B$46), "Fill=B")</f>
        <v>245933</v>
      </c>
      <c r="BJ73">
        <f ca="1">_xll.BDP($B$32,$C$32,CONCATENATE("PX391=", $BJ$53), CONCATENATE("PX392=",$BJ$54), CONCATENATE("DS004=",$B$46), "Fill=B")</f>
        <v>240035</v>
      </c>
      <c r="BK73">
        <f ca="1">_xll.BDP($B$32,$C$32,CONCATENATE("PX391=", $BK$53), CONCATENATE("PX392=",$BK$54), CONCATENATE("DS004=",$B$46), "Fill=B")</f>
        <v>228151</v>
      </c>
      <c r="BL73">
        <f ca="1">_xll.BDP($B$32,$C$32,CONCATENATE("PX391=", $BL$53), CONCATENATE("PX392=",$BL$54), CONCATENATE("DS004=",$B$46), "Fill=B")</f>
        <v>240111</v>
      </c>
      <c r="BM73">
        <f ca="1">_xll.BDP($B$32,$C$32,CONCATENATE("PX391=", $BM$53), CONCATENATE("PX392=",$BM$54), CONCATENATE("DS004=",$B$46), "Fill=B")</f>
        <v>241121</v>
      </c>
      <c r="BN73">
        <f ca="1">_xll.BDP($B$32,$C$32,CONCATENATE("PX391=", $BN$53), CONCATENATE("PX392=",$BN$54), CONCATENATE("DS004=",$B$46), "Fill=B")</f>
        <v>239890</v>
      </c>
      <c r="BO73">
        <f ca="1">_xll.BDP($B$32,$C$32,CONCATENATE("PX391=", $BO$53), CONCATENATE("PX392=",$BO$54), CONCATENATE("DS004=",$B$46), "Fill=B")</f>
        <v>270538</v>
      </c>
      <c r="BP73">
        <f ca="1">_xll.BDP($B$32,$C$32,CONCATENATE("PX391=", $BP$53), CONCATENATE("PX392=",$BP$54), CONCATENATE("DS004=",$B$46), "Fill=B")</f>
        <v>221355</v>
      </c>
      <c r="BQ73">
        <f ca="1">_xll.BDP($B$32,$C$32,CONCATENATE("PX391=", $BQ$53), CONCATENATE("PX392=",$BQ$54), CONCATENATE("DS004=",$B$46), "Fill=B")</f>
        <v>258821</v>
      </c>
      <c r="BR73">
        <f ca="1">_xll.BDP($B$32,$C$32,CONCATENATE("PX391=", $BR$53), CONCATENATE("PX392=",$BR$54), CONCATENATE("DS004=",$B$46), "Fill=B")</f>
        <v>252679</v>
      </c>
      <c r="BS73">
        <f ca="1">_xll.BDP($B$32,$C$32,CONCATENATE("PX391=", $BS$53), CONCATENATE("PX392=",$BS$54), CONCATENATE("DS004=",$B$46), "Fill=B")</f>
        <v>223840</v>
      </c>
      <c r="BT73">
        <f ca="1">_xll.BDP($B$32,$C$32,CONCATENATE("PX391=", $BT$53), CONCATENATE("PX392=",$BT$54), CONCATENATE("DS004=",$B$46), "Fill=B")</f>
        <v>236891</v>
      </c>
      <c r="BU73">
        <f ca="1">_xll.BDP($B$32,$C$32,CONCATENATE("PX391=", $BU$53), CONCATENATE("PX392=",$BU$54), CONCATENATE("DS004=",$B$46), "Fill=B")</f>
        <v>219281</v>
      </c>
      <c r="BV73">
        <f ca="1">_xll.BDP($B$32,$C$32,CONCATENATE("PX391=", $BV$53), CONCATENATE("PX392=",$BV$54), CONCATENATE("DS004=",$B$46), "Fill=B")</f>
        <v>252230</v>
      </c>
      <c r="BW73">
        <f ca="1">_xll.BDP($B$32,$C$32,CONCATENATE("PX391=", $BW$53), CONCATENATE("PX392=",$BW$54), CONCATENATE("DS004=",$B$46), "Fill=B")</f>
        <v>218727</v>
      </c>
      <c r="BX73">
        <f ca="1">_xll.BDP($B$32,$C$32,CONCATENATE("PX391=", $BX$53), CONCATENATE("PX392=",$BX$54), CONCATENATE("DS004=",$B$46), "Fill=B")</f>
        <v>220534</v>
      </c>
      <c r="BY73">
        <f ca="1">_xll.BDP($B$32,$C$32,CONCATENATE("PX391=", $BY$53), CONCATENATE("PX392=",$BY$54), CONCATENATE("DS004=",$B$46), "Fill=B")</f>
        <v>237525</v>
      </c>
      <c r="BZ73">
        <f ca="1">_xll.BDP($B$32,$C$32,CONCATENATE("PX391=", $BZ$53), CONCATENATE("PX392=",$BZ$54), CONCATENATE("DS004=",$B$46), "Fill=B")</f>
        <v>240570</v>
      </c>
      <c r="CA73">
        <f ca="1">_xll.BDP($B$32,$C$32,CONCATENATE("PX391=", $CA$53), CONCATENATE("PX392=",$CA$54), CONCATENATE("DS004=",$B$46), "Fill=B")</f>
        <v>265490</v>
      </c>
      <c r="CB73">
        <f ca="1">_xll.BDP($B$32,$C$32,CONCATENATE("PX391=", $CB$53), CONCATENATE("PX392=",$CB$54), CONCATENATE("DS004=",$B$46), "Fill=B")</f>
        <v>237816</v>
      </c>
      <c r="CC73">
        <f ca="1">_xll.BDP($B$32,$C$32,CONCATENATE("PX391=", $CC$53), CONCATENATE("PX392=",$CC$54), CONCATENATE("DS004=",$B$46), "Fill=B")</f>
        <v>240605</v>
      </c>
      <c r="CD73">
        <f ca="1">_xll.BDP($B$32,$C$32,CONCATENATE("PX391=", $CD$53), CONCATENATE("PX392=",$CD$54), CONCATENATE("DS004=",$B$46), "Fill=B")</f>
        <v>234230</v>
      </c>
      <c r="CE73">
        <f ca="1">_xll.BDP($B$32,$C$32,CONCATENATE("PX391=", $CE$53), CONCATENATE("PX392=",$CE$54), CONCATENATE("DS004=",$B$46), "Fill=B")</f>
        <v>231675</v>
      </c>
      <c r="CF73">
        <f ca="1">_xll.BDP($B$32,$C$32,CONCATENATE("PX391=", $CF$53), CONCATENATE("PX392=",$CF$54), CONCATENATE("DS004=",$B$46), "Fill=B")</f>
        <v>246871</v>
      </c>
      <c r="CG73">
        <f ca="1">_xll.BDP($B$32,$C$32,CONCATENATE("PX391=", $CG$53), CONCATENATE("PX392=",$CG$54), CONCATENATE("DS004=",$B$46), "Fill=B")</f>
        <v>225196</v>
      </c>
      <c r="CH73">
        <f ca="1">_xll.BDP($B$32,$C$32,CONCATENATE("PX391=", $CH$53), CONCATENATE("PX392=",$CH$54), CONCATENATE("DS004=",$B$46), "Fill=B")</f>
        <v>232148</v>
      </c>
      <c r="CI73">
        <f ca="1">_xll.BDP($B$32,$C$32,CONCATENATE("PX391=", $CI$53), CONCATENATE("PX392=",$CI$54), CONCATENATE("DS004=",$B$46), "Fill=B")</f>
        <v>220376</v>
      </c>
      <c r="CJ73">
        <f ca="1">_xll.BDP($B$32,$C$32,CONCATENATE("PX391=", $CJ$53), CONCATENATE("PX392=",$CJ$54), CONCATENATE("DS004=",$B$46), "Fill=B")</f>
        <v>228516</v>
      </c>
      <c r="CK73">
        <f ca="1">_xll.BDP($B$32,$C$32,CONCATENATE("PX391=", $CK$53), CONCATENATE("PX392=",$CK$54), CONCATENATE("DS004=",$B$46), "Fill=B")</f>
        <v>229624</v>
      </c>
      <c r="CL73" t="str">
        <f>""</f>
        <v/>
      </c>
      <c r="CM73" t="str">
        <f>""</f>
        <v/>
      </c>
      <c r="CN73" t="str">
        <f>""</f>
        <v/>
      </c>
      <c r="CO73" t="str">
        <f>""</f>
        <v/>
      </c>
      <c r="CP73" t="str">
        <f>""</f>
        <v/>
      </c>
      <c r="CQ73" t="str">
        <f>""</f>
        <v/>
      </c>
      <c r="CR73" t="str">
        <f>""</f>
        <v/>
      </c>
      <c r="CS73" t="str">
        <f>""</f>
        <v/>
      </c>
      <c r="CT73" t="str">
        <f>""</f>
        <v/>
      </c>
      <c r="CU73" t="str">
        <f>""</f>
        <v/>
      </c>
      <c r="CV73" t="str">
        <f>""</f>
        <v/>
      </c>
      <c r="CW73" t="str">
        <f>""</f>
        <v/>
      </c>
      <c r="CX73" t="str">
        <f>""</f>
        <v/>
      </c>
      <c r="CY73" t="str">
        <f>""</f>
        <v/>
      </c>
      <c r="CZ73" t="str">
        <f>""</f>
        <v/>
      </c>
      <c r="DA73" t="str">
        <f>""</f>
        <v/>
      </c>
      <c r="DB73" t="str">
        <f>""</f>
        <v/>
      </c>
      <c r="DC73" t="str">
        <f>""</f>
        <v/>
      </c>
      <c r="DD73" t="str">
        <f>""</f>
        <v/>
      </c>
      <c r="DE73" t="str">
        <f>""</f>
        <v/>
      </c>
      <c r="DF73" t="str">
        <f>""</f>
        <v/>
      </c>
      <c r="DG73" t="str">
        <f>""</f>
        <v/>
      </c>
      <c r="DH73" t="str">
        <f>""</f>
        <v/>
      </c>
      <c r="DI73" t="str">
        <f>""</f>
        <v/>
      </c>
      <c r="DJ73" t="str">
        <f>""</f>
        <v/>
      </c>
      <c r="DK73" t="str">
        <f>""</f>
        <v/>
      </c>
      <c r="DL73" t="str">
        <f>""</f>
        <v/>
      </c>
      <c r="DM73" t="str">
        <f>""</f>
        <v/>
      </c>
      <c r="DN73" t="str">
        <f>""</f>
        <v/>
      </c>
      <c r="DO73" t="str">
        <f>""</f>
        <v/>
      </c>
      <c r="DP73" t="str">
        <f>""</f>
        <v/>
      </c>
      <c r="DQ73" t="str">
        <f>""</f>
        <v/>
      </c>
      <c r="DR73" t="str">
        <f>""</f>
        <v/>
      </c>
      <c r="DS73" t="str">
        <f>""</f>
        <v/>
      </c>
      <c r="DT73" t="str">
        <f>""</f>
        <v/>
      </c>
      <c r="DU73" t="str">
        <f>""</f>
        <v/>
      </c>
      <c r="DV73" t="str">
        <f>""</f>
        <v/>
      </c>
      <c r="DW73" t="str">
        <f>""</f>
        <v/>
      </c>
      <c r="DX73" t="str">
        <f>""</f>
        <v/>
      </c>
      <c r="DY73" t="str">
        <f>""</f>
        <v/>
      </c>
      <c r="DZ73" t="str">
        <f>""</f>
        <v/>
      </c>
      <c r="EA73" t="str">
        <f>""</f>
        <v/>
      </c>
      <c r="EB73" t="str">
        <f>""</f>
        <v/>
      </c>
      <c r="EC73" t="str">
        <f>""</f>
        <v/>
      </c>
      <c r="ED73" t="str">
        <f>""</f>
        <v/>
      </c>
      <c r="EE73" t="str">
        <f>""</f>
        <v/>
      </c>
      <c r="EF73" t="str">
        <f>""</f>
        <v/>
      </c>
      <c r="EG73" t="str">
        <f>""</f>
        <v/>
      </c>
      <c r="EH73" t="str">
        <f>""</f>
        <v/>
      </c>
      <c r="EI73" t="str">
        <f>""</f>
        <v/>
      </c>
      <c r="EJ73" t="str">
        <f>""</f>
        <v/>
      </c>
      <c r="EK73" t="str">
        <f>""</f>
        <v/>
      </c>
      <c r="EL73" t="str">
        <f>""</f>
        <v/>
      </c>
      <c r="EM73" t="str">
        <f>""</f>
        <v/>
      </c>
      <c r="EN73" t="str">
        <f>""</f>
        <v/>
      </c>
      <c r="EO73" t="str">
        <f>""</f>
        <v/>
      </c>
      <c r="EP73" t="str">
        <f>""</f>
        <v/>
      </c>
      <c r="EQ73" t="str">
        <f>""</f>
        <v/>
      </c>
      <c r="ER73" t="str">
        <f>""</f>
        <v/>
      </c>
      <c r="ES73" t="str">
        <f>""</f>
        <v/>
      </c>
      <c r="ET73" t="str">
        <f>""</f>
        <v/>
      </c>
      <c r="EU73" t="str">
        <f>""</f>
        <v/>
      </c>
      <c r="EV73" t="str">
        <f>""</f>
        <v/>
      </c>
      <c r="EW73" t="str">
        <f>""</f>
        <v/>
      </c>
      <c r="EX73" t="str">
        <f>""</f>
        <v/>
      </c>
      <c r="EY73" t="str">
        <f>""</f>
        <v/>
      </c>
      <c r="EZ73" t="str">
        <f>""</f>
        <v/>
      </c>
      <c r="FA73" t="str">
        <f>""</f>
        <v/>
      </c>
      <c r="FB73" t="str">
        <f>""</f>
        <v/>
      </c>
      <c r="FC73" t="str">
        <f>""</f>
        <v/>
      </c>
      <c r="FD73" t="str">
        <f>""</f>
        <v/>
      </c>
      <c r="FE73" t="str">
        <f>""</f>
        <v/>
      </c>
      <c r="FF73" t="str">
        <f>""</f>
        <v/>
      </c>
      <c r="FG73" t="str">
        <f>""</f>
        <v/>
      </c>
      <c r="FH73" t="str">
        <f>""</f>
        <v/>
      </c>
      <c r="FI73" t="str">
        <f>""</f>
        <v/>
      </c>
      <c r="FJ73" t="str">
        <f>""</f>
        <v/>
      </c>
      <c r="FK73" t="str">
        <f>""</f>
        <v/>
      </c>
      <c r="FL73" t="str">
        <f>""</f>
        <v/>
      </c>
      <c r="FM73" t="str">
        <f>""</f>
        <v/>
      </c>
      <c r="FN73" t="str">
        <f>""</f>
        <v/>
      </c>
      <c r="FO73" t="str">
        <f>""</f>
        <v/>
      </c>
      <c r="FP73" t="str">
        <f>""</f>
        <v/>
      </c>
      <c r="FQ73" t="str">
        <f>""</f>
        <v/>
      </c>
    </row>
    <row r="74" spans="1:173" x14ac:dyDescent="0.25">
      <c r="A74" t="str">
        <f>$A$33</f>
        <v xml:space="preserve">    Port of Houston (TEU)</v>
      </c>
      <c r="B74" t="str">
        <f>$B$33</f>
        <v>TEUHTOTL Index</v>
      </c>
      <c r="C74" t="str">
        <f>$C$33</f>
        <v>PX385</v>
      </c>
      <c r="D74" t="str">
        <f>$D$33</f>
        <v>INTERVAL_SUM</v>
      </c>
      <c r="E74" t="str">
        <f>$E$33</f>
        <v>Dynamic</v>
      </c>
      <c r="F74" t="str">
        <f ca="1">_xll.BDP($B$33,$C$33,CONCATENATE("PX391=", $F$53), CONCATENATE("PX392=",$F$54), CONCATENATE("DS004=",$B$46), "Fill=B")</f>
        <v/>
      </c>
      <c r="G74" t="str">
        <f ca="1">_xll.BDP($B$33,$C$33,CONCATENATE("PX391=", $G$53), CONCATENATE("PX392=",$G$54), CONCATENATE("DS004=",$B$46), "Fill=B")</f>
        <v/>
      </c>
      <c r="H74">
        <f ca="1">_xll.BDP($B$33,$C$33,CONCATENATE("PX391=", $H$53), CONCATENATE("PX392=",$H$54), CONCATENATE("DS004=",$B$46), "Fill=B")</f>
        <v>325588</v>
      </c>
      <c r="I74">
        <f ca="1">_xll.BDP($B$33,$C$33,CONCATENATE("PX391=", $I$53), CONCATENATE("PX392=",$I$54), CONCATENATE("DS004=",$B$46), "Fill=B")</f>
        <v>307624</v>
      </c>
      <c r="J74">
        <f ca="1">_xll.BDP($B$33,$C$33,CONCATENATE("PX391=", $J$53), CONCATENATE("PX392=",$J$54), CONCATENATE("DS004=",$B$46), "Fill=B")</f>
        <v>344163</v>
      </c>
      <c r="K74">
        <f ca="1">_xll.BDP($B$33,$C$33,CONCATENATE("PX391=", $K$53), CONCATENATE("PX392=",$K$54), CONCATENATE("DS004=",$B$46), "Fill=B")</f>
        <v>315983</v>
      </c>
      <c r="L74">
        <f ca="1">_xll.BDP($B$33,$C$33,CONCATENATE("PX391=", $L$53), CONCATENATE("PX392=",$L$54), CONCATENATE("DS004=",$B$46), "Fill=B")</f>
        <v>300482</v>
      </c>
      <c r="M74">
        <f ca="1">_xll.BDP($B$33,$C$33,CONCATENATE("PX391=", $M$53), CONCATENATE("PX392=",$M$54), CONCATENATE("DS004=",$B$46), "Fill=B")</f>
        <v>307879</v>
      </c>
      <c r="N74">
        <f ca="1">_xll.BDP($B$33,$C$33,CONCATENATE("PX391=", $N$53), CONCATENATE("PX392=",$N$54), CONCATENATE("DS004=",$B$46), "Fill=B")</f>
        <v>300589</v>
      </c>
      <c r="O74">
        <f ca="1">_xll.BDP($B$33,$C$33,CONCATENATE("PX391=", $O$53), CONCATENATE("PX392=",$O$54), CONCATENATE("DS004=",$B$46), "Fill=B")</f>
        <v>313452</v>
      </c>
      <c r="P74">
        <f ca="1">_xll.BDP($B$33,$C$33,CONCATENATE("PX391=", $P$53), CONCATENATE("PX392=",$P$54), CONCATENATE("DS004=",$B$46), "Fill=B")</f>
        <v>319990</v>
      </c>
      <c r="Q74">
        <f ca="1">_xll.BDP($B$33,$C$33,CONCATENATE("PX391=", $Q$53), CONCATENATE("PX392=",$Q$54), CONCATENATE("DS004=",$B$46), "Fill=B")</f>
        <v>292027</v>
      </c>
      <c r="R74">
        <f ca="1">_xll.BDP($B$33,$C$33,CONCATENATE("PX391=", $R$53), CONCATENATE("PX392=",$R$54), CONCATENATE("DS004=",$B$46), "Fill=B")</f>
        <v>348950</v>
      </c>
      <c r="S74">
        <f ca="1">_xll.BDP($B$33,$C$33,CONCATENATE("PX391=", $S$53), CONCATENATE("PX392=",$S$54), CONCATENATE("DS004=",$B$46), "Fill=B")</f>
        <v>371994</v>
      </c>
      <c r="T74">
        <f ca="1">_xll.BDP($B$33,$C$33,CONCATENATE("PX391=", $T$53), CONCATENATE("PX392=",$T$54), CONCATENATE("DS004=",$B$46), "Fill=B")</f>
        <v>353524</v>
      </c>
      <c r="U74">
        <f ca="1">_xll.BDP($B$33,$C$33,CONCATENATE("PX391=", $U$53), CONCATENATE("PX392=",$U$54), CONCATENATE("DS004=",$B$46), "Fill=B")</f>
        <v>382842</v>
      </c>
      <c r="V74">
        <f ca="1">_xll.BDP($B$33,$C$33,CONCATENATE("PX391=", $V$53), CONCATENATE("PX392=",$V$54), CONCATENATE("DS004=",$B$46), "Fill=B")</f>
        <v>328498</v>
      </c>
      <c r="W74">
        <f ca="1">_xll.BDP($B$33,$C$33,CONCATENATE("PX391=", $W$53), CONCATENATE("PX392=",$W$54), CONCATENATE("DS004=",$B$46), "Fill=B")</f>
        <v>323823</v>
      </c>
      <c r="X74">
        <f ca="1">_xll.BDP($B$33,$C$33,CONCATENATE("PX391=", $X$53), CONCATENATE("PX392=",$X$54), CONCATENATE("DS004=",$B$46), "Fill=B")</f>
        <v>335366</v>
      </c>
      <c r="Y74">
        <f ca="1">_xll.BDP($B$33,$C$33,CONCATENATE("PX391=", $Y$53), CONCATENATE("PX392=",$Y$54), CONCATENATE("DS004=",$B$46), "Fill=B")</f>
        <v>334493</v>
      </c>
      <c r="Z74">
        <f ca="1">_xll.BDP($B$33,$C$33,CONCATENATE("PX391=", $Z$53), CONCATENATE("PX392=",$Z$54), CONCATENATE("DS004=",$B$46), "Fill=B")</f>
        <v>308557</v>
      </c>
      <c r="AA74">
        <f ca="1">_xll.BDP($B$33,$C$33,CONCATENATE("PX391=", $AA$53), CONCATENATE("PX392=",$AA$54), CONCATENATE("DS004=",$B$46), "Fill=B")</f>
        <v>271399</v>
      </c>
      <c r="AB74">
        <f ca="1">_xll.BDP($B$33,$C$33,CONCATENATE("PX391=", $AB$53), CONCATENATE("PX392=",$AB$54), CONCATENATE("DS004=",$B$46), "Fill=B")</f>
        <v>323427</v>
      </c>
      <c r="AC74">
        <f ca="1">_xll.BDP($B$33,$C$33,CONCATENATE("PX391=", $AC$53), CONCATENATE("PX392=",$AC$54), CONCATENATE("DS004=",$B$46), "Fill=B")</f>
        <v>303204</v>
      </c>
      <c r="AD74">
        <f ca="1">_xll.BDP($B$33,$C$33,CONCATENATE("PX391=", $AD$53), CONCATENATE("PX392=",$AD$54), CONCATENATE("DS004=",$B$46), "Fill=B")</f>
        <v>314576</v>
      </c>
      <c r="AE74">
        <f ca="1">_xll.BDP($B$33,$C$33,CONCATENATE("PX391=", $AE$53), CONCATENATE("PX392=",$AE$54), CONCATENATE("DS004=",$B$46), "Fill=B")</f>
        <v>328486</v>
      </c>
      <c r="AF74">
        <f ca="1">_xll.BDP($B$33,$C$33,CONCATENATE("PX391=", $AF$53), CONCATENATE("PX392=",$AF$54), CONCATENATE("DS004=",$B$46), "Fill=B")</f>
        <v>281500</v>
      </c>
      <c r="AG74">
        <f ca="1">_xll.BDP($B$33,$C$33,CONCATENATE("PX391=", $AG$53), CONCATENATE("PX392=",$AG$54), CONCATENATE("DS004=",$B$46), "Fill=B")</f>
        <v>320086</v>
      </c>
      <c r="AH74">
        <f ca="1">_xll.BDP($B$33,$C$33,CONCATENATE("PX391=", $AH$53), CONCATENATE("PX392=",$AH$54), CONCATENATE("DS004=",$B$46), "Fill=B")</f>
        <v>297621</v>
      </c>
      <c r="AI74">
        <f ca="1">_xll.BDP($B$33,$C$33,CONCATENATE("PX391=", $AI$53), CONCATENATE("PX392=",$AI$54), CONCATENATE("DS004=",$B$46), "Fill=B")</f>
        <v>292587</v>
      </c>
      <c r="AJ74">
        <f ca="1">_xll.BDP($B$33,$C$33,CONCATENATE("PX391=", $AJ$53), CONCATENATE("PX392=",$AJ$54), CONCATENATE("DS004=",$B$46), "Fill=B")</f>
        <v>288127</v>
      </c>
      <c r="AK74">
        <f ca="1">_xll.BDP($B$33,$C$33,CONCATENATE("PX391=", $AK$53), CONCATENATE("PX392=",$AK$54), CONCATENATE("DS004=",$B$46), "Fill=B")</f>
        <v>275840</v>
      </c>
      <c r="AL74">
        <f ca="1">_xll.BDP($B$33,$C$33,CONCATENATE("PX391=", $AL$53), CONCATENATE("PX392=",$AL$54), CONCATENATE("DS004=",$B$46), "Fill=B")</f>
        <v>297397</v>
      </c>
      <c r="AM74">
        <f ca="1">_xll.BDP($B$33,$C$33,CONCATENATE("PX391=", $AM$53), CONCATENATE("PX392=",$AM$54), CONCATENATE("DS004=",$B$46), "Fill=B")</f>
        <v>198763</v>
      </c>
      <c r="AN74">
        <f ca="1">_xll.BDP($B$33,$C$33,CONCATENATE("PX391=", $AN$53), CONCATENATE("PX392=",$AN$54), CONCATENATE("DS004=",$B$46), "Fill=B")</f>
        <v>255039</v>
      </c>
      <c r="AO74">
        <f ca="1">_xll.BDP($B$33,$C$33,CONCATENATE("PX391=", $AO$53), CONCATENATE("PX392=",$AO$54), CONCATENATE("DS004=",$B$46), "Fill=B")</f>
        <v>264626</v>
      </c>
      <c r="AP74">
        <f ca="1">_xll.BDP($B$33,$C$33,CONCATENATE("PX391=", $AP$53), CONCATENATE("PX392=",$AP$54), CONCATENATE("DS004=",$B$46), "Fill=B")</f>
        <v>262930</v>
      </c>
      <c r="AQ74">
        <f ca="1">_xll.BDP($B$33,$C$33,CONCATENATE("PX391=", $AQ$53), CONCATENATE("PX392=",$AQ$54), CONCATENATE("DS004=",$B$46), "Fill=B")</f>
        <v>296210</v>
      </c>
      <c r="AR74">
        <f ca="1">_xll.BDP($B$33,$C$33,CONCATENATE("PX391=", $AR$53), CONCATENATE("PX392=",$AR$54), CONCATENATE("DS004=",$B$46), "Fill=B")</f>
        <v>254405</v>
      </c>
      <c r="AS74">
        <f ca="1">_xll.BDP($B$33,$C$33,CONCATENATE("PX391=", $AS$53), CONCATENATE("PX392=",$AS$54), CONCATENATE("DS004=",$B$46), "Fill=B")</f>
        <v>248630</v>
      </c>
      <c r="AT74">
        <f ca="1">_xll.BDP($B$33,$C$33,CONCATENATE("PX391=", $AT$53), CONCATENATE("PX392=",$AT$54), CONCATENATE("DS004=",$B$46), "Fill=B")</f>
        <v>234737</v>
      </c>
      <c r="AU74">
        <f ca="1">_xll.BDP($B$33,$C$33,CONCATENATE("PX391=", $AU$53), CONCATENATE("PX392=",$AU$54), CONCATENATE("DS004=",$B$46), "Fill=B")</f>
        <v>210932</v>
      </c>
      <c r="AV74">
        <f ca="1">_xll.BDP($B$33,$C$33,CONCATENATE("PX391=", $AV$53), CONCATENATE("PX392=",$AV$54), CONCATENATE("DS004=",$B$46), "Fill=B")</f>
        <v>222250</v>
      </c>
      <c r="AW74">
        <f ca="1">_xll.BDP($B$33,$C$33,CONCATENATE("PX391=", $AW$53), CONCATENATE("PX392=",$AW$54), CONCATENATE("DS004=",$B$46), "Fill=B")</f>
        <v>221540</v>
      </c>
      <c r="AX74">
        <f ca="1">_xll.BDP($B$33,$C$33,CONCATENATE("PX391=", $AX$53), CONCATENATE("PX392=",$AX$54), CONCATENATE("DS004=",$B$46), "Fill=B")</f>
        <v>248840</v>
      </c>
      <c r="AY74">
        <f ca="1">_xll.BDP($B$33,$C$33,CONCATENATE("PX391=", $AY$53), CONCATENATE("PX392=",$AY$54), CONCATENATE("DS004=",$B$46), "Fill=B")</f>
        <v>255474</v>
      </c>
      <c r="AZ74">
        <f ca="1">_xll.BDP($B$33,$C$33,CONCATENATE("PX391=", $AZ$53), CONCATENATE("PX392=",$AZ$54), CONCATENATE("DS004=",$B$46), "Fill=B")</f>
        <v>268773</v>
      </c>
      <c r="BA74">
        <f ca="1">_xll.BDP($B$33,$C$33,CONCATENATE("PX391=", $BA$53), CONCATENATE("PX392=",$BA$54), CONCATENATE("DS004=",$B$46), "Fill=B")</f>
        <v>250946</v>
      </c>
      <c r="BB74">
        <f ca="1">_xll.BDP($B$33,$C$33,CONCATENATE("PX391=", $BB$53), CONCATENATE("PX392=",$BB$54), CONCATENATE("DS004=",$B$46), "Fill=B")</f>
        <v>245738</v>
      </c>
      <c r="BC74">
        <f ca="1">_xll.BDP($B$33,$C$33,CONCATENATE("PX391=", $BC$53), CONCATENATE("PX392=",$BC$54), CONCATENATE("DS004=",$B$46), "Fill=B")</f>
        <v>258571</v>
      </c>
      <c r="BD74">
        <f ca="1">_xll.BDP($B$33,$C$33,CONCATENATE("PX391=", $BD$53), CONCATENATE("PX392=",$BD$54), CONCATENATE("DS004=",$B$46), "Fill=B")</f>
        <v>251524</v>
      </c>
      <c r="BE74">
        <f ca="1">_xll.BDP($B$33,$C$33,CONCATENATE("PX391=", $BE$53), CONCATENATE("PX392=",$BE$54), CONCATENATE("DS004=",$B$46), "Fill=B")</f>
        <v>259110</v>
      </c>
      <c r="BF74">
        <f ca="1">_xll.BDP($B$33,$C$33,CONCATENATE("PX391=", $BF$53), CONCATENATE("PX392=",$BF$54), CONCATENATE("DS004=",$B$46), "Fill=B")</f>
        <v>259993</v>
      </c>
      <c r="BG74">
        <f ca="1">_xll.BDP($B$33,$C$33,CONCATENATE("PX391=", $BG$53), CONCATENATE("PX392=",$BG$54), CONCATENATE("DS004=",$B$46), "Fill=B")</f>
        <v>251488</v>
      </c>
      <c r="BH74">
        <f ca="1">_xll.BDP($B$33,$C$33,CONCATENATE("PX391=", $BH$53), CONCATENATE("PX392=",$BH$54), CONCATENATE("DS004=",$B$46), "Fill=B")</f>
        <v>263061</v>
      </c>
      <c r="BI74">
        <f ca="1">_xll.BDP($B$33,$C$33,CONCATENATE("PX391=", $BI$53), CONCATENATE("PX392=",$BI$54), CONCATENATE("DS004=",$B$46), "Fill=B")</f>
        <v>252693</v>
      </c>
      <c r="BJ74">
        <f ca="1">_xll.BDP($B$33,$C$33,CONCATENATE("PX391=", $BJ$53), CONCATENATE("PX392=",$BJ$54), CONCATENATE("DS004=",$B$46), "Fill=B")</f>
        <v>280721</v>
      </c>
      <c r="BK74">
        <f ca="1">_xll.BDP($B$33,$C$33,CONCATENATE("PX391=", $BK$53), CONCATENATE("PX392=",$BK$54), CONCATENATE("DS004=",$B$46), "Fill=B")</f>
        <v>198494</v>
      </c>
      <c r="BL74">
        <f ca="1">_xll.BDP($B$33,$C$33,CONCATENATE("PX391=", $BL$53), CONCATENATE("PX392=",$BL$54), CONCATENATE("DS004=",$B$46), "Fill=B")</f>
        <v>214952</v>
      </c>
      <c r="BM74">
        <f ca="1">_xll.BDP($B$33,$C$33,CONCATENATE("PX391=", $BM$53), CONCATENATE("PX392=",$BM$54), CONCATENATE("DS004=",$B$46), "Fill=B")</f>
        <v>221358</v>
      </c>
      <c r="BN74">
        <f ca="1">_xll.BDP($B$33,$C$33,CONCATENATE("PX391=", $BN$53), CONCATENATE("PX392=",$BN$54), CONCATENATE("DS004=",$B$46), "Fill=B")</f>
        <v>226343</v>
      </c>
      <c r="BO74">
        <f ca="1">_xll.BDP($B$33,$C$33,CONCATENATE("PX391=", $BO$53), CONCATENATE("PX392=",$BO$54), CONCATENATE("DS004=",$B$46), "Fill=B")</f>
        <v>240982</v>
      </c>
      <c r="BP74">
        <f ca="1">_xll.BDP($B$33,$C$33,CONCATENATE("PX391=", $BP$53), CONCATENATE("PX392=",$BP$54), CONCATENATE("DS004=",$B$46), "Fill=B")</f>
        <v>230331</v>
      </c>
      <c r="BQ74">
        <f ca="1">_xll.BDP($B$33,$C$33,CONCATENATE("PX391=", $BQ$53), CONCATENATE("PX392=",$BQ$54), CONCATENATE("DS004=",$B$46), "Fill=B")</f>
        <v>238644</v>
      </c>
      <c r="BR74">
        <f ca="1">_xll.BDP($B$33,$C$33,CONCATENATE("PX391=", $BR$53), CONCATENATE("PX392=",$BR$54), CONCATENATE("DS004=",$B$46), "Fill=B")</f>
        <v>236032</v>
      </c>
      <c r="BS74">
        <f ca="1">_xll.BDP($B$33,$C$33,CONCATENATE("PX391=", $BS$53), CONCATENATE("PX392=",$BS$54), CONCATENATE("DS004=",$B$46), "Fill=B")</f>
        <v>223890</v>
      </c>
      <c r="BT74">
        <f ca="1">_xll.BDP($B$33,$C$33,CONCATENATE("PX391=", $BT$53), CONCATENATE("PX392=",$BT$54), CONCATENATE("DS004=",$B$46), "Fill=B")</f>
        <v>245996</v>
      </c>
      <c r="BU74">
        <f ca="1">_xll.BDP($B$33,$C$33,CONCATENATE("PX391=", $BU$53), CONCATENATE("PX392=",$BU$54), CONCATENATE("DS004=",$B$46), "Fill=B")</f>
        <v>218799</v>
      </c>
      <c r="BV74">
        <f ca="1">_xll.BDP($B$33,$C$33,CONCATENATE("PX391=", $BV$53), CONCATENATE("PX392=",$BV$54), CONCATENATE("DS004=",$B$46), "Fill=B")</f>
        <v>229158</v>
      </c>
      <c r="BW74">
        <f ca="1">_xll.BDP($B$33,$C$33,CONCATENATE("PX391=", $BW$53), CONCATENATE("PX392=",$BW$54), CONCATENATE("DS004=",$B$46), "Fill=B")</f>
        <v>198621</v>
      </c>
      <c r="BX74">
        <f ca="1">_xll.BDP($B$33,$C$33,CONCATENATE("PX391=", $BX$53), CONCATENATE("PX392=",$BX$54), CONCATENATE("DS004=",$B$46), "Fill=B")</f>
        <v>189696</v>
      </c>
      <c r="BY74">
        <f ca="1">_xll.BDP($B$33,$C$33,CONCATENATE("PX391=", $BY$53), CONCATENATE("PX392=",$BY$54), CONCATENATE("DS004=",$B$46), "Fill=B")</f>
        <v>208257</v>
      </c>
      <c r="BZ74">
        <f ca="1">_xll.BDP($B$33,$C$33,CONCATENATE("PX391=", $BZ$53), CONCATENATE("PX392=",$BZ$54), CONCATENATE("DS004=",$B$46), "Fill=B")</f>
        <v>195875</v>
      </c>
      <c r="CA74">
        <f ca="1">_xll.BDP($B$33,$C$33,CONCATENATE("PX391=", $CA$53), CONCATENATE("PX392=",$CA$54), CONCATENATE("DS004=",$B$46), "Fill=B")</f>
        <v>223127</v>
      </c>
      <c r="CB74">
        <f ca="1">_xll.BDP($B$33,$C$33,CONCATENATE("PX391=", $CB$53), CONCATENATE("PX392=",$CB$54), CONCATENATE("DS004=",$B$46), "Fill=B")</f>
        <v>226483</v>
      </c>
      <c r="CC74">
        <f ca="1">_xll.BDP($B$33,$C$33,CONCATENATE("PX391=", $CC$53), CONCATENATE("PX392=",$CC$54), CONCATENATE("DS004=",$B$46), "Fill=B")</f>
        <v>166353</v>
      </c>
      <c r="CD74">
        <f ca="1">_xll.BDP($B$33,$C$33,CONCATENATE("PX391=", $CD$53), CONCATENATE("PX392=",$CD$54), CONCATENATE("DS004=",$B$46), "Fill=B")</f>
        <v>203010</v>
      </c>
      <c r="CE74">
        <f ca="1">_xll.BDP($B$33,$C$33,CONCATENATE("PX391=", $CE$53), CONCATENATE("PX392=",$CE$54), CONCATENATE("DS004=",$B$46), "Fill=B")</f>
        <v>212843</v>
      </c>
      <c r="CF74">
        <f ca="1">_xll.BDP($B$33,$C$33,CONCATENATE("PX391=", $CF$53), CONCATENATE("PX392=",$CF$54), CONCATENATE("DS004=",$B$46), "Fill=B")</f>
        <v>213893</v>
      </c>
      <c r="CG74">
        <f ca="1">_xll.BDP($B$33,$C$33,CONCATENATE("PX391=", $CG$53), CONCATENATE("PX392=",$CG$54), CONCATENATE("DS004=",$B$46), "Fill=B")</f>
        <v>201804</v>
      </c>
      <c r="CH74">
        <f ca="1">_xll.BDP($B$33,$C$33,CONCATENATE("PX391=", $CH$53), CONCATENATE("PX392=",$CH$54), CONCATENATE("DS004=",$B$46), "Fill=B")</f>
        <v>221661</v>
      </c>
      <c r="CI74">
        <f ca="1">_xll.BDP($B$33,$C$33,CONCATENATE("PX391=", $CI$53), CONCATENATE("PX392=",$CI$54), CONCATENATE("DS004=",$B$46), "Fill=B")</f>
        <v>188861</v>
      </c>
      <c r="CJ74">
        <f ca="1">_xll.BDP($B$33,$C$33,CONCATENATE("PX391=", $CJ$53), CONCATENATE("PX392=",$CJ$54), CONCATENATE("DS004=",$B$46), "Fill=B")</f>
        <v>196940</v>
      </c>
      <c r="CK74">
        <f ca="1">_xll.BDP($B$33,$C$33,CONCATENATE("PX391=", $CK$53), CONCATENATE("PX392=",$CK$54), CONCATENATE("DS004=",$B$46), "Fill=B")</f>
        <v>173256</v>
      </c>
      <c r="CL74" t="str">
        <f>""</f>
        <v/>
      </c>
      <c r="CM74" t="str">
        <f>""</f>
        <v/>
      </c>
      <c r="CN74" t="str">
        <f>""</f>
        <v/>
      </c>
      <c r="CO74" t="str">
        <f>""</f>
        <v/>
      </c>
      <c r="CP74" t="str">
        <f>""</f>
        <v/>
      </c>
      <c r="CQ74" t="str">
        <f>""</f>
        <v/>
      </c>
      <c r="CR74" t="str">
        <f>""</f>
        <v/>
      </c>
      <c r="CS74" t="str">
        <f>""</f>
        <v/>
      </c>
      <c r="CT74" t="str">
        <f>""</f>
        <v/>
      </c>
      <c r="CU74" t="str">
        <f>""</f>
        <v/>
      </c>
      <c r="CV74" t="str">
        <f>""</f>
        <v/>
      </c>
      <c r="CW74" t="str">
        <f>""</f>
        <v/>
      </c>
      <c r="CX74" t="str">
        <f>""</f>
        <v/>
      </c>
      <c r="CY74" t="str">
        <f>""</f>
        <v/>
      </c>
      <c r="CZ74" t="str">
        <f>""</f>
        <v/>
      </c>
      <c r="DA74" t="str">
        <f>""</f>
        <v/>
      </c>
      <c r="DB74" t="str">
        <f>""</f>
        <v/>
      </c>
      <c r="DC74" t="str">
        <f>""</f>
        <v/>
      </c>
      <c r="DD74" t="str">
        <f>""</f>
        <v/>
      </c>
      <c r="DE74" t="str">
        <f>""</f>
        <v/>
      </c>
      <c r="DF74" t="str">
        <f>""</f>
        <v/>
      </c>
      <c r="DG74" t="str">
        <f>""</f>
        <v/>
      </c>
      <c r="DH74" t="str">
        <f>""</f>
        <v/>
      </c>
      <c r="DI74" t="str">
        <f>""</f>
        <v/>
      </c>
      <c r="DJ74" t="str">
        <f>""</f>
        <v/>
      </c>
      <c r="DK74" t="str">
        <f>""</f>
        <v/>
      </c>
      <c r="DL74" t="str">
        <f>""</f>
        <v/>
      </c>
      <c r="DM74" t="str">
        <f>""</f>
        <v/>
      </c>
      <c r="DN74" t="str">
        <f>""</f>
        <v/>
      </c>
      <c r="DO74" t="str">
        <f>""</f>
        <v/>
      </c>
      <c r="DP74" t="str">
        <f>""</f>
        <v/>
      </c>
      <c r="DQ74" t="str">
        <f>""</f>
        <v/>
      </c>
      <c r="DR74" t="str">
        <f>""</f>
        <v/>
      </c>
      <c r="DS74" t="str">
        <f>""</f>
        <v/>
      </c>
      <c r="DT74" t="str">
        <f>""</f>
        <v/>
      </c>
      <c r="DU74" t="str">
        <f>""</f>
        <v/>
      </c>
      <c r="DV74" t="str">
        <f>""</f>
        <v/>
      </c>
      <c r="DW74" t="str">
        <f>""</f>
        <v/>
      </c>
      <c r="DX74" t="str">
        <f>""</f>
        <v/>
      </c>
      <c r="DY74" t="str">
        <f>""</f>
        <v/>
      </c>
      <c r="DZ74" t="str">
        <f>""</f>
        <v/>
      </c>
      <c r="EA74" t="str">
        <f>""</f>
        <v/>
      </c>
      <c r="EB74" t="str">
        <f>""</f>
        <v/>
      </c>
      <c r="EC74" t="str">
        <f>""</f>
        <v/>
      </c>
      <c r="ED74" t="str">
        <f>""</f>
        <v/>
      </c>
      <c r="EE74" t="str">
        <f>""</f>
        <v/>
      </c>
      <c r="EF74" t="str">
        <f>""</f>
        <v/>
      </c>
      <c r="EG74" t="str">
        <f>""</f>
        <v/>
      </c>
      <c r="EH74" t="str">
        <f>""</f>
        <v/>
      </c>
      <c r="EI74" t="str">
        <f>""</f>
        <v/>
      </c>
      <c r="EJ74" t="str">
        <f>""</f>
        <v/>
      </c>
      <c r="EK74" t="str">
        <f>""</f>
        <v/>
      </c>
      <c r="EL74" t="str">
        <f>""</f>
        <v/>
      </c>
      <c r="EM74" t="str">
        <f>""</f>
        <v/>
      </c>
      <c r="EN74" t="str">
        <f>""</f>
        <v/>
      </c>
      <c r="EO74" t="str">
        <f>""</f>
        <v/>
      </c>
      <c r="EP74" t="str">
        <f>""</f>
        <v/>
      </c>
      <c r="EQ74" t="str">
        <f>""</f>
        <v/>
      </c>
      <c r="ER74" t="str">
        <f>""</f>
        <v/>
      </c>
      <c r="ES74" t="str">
        <f>""</f>
        <v/>
      </c>
      <c r="ET74" t="str">
        <f>""</f>
        <v/>
      </c>
      <c r="EU74" t="str">
        <f>""</f>
        <v/>
      </c>
      <c r="EV74" t="str">
        <f>""</f>
        <v/>
      </c>
      <c r="EW74" t="str">
        <f>""</f>
        <v/>
      </c>
      <c r="EX74" t="str">
        <f>""</f>
        <v/>
      </c>
      <c r="EY74" t="str">
        <f>""</f>
        <v/>
      </c>
      <c r="EZ74" t="str">
        <f>""</f>
        <v/>
      </c>
      <c r="FA74" t="str">
        <f>""</f>
        <v/>
      </c>
      <c r="FB74" t="str">
        <f>""</f>
        <v/>
      </c>
      <c r="FC74" t="str">
        <f>""</f>
        <v/>
      </c>
      <c r="FD74" t="str">
        <f>""</f>
        <v/>
      </c>
      <c r="FE74" t="str">
        <f>""</f>
        <v/>
      </c>
      <c r="FF74" t="str">
        <f>""</f>
        <v/>
      </c>
      <c r="FG74" t="str">
        <f>""</f>
        <v/>
      </c>
      <c r="FH74" t="str">
        <f>""</f>
        <v/>
      </c>
      <c r="FI74" t="str">
        <f>""</f>
        <v/>
      </c>
      <c r="FJ74" t="str">
        <f>""</f>
        <v/>
      </c>
      <c r="FK74" t="str">
        <f>""</f>
        <v/>
      </c>
      <c r="FL74" t="str">
        <f>""</f>
        <v/>
      </c>
      <c r="FM74" t="str">
        <f>""</f>
        <v/>
      </c>
      <c r="FN74" t="str">
        <f>""</f>
        <v/>
      </c>
      <c r="FO74" t="str">
        <f>""</f>
        <v/>
      </c>
      <c r="FP74" t="str">
        <f>""</f>
        <v/>
      </c>
      <c r="FQ74" t="str">
        <f>""</f>
        <v/>
      </c>
    </row>
    <row r="75" spans="1:173" x14ac:dyDescent="0.25">
      <c r="A75" t="str">
        <f>$A$34</f>
        <v xml:space="preserve">    Port of Charleston (TEU)</v>
      </c>
      <c r="B75" t="str">
        <f>$B$34</f>
        <v>POCHTOTL Index</v>
      </c>
      <c r="C75" t="str">
        <f>$C$34</f>
        <v>PX385</v>
      </c>
      <c r="D75" t="str">
        <f>$D$34</f>
        <v>INTERVAL_SUM</v>
      </c>
      <c r="E75" t="str">
        <f>$E$34</f>
        <v>Dynamic</v>
      </c>
      <c r="F75" t="str">
        <f ca="1">_xll.BDP($B$34,$C$34,CONCATENATE("PX391=", $F$53), CONCATENATE("PX392=",$F$54), CONCATENATE("DS004=",$B$46), "Fill=B")</f>
        <v/>
      </c>
      <c r="G75" t="str">
        <f ca="1">_xll.BDP($B$34,$C$34,CONCATENATE("PX391=", $G$53), CONCATENATE("PX392=",$G$54), CONCATENATE("DS004=",$B$46), "Fill=B")</f>
        <v/>
      </c>
      <c r="H75">
        <f ca="1">_xll.BDP($B$34,$C$34,CONCATENATE("PX391=", $H$53), CONCATENATE("PX392=",$H$54), CONCATENATE("DS004=",$B$46), "Fill=B")</f>
        <v>199208</v>
      </c>
      <c r="I75">
        <f ca="1">_xll.BDP($B$34,$C$34,CONCATENATE("PX391=", $I$53), CONCATENATE("PX392=",$I$54), CONCATENATE("DS004=",$B$46), "Fill=B")</f>
        <v>203169</v>
      </c>
      <c r="J75">
        <f ca="1">_xll.BDP($B$34,$C$34,CONCATENATE("PX391=", $J$53), CONCATENATE("PX392=",$J$54), CONCATENATE("DS004=",$B$46), "Fill=B")</f>
        <v>208134</v>
      </c>
      <c r="K75">
        <f ca="1">_xll.BDP($B$34,$C$34,CONCATENATE("PX391=", $K$53), CONCATENATE("PX392=",$K$54), CONCATENATE("DS004=",$B$46), "Fill=B")</f>
        <v>203091</v>
      </c>
      <c r="L75">
        <f ca="1">_xll.BDP($B$34,$C$34,CONCATENATE("PX391=", $L$53), CONCATENATE("PX392=",$L$54), CONCATENATE("DS004=",$B$46), "Fill=B")</f>
        <v>198824</v>
      </c>
      <c r="M75">
        <f ca="1">_xll.BDP($B$34,$C$34,CONCATENATE("PX391=", $M$53), CONCATENATE("PX392=",$M$54), CONCATENATE("DS004=",$B$46), "Fill=B")</f>
        <v>214101</v>
      </c>
      <c r="N75">
        <f ca="1">_xll.BDP($B$34,$C$34,CONCATENATE("PX391=", $N$53), CONCATENATE("PX392=",$N$54), CONCATENATE("DS004=",$B$46), "Fill=B")</f>
        <v>193085</v>
      </c>
      <c r="O75">
        <f ca="1">_xll.BDP($B$34,$C$34,CONCATENATE("PX391=", $O$53), CONCATENATE("PX392=",$O$54), CONCATENATE("DS004=",$B$46), "Fill=B")</f>
        <v>201418</v>
      </c>
      <c r="P75">
        <f ca="1">_xll.BDP($B$34,$C$34,CONCATENATE("PX391=", $P$53), CONCATENATE("PX392=",$P$54), CONCATENATE("DS004=",$B$46), "Fill=B")</f>
        <v>215238</v>
      </c>
      <c r="Q75">
        <f ca="1">_xll.BDP($B$34,$C$34,CONCATENATE("PX391=", $Q$53), CONCATENATE("PX392=",$Q$54), CONCATENATE("DS004=",$B$46), "Fill=B")</f>
        <v>219351</v>
      </c>
      <c r="R75">
        <f ca="1">_xll.BDP($B$34,$C$34,CONCATENATE("PX391=", $R$53), CONCATENATE("PX392=",$R$54), CONCATENATE("DS004=",$B$46), "Fill=B")</f>
        <v>213073</v>
      </c>
      <c r="S75">
        <f ca="1">_xll.BDP($B$34,$C$34,CONCATENATE("PX391=", $S$53), CONCATENATE("PX392=",$S$54), CONCATENATE("DS004=",$B$46), "Fill=B")</f>
        <v>256879</v>
      </c>
      <c r="T75">
        <f ca="1">_xll.BDP($B$34,$C$34,CONCATENATE("PX391=", $T$53), CONCATENATE("PX392=",$T$54), CONCATENATE("DS004=",$B$46), "Fill=B")</f>
        <v>226807</v>
      </c>
      <c r="U75">
        <f ca="1">_xll.BDP($B$34,$C$34,CONCATENATE("PX391=", $U$53), CONCATENATE("PX392=",$U$54), CONCATENATE("DS004=",$B$46), "Fill=B")</f>
        <v>223411</v>
      </c>
      <c r="V75">
        <f ca="1">_xll.BDP($B$34,$C$34,CONCATENATE("PX391=", $V$53), CONCATENATE("PX392=",$V$54), CONCATENATE("DS004=",$B$46), "Fill=B")</f>
        <v>216097</v>
      </c>
      <c r="W75">
        <f ca="1">_xll.BDP($B$34,$C$34,CONCATENATE("PX391=", $W$53), CONCATENATE("PX392=",$W$54), CONCATENATE("DS004=",$B$46), "Fill=B")</f>
        <v>196225</v>
      </c>
      <c r="X75">
        <f ca="1">_xll.BDP($B$34,$C$34,CONCATENATE("PX391=", $X$53), CONCATENATE("PX392=",$X$54), CONCATENATE("DS004=",$B$46), "Fill=B")</f>
        <v>255104</v>
      </c>
      <c r="Y75">
        <f ca="1">_xll.BDP($B$34,$C$34,CONCATENATE("PX391=", $Y$53), CONCATENATE("PX392=",$Y$54), CONCATENATE("DS004=",$B$46), "Fill=B")</f>
        <v>264099</v>
      </c>
      <c r="Z75">
        <f ca="1">_xll.BDP($B$34,$C$34,CONCATENATE("PX391=", $Z$53), CONCATENATE("PX392=",$Z$54), CONCATENATE("DS004=",$B$46), "Fill=B")</f>
        <v>264334</v>
      </c>
      <c r="AA75">
        <f ca="1">_xll.BDP($B$34,$C$34,CONCATENATE("PX391=", $AA$53), CONCATENATE("PX392=",$AA$54), CONCATENATE("DS004=",$B$46), "Fill=B")</f>
        <v>230420</v>
      </c>
      <c r="AB75">
        <f ca="1">_xll.BDP($B$34,$C$34,CONCATENATE("PX391=", $AB$53), CONCATENATE("PX392=",$AB$54), CONCATENATE("DS004=",$B$46), "Fill=B")</f>
        <v>226515</v>
      </c>
      <c r="AC75">
        <f ca="1">_xll.BDP($B$34,$C$34,CONCATENATE("PX391=", $AC$53), CONCATENATE("PX392=",$AC$54), CONCATENATE("DS004=",$B$46), "Fill=B")</f>
        <v>246198</v>
      </c>
      <c r="AD75">
        <f ca="1">_xll.BDP($B$34,$C$34,CONCATENATE("PX391=", $AD$53), CONCATENATE("PX392=",$AD$54), CONCATENATE("DS004=",$B$46), "Fill=B")</f>
        <v>250711</v>
      </c>
      <c r="AE75">
        <f ca="1">_xll.BDP($B$34,$C$34,CONCATENATE("PX391=", $AE$53), CONCATENATE("PX392=",$AE$54), CONCATENATE("DS004=",$B$46), "Fill=B")</f>
        <v>234923</v>
      </c>
      <c r="AF75">
        <f ca="1">_xll.BDP($B$34,$C$34,CONCATENATE("PX391=", $AF$53), CONCATENATE("PX392=",$AF$54), CONCATENATE("DS004=",$B$46), "Fill=B")</f>
        <v>205008</v>
      </c>
      <c r="AG75">
        <f ca="1">_xll.BDP($B$34,$C$34,CONCATENATE("PX391=", $AG$53), CONCATENATE("PX392=",$AG$54), CONCATENATE("DS004=",$B$46), "Fill=B")</f>
        <v>234688</v>
      </c>
      <c r="AH75">
        <f ca="1">_xll.BDP($B$34,$C$34,CONCATENATE("PX391=", $AH$53), CONCATENATE("PX392=",$AH$54), CONCATENATE("DS004=",$B$46), "Fill=B")</f>
        <v>244821</v>
      </c>
      <c r="AI75">
        <f ca="1">_xll.BDP($B$34,$C$34,CONCATENATE("PX391=", $AI$53), CONCATENATE("PX392=",$AI$54), CONCATENATE("DS004=",$B$46), "Fill=B")</f>
        <v>231758</v>
      </c>
      <c r="AJ75">
        <f ca="1">_xll.BDP($B$34,$C$34,CONCATENATE("PX391=", $AJ$53), CONCATENATE("PX392=",$AJ$54), CONCATENATE("DS004=",$B$46), "Fill=B")</f>
        <v>230870</v>
      </c>
      <c r="AK75">
        <f ca="1">_xll.BDP($B$34,$C$34,CONCATENATE("PX391=", $AK$53), CONCATENATE("PX392=",$AK$54), CONCATENATE("DS004=",$B$46), "Fill=B")</f>
        <v>225136</v>
      </c>
      <c r="AL75">
        <f ca="1">_xll.BDP($B$34,$C$34,CONCATENATE("PX391=", $AL$53), CONCATENATE("PX392=",$AL$54), CONCATENATE("DS004=",$B$46), "Fill=B")</f>
        <v>248796</v>
      </c>
      <c r="AM75">
        <f ca="1">_xll.BDP($B$34,$C$34,CONCATENATE("PX391=", $AM$53), CONCATENATE("PX392=",$AM$54), CONCATENATE("DS004=",$B$46), "Fill=B")</f>
        <v>182269</v>
      </c>
      <c r="AN75">
        <f ca="1">_xll.BDP($B$34,$C$34,CONCATENATE("PX391=", $AN$53), CONCATENATE("PX392=",$AN$54), CONCATENATE("DS004=",$B$46), "Fill=B")</f>
        <v>216265</v>
      </c>
      <c r="AO75">
        <f ca="1">_xll.BDP($B$34,$C$34,CONCATENATE("PX391=", $AO$53), CONCATENATE("PX392=",$AO$54), CONCATENATE("DS004=",$B$46), "Fill=B")</f>
        <v>209606</v>
      </c>
      <c r="AP75">
        <f ca="1">_xll.BDP($B$34,$C$34,CONCATENATE("PX391=", $AP$53), CONCATENATE("PX392=",$AP$54), CONCATENATE("DS004=",$B$46), "Fill=B")</f>
        <v>207066</v>
      </c>
      <c r="AQ75">
        <f ca="1">_xll.BDP($B$34,$C$34,CONCATENATE("PX391=", $AQ$53), CONCATENATE("PX392=",$AQ$54), CONCATENATE("DS004=",$B$46), "Fill=B")</f>
        <v>216196</v>
      </c>
      <c r="AR75">
        <f ca="1">_xll.BDP($B$34,$C$34,CONCATENATE("PX391=", $AR$53), CONCATENATE("PX392=",$AR$54), CONCATENATE("DS004=",$B$46), "Fill=B")</f>
        <v>195101</v>
      </c>
      <c r="AS75">
        <f ca="1">_xll.BDP($B$34,$C$34,CONCATENATE("PX391=", $AS$53), CONCATENATE("PX392=",$AS$54), CONCATENATE("DS004=",$B$46), "Fill=B")</f>
        <v>208837</v>
      </c>
      <c r="AT75">
        <f ca="1">_xll.BDP($B$34,$C$34,CONCATENATE("PX391=", $AT$53), CONCATENATE("PX392=",$AT$54), CONCATENATE("DS004=",$B$46), "Fill=B")</f>
        <v>176974</v>
      </c>
      <c r="AU75">
        <f ca="1">_xll.BDP($B$34,$C$34,CONCATENATE("PX391=", $AU$53), CONCATENATE("PX392=",$AU$54), CONCATENATE("DS004=",$B$46), "Fill=B")</f>
        <v>156494</v>
      </c>
      <c r="AV75">
        <f ca="1">_xll.BDP($B$34,$C$34,CONCATENATE("PX391=", $AV$53), CONCATENATE("PX392=",$AV$54), CONCATENATE("DS004=",$B$46), "Fill=B")</f>
        <v>169705</v>
      </c>
      <c r="AW75">
        <f ca="1">_xll.BDP($B$34,$C$34,CONCATENATE("PX391=", $AW$53), CONCATENATE("PX392=",$AW$54), CONCATENATE("DS004=",$B$46), "Fill=B")</f>
        <v>176152</v>
      </c>
      <c r="AX75">
        <f ca="1">_xll.BDP($B$34,$C$34,CONCATENATE("PX391=", $AX$53), CONCATENATE("PX392=",$AX$54), CONCATENATE("DS004=",$B$46), "Fill=B")</f>
        <v>185631</v>
      </c>
      <c r="AY75">
        <f ca="1">_xll.BDP($B$34,$C$34,CONCATENATE("PX391=", $AY$53), CONCATENATE("PX392=",$AY$54), CONCATENATE("DS004=",$B$46), "Fill=B")</f>
        <v>197214</v>
      </c>
      <c r="AZ75">
        <f ca="1">_xll.BDP($B$34,$C$34,CONCATENATE("PX391=", $AZ$53), CONCATENATE("PX392=",$AZ$54), CONCATENATE("DS004=",$B$46), "Fill=B")</f>
        <v>211020</v>
      </c>
      <c r="BA75">
        <f ca="1">_xll.BDP($B$34,$C$34,CONCATENATE("PX391=", $BA$53), CONCATENATE("PX392=",$BA$54), CONCATENATE("DS004=",$B$46), "Fill=B")</f>
        <v>187882</v>
      </c>
      <c r="BB75">
        <f ca="1">_xll.BDP($B$34,$C$34,CONCATENATE("PX391=", $BB$53), CONCATENATE("PX392=",$BB$54), CONCATENATE("DS004=",$B$46), "Fill=B")</f>
        <v>184928</v>
      </c>
      <c r="BC75">
        <f ca="1">_xll.BDP($B$34,$C$34,CONCATENATE("PX391=", $BC$53), CONCATENATE("PX392=",$BC$54), CONCATENATE("DS004=",$B$46), "Fill=B")</f>
        <v>217360</v>
      </c>
      <c r="BD75">
        <f ca="1">_xll.BDP($B$34,$C$34,CONCATENATE("PX391=", $BD$53), CONCATENATE("PX392=",$BD$54), CONCATENATE("DS004=",$B$46), "Fill=B")</f>
        <v>194948</v>
      </c>
      <c r="BE75">
        <f ca="1">_xll.BDP($B$34,$C$34,CONCATENATE("PX391=", $BE$53), CONCATENATE("PX392=",$BE$54), CONCATENATE("DS004=",$B$46), "Fill=B")</f>
        <v>233110</v>
      </c>
      <c r="BF75">
        <f ca="1">_xll.BDP($B$34,$C$34,CONCATENATE("PX391=", $BF$53), CONCATENATE("PX392=",$BF$54), CONCATENATE("DS004=",$B$46), "Fill=B")</f>
        <v>210542</v>
      </c>
      <c r="BG75">
        <f ca="1">_xll.BDP($B$34,$C$34,CONCATENATE("PX391=", $BG$53), CONCATENATE("PX392=",$BG$54), CONCATENATE("DS004=",$B$46), "Fill=B")</f>
        <v>200406</v>
      </c>
      <c r="BH75">
        <f ca="1">_xll.BDP($B$34,$C$34,CONCATENATE("PX391=", $BH$53), CONCATENATE("PX392=",$BH$54), CONCATENATE("DS004=",$B$46), "Fill=B")</f>
        <v>204457</v>
      </c>
      <c r="BI75">
        <f ca="1">_xll.BDP($B$34,$C$34,CONCATENATE("PX391=", $BI$53), CONCATENATE("PX392=",$BI$54), CONCATENATE("DS004=",$B$46), "Fill=B")</f>
        <v>204621</v>
      </c>
      <c r="BJ75">
        <f ca="1">_xll.BDP($B$34,$C$34,CONCATENATE("PX391=", $BJ$53), CONCATENATE("PX392=",$BJ$54), CONCATENATE("DS004=",$B$46), "Fill=B")</f>
        <v>214113</v>
      </c>
      <c r="BK75">
        <f ca="1">_xll.BDP($B$34,$C$34,CONCATENATE("PX391=", $BK$53), CONCATENATE("PX392=",$BK$54), CONCATENATE("DS004=",$B$46), "Fill=B")</f>
        <v>178131</v>
      </c>
      <c r="BL75">
        <f ca="1">_xll.BDP($B$34,$C$34,CONCATENATE("PX391=", $BL$53), CONCATENATE("PX392=",$BL$54), CONCATENATE("DS004=",$B$46), "Fill=B")</f>
        <v>205689</v>
      </c>
      <c r="BM75">
        <f ca="1">_xll.BDP($B$34,$C$34,CONCATENATE("PX391=", $BM$53), CONCATENATE("PX392=",$BM$54), CONCATENATE("DS004=",$B$46), "Fill=B")</f>
        <v>199701</v>
      </c>
      <c r="BN75">
        <f ca="1">_xll.BDP($B$34,$C$34,CONCATENATE("PX391=", $BN$53), CONCATENATE("PX392=",$BN$54), CONCATENATE("DS004=",$B$46), "Fill=B")</f>
        <v>188583</v>
      </c>
      <c r="BO75">
        <f ca="1">_xll.BDP($B$34,$C$34,CONCATENATE("PX391=", $BO$53), CONCATENATE("PX392=",$BO$54), CONCATENATE("DS004=",$B$46), "Fill=B")</f>
        <v>217035</v>
      </c>
      <c r="BP75">
        <f ca="1">_xll.BDP($B$34,$C$34,CONCATENATE("PX391=", $BP$53), CONCATENATE("PX392=",$BP$54), CONCATENATE("DS004=",$B$46), "Fill=B")</f>
        <v>173226</v>
      </c>
      <c r="BQ75">
        <f ca="1">_xll.BDP($B$34,$C$34,CONCATENATE("PX391=", $BQ$53), CONCATENATE("PX392=",$BQ$54), CONCATENATE("DS004=",$B$46), "Fill=B")</f>
        <v>206541</v>
      </c>
      <c r="BR75">
        <f ca="1">_xll.BDP($B$34,$C$34,CONCATENATE("PX391=", $BR$53), CONCATENATE("PX392=",$BR$54), CONCATENATE("DS004=",$B$46), "Fill=B")</f>
        <v>200594</v>
      </c>
      <c r="BS75">
        <f ca="1">_xll.BDP($B$34,$C$34,CONCATENATE("PX391=", $BS$53), CONCATENATE("PX392=",$BS$54), CONCATENATE("DS004=",$B$46), "Fill=B")</f>
        <v>201163</v>
      </c>
      <c r="BT75">
        <f ca="1">_xll.BDP($B$34,$C$34,CONCATENATE("PX391=", $BT$53), CONCATENATE("PX392=",$BT$54), CONCATENATE("DS004=",$B$46), "Fill=B")</f>
        <v>197437</v>
      </c>
      <c r="BU75">
        <f ca="1">_xll.BDP($B$34,$C$34,CONCATENATE("PX391=", $BU$53), CONCATENATE("PX392=",$BU$54), CONCATENATE("DS004=",$B$46), "Fill=B")</f>
        <v>196439</v>
      </c>
      <c r="BV75">
        <f ca="1">_xll.BDP($B$34,$C$34,CONCATENATE("PX391=", $BV$53), CONCATENATE("PX392=",$BV$54), CONCATENATE("DS004=",$B$46), "Fill=B")</f>
        <v>199659</v>
      </c>
      <c r="BW75">
        <f ca="1">_xll.BDP($B$34,$C$34,CONCATENATE("PX391=", $BW$53), CONCATENATE("PX392=",$BW$54), CONCATENATE("DS004=",$B$46), "Fill=B")</f>
        <v>168480</v>
      </c>
      <c r="BX75">
        <f ca="1">_xll.BDP($B$34,$C$34,CONCATENATE("PX391=", $BX$53), CONCATENATE("PX392=",$BX$54), CONCATENATE("DS004=",$B$46), "Fill=B")</f>
        <v>167398</v>
      </c>
      <c r="BY75">
        <f ca="1">_xll.BDP($B$34,$C$34,CONCATENATE("PX391=", $BY$53), CONCATENATE("PX392=",$BY$54), CONCATENATE("DS004=",$B$46), "Fill=B")</f>
        <v>182884</v>
      </c>
      <c r="BZ75">
        <f ca="1">_xll.BDP($B$34,$C$34,CONCATENATE("PX391=", $BZ$53), CONCATENATE("PX392=",$BZ$54), CONCATENATE("DS004=",$B$46), "Fill=B")</f>
        <v>163592</v>
      </c>
      <c r="CA75">
        <f ca="1">_xll.BDP($B$34,$C$34,CONCATENATE("PX391=", $CA$53), CONCATENATE("PX392=",$CA$54), CONCATENATE("DS004=",$B$46), "Fill=B")</f>
        <v>182827</v>
      </c>
      <c r="CB75">
        <f ca="1">_xll.BDP($B$34,$C$34,CONCATENATE("PX391=", $CB$53), CONCATENATE("PX392=",$CB$54), CONCATENATE("DS004=",$B$46), "Fill=B")</f>
        <v>179856</v>
      </c>
      <c r="CC75">
        <f ca="1">_xll.BDP($B$34,$C$34,CONCATENATE("PX391=", $CC$53), CONCATENATE("PX392=",$CC$54), CONCATENATE("DS004=",$B$46), "Fill=B")</f>
        <v>177728</v>
      </c>
      <c r="CD75">
        <f ca="1">_xll.BDP($B$34,$C$34,CONCATENATE("PX391=", $CD$53), CONCATENATE("PX392=",$CD$54), CONCATENATE("DS004=",$B$46), "Fill=B")</f>
        <v>182411</v>
      </c>
      <c r="CE75">
        <f ca="1">_xll.BDP($B$34,$C$34,CONCATENATE("PX391=", $CE$53), CONCATENATE("PX392=",$CE$54), CONCATENATE("DS004=",$B$46), "Fill=B")</f>
        <v>183237</v>
      </c>
      <c r="CF75">
        <f ca="1">_xll.BDP($B$34,$C$34,CONCATENATE("PX391=", $CF$53), CONCATENATE("PX392=",$CF$54), CONCATENATE("DS004=",$B$46), "Fill=B")</f>
        <v>182452</v>
      </c>
      <c r="CG75">
        <f ca="1">_xll.BDP($B$34,$C$34,CONCATENATE("PX391=", $CG$53), CONCATENATE("PX392=",$CG$54), CONCATENATE("DS004=",$B$46), "Fill=B")</f>
        <v>189315</v>
      </c>
      <c r="CH75">
        <f ca="1">_xll.BDP($B$34,$C$34,CONCATENATE("PX391=", $CH$53), CONCATENATE("PX392=",$CH$54), CONCATENATE("DS004=",$B$46), "Fill=B")</f>
        <v>192411</v>
      </c>
      <c r="CI75">
        <f ca="1">_xll.BDP($B$34,$C$34,CONCATENATE("PX391=", $CI$53), CONCATENATE("PX392=",$CI$54), CONCATENATE("DS004=",$B$46), "Fill=B")</f>
        <v>175820</v>
      </c>
      <c r="CJ75">
        <f ca="1">_xll.BDP($B$34,$C$34,CONCATENATE("PX391=", $CJ$53), CONCATENATE("PX392=",$CJ$54), CONCATENATE("DS004=",$B$46), "Fill=B")</f>
        <v>185018</v>
      </c>
      <c r="CK75">
        <f ca="1">_xll.BDP($B$34,$C$34,CONCATENATE("PX391=", $CK$53), CONCATENATE("PX392=",$CK$54), CONCATENATE("DS004=",$B$46), "Fill=B")</f>
        <v>164480</v>
      </c>
      <c r="CL75" t="str">
        <f>""</f>
        <v/>
      </c>
      <c r="CM75" t="str">
        <f>""</f>
        <v/>
      </c>
      <c r="CN75" t="str">
        <f>""</f>
        <v/>
      </c>
      <c r="CO75" t="str">
        <f>""</f>
        <v/>
      </c>
      <c r="CP75" t="str">
        <f>""</f>
        <v/>
      </c>
      <c r="CQ75" t="str">
        <f>""</f>
        <v/>
      </c>
      <c r="CR75" t="str">
        <f>""</f>
        <v/>
      </c>
      <c r="CS75" t="str">
        <f>""</f>
        <v/>
      </c>
      <c r="CT75" t="str">
        <f>""</f>
        <v/>
      </c>
      <c r="CU75" t="str">
        <f>""</f>
        <v/>
      </c>
      <c r="CV75" t="str">
        <f>""</f>
        <v/>
      </c>
      <c r="CW75" t="str">
        <f>""</f>
        <v/>
      </c>
      <c r="CX75" t="str">
        <f>""</f>
        <v/>
      </c>
      <c r="CY75" t="str">
        <f>""</f>
        <v/>
      </c>
      <c r="CZ75" t="str">
        <f>""</f>
        <v/>
      </c>
      <c r="DA75" t="str">
        <f>""</f>
        <v/>
      </c>
      <c r="DB75" t="str">
        <f>""</f>
        <v/>
      </c>
      <c r="DC75" t="str">
        <f>""</f>
        <v/>
      </c>
      <c r="DD75" t="str">
        <f>""</f>
        <v/>
      </c>
      <c r="DE75" t="str">
        <f>""</f>
        <v/>
      </c>
      <c r="DF75" t="str">
        <f>""</f>
        <v/>
      </c>
      <c r="DG75" t="str">
        <f>""</f>
        <v/>
      </c>
      <c r="DH75" t="str">
        <f>""</f>
        <v/>
      </c>
      <c r="DI75" t="str">
        <f>""</f>
        <v/>
      </c>
      <c r="DJ75" t="str">
        <f>""</f>
        <v/>
      </c>
      <c r="DK75" t="str">
        <f>""</f>
        <v/>
      </c>
      <c r="DL75" t="str">
        <f>""</f>
        <v/>
      </c>
      <c r="DM75" t="str">
        <f>""</f>
        <v/>
      </c>
      <c r="DN75" t="str">
        <f>""</f>
        <v/>
      </c>
      <c r="DO75" t="str">
        <f>""</f>
        <v/>
      </c>
      <c r="DP75" t="str">
        <f>""</f>
        <v/>
      </c>
      <c r="DQ75" t="str">
        <f>""</f>
        <v/>
      </c>
      <c r="DR75" t="str">
        <f>""</f>
        <v/>
      </c>
      <c r="DS75" t="str">
        <f>""</f>
        <v/>
      </c>
      <c r="DT75" t="str">
        <f>""</f>
        <v/>
      </c>
      <c r="DU75" t="str">
        <f>""</f>
        <v/>
      </c>
      <c r="DV75" t="str">
        <f>""</f>
        <v/>
      </c>
      <c r="DW75" t="str">
        <f>""</f>
        <v/>
      </c>
      <c r="DX75" t="str">
        <f>""</f>
        <v/>
      </c>
      <c r="DY75" t="str">
        <f>""</f>
        <v/>
      </c>
      <c r="DZ75" t="str">
        <f>""</f>
        <v/>
      </c>
      <c r="EA75" t="str">
        <f>""</f>
        <v/>
      </c>
      <c r="EB75" t="str">
        <f>""</f>
        <v/>
      </c>
      <c r="EC75" t="str">
        <f>""</f>
        <v/>
      </c>
      <c r="ED75" t="str">
        <f>""</f>
        <v/>
      </c>
      <c r="EE75" t="str">
        <f>""</f>
        <v/>
      </c>
      <c r="EF75" t="str">
        <f>""</f>
        <v/>
      </c>
      <c r="EG75" t="str">
        <f>""</f>
        <v/>
      </c>
      <c r="EH75" t="str">
        <f>""</f>
        <v/>
      </c>
      <c r="EI75" t="str">
        <f>""</f>
        <v/>
      </c>
      <c r="EJ75" t="str">
        <f>""</f>
        <v/>
      </c>
      <c r="EK75" t="str">
        <f>""</f>
        <v/>
      </c>
      <c r="EL75" t="str">
        <f>""</f>
        <v/>
      </c>
      <c r="EM75" t="str">
        <f>""</f>
        <v/>
      </c>
      <c r="EN75" t="str">
        <f>""</f>
        <v/>
      </c>
      <c r="EO75" t="str">
        <f>""</f>
        <v/>
      </c>
      <c r="EP75" t="str">
        <f>""</f>
        <v/>
      </c>
      <c r="EQ75" t="str">
        <f>""</f>
        <v/>
      </c>
      <c r="ER75" t="str">
        <f>""</f>
        <v/>
      </c>
      <c r="ES75" t="str">
        <f>""</f>
        <v/>
      </c>
      <c r="ET75" t="str">
        <f>""</f>
        <v/>
      </c>
      <c r="EU75" t="str">
        <f>""</f>
        <v/>
      </c>
      <c r="EV75" t="str">
        <f>""</f>
        <v/>
      </c>
      <c r="EW75" t="str">
        <f>""</f>
        <v/>
      </c>
      <c r="EX75" t="str">
        <f>""</f>
        <v/>
      </c>
      <c r="EY75" t="str">
        <f>""</f>
        <v/>
      </c>
      <c r="EZ75" t="str">
        <f>""</f>
        <v/>
      </c>
      <c r="FA75" t="str">
        <f>""</f>
        <v/>
      </c>
      <c r="FB75" t="str">
        <f>""</f>
        <v/>
      </c>
      <c r="FC75" t="str">
        <f>""</f>
        <v/>
      </c>
      <c r="FD75" t="str">
        <f>""</f>
        <v/>
      </c>
      <c r="FE75" t="str">
        <f>""</f>
        <v/>
      </c>
      <c r="FF75" t="str">
        <f>""</f>
        <v/>
      </c>
      <c r="FG75" t="str">
        <f>""</f>
        <v/>
      </c>
      <c r="FH75" t="str">
        <f>""</f>
        <v/>
      </c>
      <c r="FI75" t="str">
        <f>""</f>
        <v/>
      </c>
      <c r="FJ75" t="str">
        <f>""</f>
        <v/>
      </c>
      <c r="FK75" t="str">
        <f>""</f>
        <v/>
      </c>
      <c r="FL75" t="str">
        <f>""</f>
        <v/>
      </c>
      <c r="FM75" t="str">
        <f>""</f>
        <v/>
      </c>
      <c r="FN75" t="str">
        <f>""</f>
        <v/>
      </c>
      <c r="FO75" t="str">
        <f>""</f>
        <v/>
      </c>
      <c r="FP75" t="str">
        <f>""</f>
        <v/>
      </c>
      <c r="FQ75" t="str">
        <f>""</f>
        <v/>
      </c>
    </row>
    <row r="76" spans="1:173" x14ac:dyDescent="0.25">
      <c r="A76" t="str">
        <f>$A$35</f>
        <v xml:space="preserve">    Port of Prince Rupert (TEU)</v>
      </c>
      <c r="B76" t="str">
        <f>$B$35</f>
        <v>PRPSTTTE Index</v>
      </c>
      <c r="C76" t="str">
        <f>$C$35</f>
        <v>PX385</v>
      </c>
      <c r="D76" t="str">
        <f>$D$35</f>
        <v>INTERVAL_SUM</v>
      </c>
      <c r="E76" t="str">
        <f>$E$35</f>
        <v>Dynamic</v>
      </c>
      <c r="F76" t="str">
        <f ca="1">_xll.BDP($B$35,$C$35,CONCATENATE("PX391=", $F$53), CONCATENATE("PX392=",$F$54), CONCATENATE("DS004=",$B$46), "Fill=B")</f>
        <v/>
      </c>
      <c r="G76" t="str">
        <f ca="1">_xll.BDP($B$35,$C$35,CONCATENATE("PX391=", $G$53), CONCATENATE("PX392=",$G$54), CONCATENATE("DS004=",$B$46), "Fill=B")</f>
        <v/>
      </c>
      <c r="H76">
        <f ca="1">_xll.BDP($B$35,$C$35,CONCATENATE("PX391=", $H$53), CONCATENATE("PX392=",$H$54), CONCATENATE("DS004=",$B$46), "Fill=B")</f>
        <v>65899</v>
      </c>
      <c r="I76">
        <f ca="1">_xll.BDP($B$35,$C$35,CONCATENATE("PX391=", $I$53), CONCATENATE("PX392=",$I$54), CONCATENATE("DS004=",$B$46), "Fill=B")</f>
        <v>47270</v>
      </c>
      <c r="J76">
        <f ca="1">_xll.BDP($B$35,$C$35,CONCATENATE("PX391=", $J$53), CONCATENATE("PX392=",$J$54), CONCATENATE("DS004=",$B$46), "Fill=B")</f>
        <v>48499</v>
      </c>
      <c r="K76">
        <f ca="1">_xll.BDP($B$35,$C$35,CONCATENATE("PX391=", $K$53), CONCATENATE("PX392=",$K$54), CONCATENATE("DS004=",$B$46), "Fill=B")</f>
        <v>64865</v>
      </c>
      <c r="L76">
        <f ca="1">_xll.BDP($B$35,$C$35,CONCATENATE("PX391=", $L$53), CONCATENATE("PX392=",$L$54), CONCATENATE("DS004=",$B$46), "Fill=B")</f>
        <v>78458</v>
      </c>
      <c r="M76">
        <f ca="1">_xll.BDP($B$35,$C$35,CONCATENATE("PX391=", $M$53), CONCATENATE("PX392=",$M$54), CONCATENATE("DS004=",$B$46), "Fill=B")</f>
        <v>51537</v>
      </c>
      <c r="N76">
        <f ca="1">_xll.BDP($B$35,$C$35,CONCATENATE("PX391=", $N$53), CONCATENATE("PX392=",$N$54), CONCATENATE("DS004=",$B$46), "Fill=B")</f>
        <v>63401</v>
      </c>
      <c r="O76">
        <f ca="1">_xll.BDP($B$35,$C$35,CONCATENATE("PX391=", $O$53), CONCATENATE("PX392=",$O$54), CONCATENATE("DS004=",$B$46), "Fill=B")</f>
        <v>47578</v>
      </c>
      <c r="P76">
        <f ca="1">_xll.BDP($B$35,$C$35,CONCATENATE("PX391=", $P$53), CONCATENATE("PX392=",$P$54), CONCATENATE("DS004=",$B$46), "Fill=B")</f>
        <v>76564</v>
      </c>
      <c r="Q76">
        <f ca="1">_xll.BDP($B$35,$C$35,CONCATENATE("PX391=", $Q$53), CONCATENATE("PX392=",$Q$54), CONCATENATE("DS004=",$B$46), "Fill=B")</f>
        <v>86765</v>
      </c>
      <c r="R76">
        <f ca="1">_xll.BDP($B$35,$C$35,CONCATENATE("PX391=", $R$53), CONCATENATE("PX392=",$R$54), CONCATENATE("DS004=",$B$46), "Fill=B")</f>
        <v>72388</v>
      </c>
      <c r="S76">
        <f ca="1">_xll.BDP($B$35,$C$35,CONCATENATE("PX391=", $S$53), CONCATENATE("PX392=",$S$54), CONCATENATE("DS004=",$B$46), "Fill=B")</f>
        <v>85930</v>
      </c>
      <c r="T76">
        <f ca="1">_xll.BDP($B$35,$C$35,CONCATENATE("PX391=", $T$53), CONCATENATE("PX392=",$T$54), CONCATENATE("DS004=",$B$46), "Fill=B")</f>
        <v>89292</v>
      </c>
      <c r="U76">
        <f ca="1">_xll.BDP($B$35,$C$35,CONCATENATE("PX391=", $U$53), CONCATENATE("PX392=",$U$54), CONCATENATE("DS004=",$B$46), "Fill=B")</f>
        <v>114042</v>
      </c>
      <c r="V76">
        <f ca="1">_xll.BDP($B$35,$C$35,CONCATENATE("PX391=", $V$53), CONCATENATE("PX392=",$V$54), CONCATENATE("DS004=",$B$46), "Fill=B")</f>
        <v>65347</v>
      </c>
      <c r="W76">
        <f ca="1">_xll.BDP($B$35,$C$35,CONCATENATE("PX391=", $W$53), CONCATENATE("PX392=",$W$54), CONCATENATE("DS004=",$B$46), "Fill=B")</f>
        <v>84384</v>
      </c>
      <c r="X76">
        <f ca="1">_xll.BDP($B$35,$C$35,CONCATENATE("PX391=", $X$53), CONCATENATE("PX392=",$X$54), CONCATENATE("DS004=",$B$46), "Fill=B")</f>
        <v>86559</v>
      </c>
      <c r="Y76">
        <f ca="1">_xll.BDP($B$35,$C$35,CONCATENATE("PX391=", $Y$53), CONCATENATE("PX392=",$Y$54), CONCATENATE("DS004=",$B$46), "Fill=B")</f>
        <v>100540</v>
      </c>
      <c r="Z76">
        <f ca="1">_xll.BDP($B$35,$C$35,CONCATENATE("PX391=", $Z$53), CONCATENATE("PX392=",$Z$54), CONCATENATE("DS004=",$B$46), "Fill=B")</f>
        <v>95193</v>
      </c>
      <c r="AA76">
        <f ca="1">_xll.BDP($B$35,$C$35,CONCATENATE("PX391=", $AA$53), CONCATENATE("PX392=",$AA$54), CONCATENATE("DS004=",$B$46), "Fill=B")</f>
        <v>75777</v>
      </c>
      <c r="AB76">
        <f ca="1">_xll.BDP($B$35,$C$35,CONCATENATE("PX391=", $AB$53), CONCATENATE("PX392=",$AB$54), CONCATENATE("DS004=",$B$46), "Fill=B")</f>
        <v>79425</v>
      </c>
      <c r="AC76">
        <f ca="1">_xll.BDP($B$35,$C$35,CONCATENATE("PX391=", $AC$53), CONCATENATE("PX392=",$AC$54), CONCATENATE("DS004=",$B$46), "Fill=B")</f>
        <v>110030</v>
      </c>
      <c r="AD76">
        <f ca="1">_xll.BDP($B$35,$C$35,CONCATENATE("PX391=", $AD$53), CONCATENATE("PX392=",$AD$54), CONCATENATE("DS004=",$B$46), "Fill=B")</f>
        <v>61231</v>
      </c>
      <c r="AE76">
        <f ca="1">_xll.BDP($B$35,$C$35,CONCATENATE("PX391=", $AE$53), CONCATENATE("PX392=",$AE$54), CONCATENATE("DS004=",$B$46), "Fill=B")</f>
        <v>110132</v>
      </c>
      <c r="AF76">
        <f ca="1">_xll.BDP($B$35,$C$35,CONCATENATE("PX391=", $AF$53), CONCATENATE("PX392=",$AF$54), CONCATENATE("DS004=",$B$46), "Fill=B")</f>
        <v>84786</v>
      </c>
      <c r="AG76">
        <f ca="1">_xll.BDP($B$35,$C$35,CONCATENATE("PX391=", $AG$53), CONCATENATE("PX392=",$AG$54), CONCATENATE("DS004=",$B$46), "Fill=B")</f>
        <v>89000</v>
      </c>
      <c r="AH76">
        <f ca="1">_xll.BDP($B$35,$C$35,CONCATENATE("PX391=", $AH$53), CONCATENATE("PX392=",$AH$54), CONCATENATE("DS004=",$B$46), "Fill=B")</f>
        <v>107948</v>
      </c>
      <c r="AI76">
        <f ca="1">_xll.BDP($B$35,$C$35,CONCATENATE("PX391=", $AI$53), CONCATENATE("PX392=",$AI$54), CONCATENATE("DS004=",$B$46), "Fill=B")</f>
        <v>57145</v>
      </c>
      <c r="AJ76">
        <f ca="1">_xll.BDP($B$35,$C$35,CONCATENATE("PX391=", $AJ$53), CONCATENATE("PX392=",$AJ$54), CONCATENATE("DS004=",$B$46), "Fill=B")</f>
        <v>103885</v>
      </c>
      <c r="AK76">
        <f ca="1">_xll.BDP($B$35,$C$35,CONCATENATE("PX391=", $AK$53), CONCATENATE("PX392=",$AK$54), CONCATENATE("DS004=",$B$46), "Fill=B")</f>
        <v>59115</v>
      </c>
      <c r="AL76">
        <f ca="1">_xll.BDP($B$35,$C$35,CONCATENATE("PX391=", $AL$53), CONCATENATE("PX392=",$AL$54), CONCATENATE("DS004=",$B$46), "Fill=B")</f>
        <v>100445</v>
      </c>
      <c r="AM76">
        <f ca="1">_xll.BDP($B$35,$C$35,CONCATENATE("PX391=", $AM$53), CONCATENATE("PX392=",$AM$54), CONCATENATE("DS004=",$B$46), "Fill=B")</f>
        <v>72055</v>
      </c>
      <c r="AN76">
        <f ca="1">_xll.BDP($B$35,$C$35,CONCATENATE("PX391=", $AN$53), CONCATENATE("PX392=",$AN$54), CONCATENATE("DS004=",$B$46), "Fill=B")</f>
        <v>99066</v>
      </c>
      <c r="AO76">
        <f ca="1">_xll.BDP($B$35,$C$35,CONCATENATE("PX391=", $AO$53), CONCATENATE("PX392=",$AO$54), CONCATENATE("DS004=",$B$46), "Fill=B")</f>
        <v>110077</v>
      </c>
      <c r="AP76">
        <f ca="1">_xll.BDP($B$35,$C$35,CONCATENATE("PX391=", $AP$53), CONCATENATE("PX392=",$AP$54), CONCATENATE("DS004=",$B$46), "Fill=B")</f>
        <v>95771</v>
      </c>
      <c r="AQ76">
        <f ca="1">_xll.BDP($B$35,$C$35,CONCATENATE("PX391=", $AQ$53), CONCATENATE("PX392=",$AQ$54), CONCATENATE("DS004=",$B$46), "Fill=B")</f>
        <v>120987</v>
      </c>
      <c r="AR76">
        <f ca="1">_xll.BDP($B$35,$C$35,CONCATENATE("PX391=", $AR$53), CONCATENATE("PX392=",$AR$54), CONCATENATE("DS004=",$B$46), "Fill=B")</f>
        <v>110083</v>
      </c>
      <c r="AS76">
        <f ca="1">_xll.BDP($B$35,$C$35,CONCATENATE("PX391=", $AS$53), CONCATENATE("PX392=",$AS$54), CONCATENATE("DS004=",$B$46), "Fill=B")</f>
        <v>118936</v>
      </c>
      <c r="AT76">
        <f ca="1">_xll.BDP($B$35,$C$35,CONCATENATE("PX391=", $AT$53), CONCATENATE("PX392=",$AT$54), CONCATENATE("DS004=",$B$46), "Fill=B")</f>
        <v>105104</v>
      </c>
      <c r="AU76">
        <f ca="1">_xll.BDP($B$35,$C$35,CONCATENATE("PX391=", $AU$53), CONCATENATE("PX392=",$AU$54), CONCATENATE("DS004=",$B$46), "Fill=B")</f>
        <v>81915</v>
      </c>
      <c r="AV76">
        <f ca="1">_xll.BDP($B$35,$C$35,CONCATENATE("PX391=", $AV$53), CONCATENATE("PX392=",$AV$54), CONCATENATE("DS004=",$B$46), "Fill=B")</f>
        <v>68472</v>
      </c>
      <c r="AW76">
        <f ca="1">_xll.BDP($B$35,$C$35,CONCATENATE("PX391=", $AW$53), CONCATENATE("PX392=",$AW$54), CONCATENATE("DS004=",$B$46), "Fill=B")</f>
        <v>92047</v>
      </c>
      <c r="AX76">
        <f ca="1">_xll.BDP($B$35,$C$35,CONCATENATE("PX391=", $AX$53), CONCATENATE("PX392=",$AX$54), CONCATENATE("DS004=",$B$46), "Fill=B")</f>
        <v>56162</v>
      </c>
      <c r="AY76">
        <f ca="1">_xll.BDP($B$35,$C$35,CONCATENATE("PX391=", $AY$53), CONCATENATE("PX392=",$AY$54), CONCATENATE("DS004=",$B$46), "Fill=B")</f>
        <v>100340</v>
      </c>
      <c r="AZ76">
        <f ca="1">_xll.BDP($B$35,$C$35,CONCATENATE("PX391=", $AZ$53), CONCATENATE("PX392=",$AZ$54), CONCATENATE("DS004=",$B$46), "Fill=B")</f>
        <v>81487</v>
      </c>
      <c r="BA76">
        <f ca="1">_xll.BDP($B$35,$C$35,CONCATENATE("PX391=", $BA$53), CONCATENATE("PX392=",$BA$54), CONCATENATE("DS004=",$B$46), "Fill=B")</f>
        <v>107088</v>
      </c>
      <c r="BB76">
        <f ca="1">_xll.BDP($B$35,$C$35,CONCATENATE("PX391=", $BB$53), CONCATENATE("PX392=",$BB$54), CONCATENATE("DS004=",$B$46), "Fill=B")</f>
        <v>105545</v>
      </c>
      <c r="BC76">
        <f ca="1">_xll.BDP($B$35,$C$35,CONCATENATE("PX391=", $BC$53), CONCATENATE("PX392=",$BC$54), CONCATENATE("DS004=",$B$46), "Fill=B")</f>
        <v>101674</v>
      </c>
      <c r="BD76">
        <f ca="1">_xll.BDP($B$35,$C$35,CONCATENATE("PX391=", $BD$53), CONCATENATE("PX392=",$BD$54), CONCATENATE("DS004=",$B$46), "Fill=B")</f>
        <v>113800</v>
      </c>
      <c r="BE76">
        <f ca="1">_xll.BDP($B$35,$C$35,CONCATENATE("PX391=", $BE$53), CONCATENATE("PX392=",$BE$54), CONCATENATE("DS004=",$B$46), "Fill=B")</f>
        <v>123261</v>
      </c>
      <c r="BF76">
        <f ca="1">_xll.BDP($B$35,$C$35,CONCATENATE("PX391=", $BF$53), CONCATENATE("PX392=",$BF$54), CONCATENATE("DS004=",$B$46), "Fill=B")</f>
        <v>109315</v>
      </c>
      <c r="BG76">
        <f ca="1">_xll.BDP($B$35,$C$35,CONCATENATE("PX391=", $BG$53), CONCATENATE("PX392=",$BG$54), CONCATENATE("DS004=",$B$46), "Fill=B")</f>
        <v>95677</v>
      </c>
      <c r="BH76">
        <f ca="1">_xll.BDP($B$35,$C$35,CONCATENATE("PX391=", $BH$53), CONCATENATE("PX392=",$BH$54), CONCATENATE("DS004=",$B$46), "Fill=B")</f>
        <v>108351</v>
      </c>
      <c r="BI76">
        <f ca="1">_xll.BDP($B$35,$C$35,CONCATENATE("PX391=", $BI$53), CONCATENATE("PX392=",$BI$54), CONCATENATE("DS004=",$B$46), "Fill=B")</f>
        <v>97804</v>
      </c>
      <c r="BJ76">
        <f ca="1">_xll.BDP($B$35,$C$35,CONCATENATE("PX391=", $BJ$53), CONCATENATE("PX392=",$BJ$54), CONCATENATE("DS004=",$B$46), "Fill=B")</f>
        <v>86403</v>
      </c>
      <c r="BK76">
        <f ca="1">_xll.BDP($B$35,$C$35,CONCATENATE("PX391=", $BK$53), CONCATENATE("PX392=",$BK$54), CONCATENATE("DS004=",$B$46), "Fill=B")</f>
        <v>60980</v>
      </c>
      <c r="BL76">
        <f ca="1">_xll.BDP($B$35,$C$35,CONCATENATE("PX391=", $BL$53), CONCATENATE("PX392=",$BL$54), CONCATENATE("DS004=",$B$46), "Fill=B")</f>
        <v>100868</v>
      </c>
      <c r="BM76">
        <f ca="1">_xll.BDP($B$35,$C$35,CONCATENATE("PX391=", $BM$53), CONCATENATE("PX392=",$BM$54), CONCATENATE("DS004=",$B$46), "Fill=B")</f>
        <v>90830</v>
      </c>
      <c r="BN76">
        <f ca="1">_xll.BDP($B$35,$C$35,CONCATENATE("PX391=", $BN$53), CONCATENATE("PX392=",$BN$54), CONCATENATE("DS004=",$B$46), "Fill=B")</f>
        <v>81666</v>
      </c>
      <c r="BO76">
        <f ca="1">_xll.BDP($B$35,$C$35,CONCATENATE("PX391=", $BO$53), CONCATENATE("PX392=",$BO$54), CONCATENATE("DS004=",$B$46), "Fill=B")</f>
        <v>92316</v>
      </c>
      <c r="BP76">
        <f ca="1">_xll.BDP($B$35,$C$35,CONCATENATE("PX391=", $BP$53), CONCATENATE("PX392=",$BP$54), CONCATENATE("DS004=",$B$46), "Fill=B")</f>
        <v>105059.8</v>
      </c>
      <c r="BQ76">
        <f ca="1">_xll.BDP($B$35,$C$35,CONCATENATE("PX391=", $BQ$53), CONCATENATE("PX392=",$BQ$54), CONCATENATE("DS004=",$B$46), "Fill=B")</f>
        <v>74822</v>
      </c>
      <c r="BR76">
        <f ca="1">_xll.BDP($B$35,$C$35,CONCATENATE("PX391=", $BR$53), CONCATENATE("PX392=",$BR$54), CONCATENATE("DS004=",$B$46), "Fill=B")</f>
        <v>88490</v>
      </c>
      <c r="BS76">
        <f ca="1">_xll.BDP($B$35,$C$35,CONCATENATE("PX391=", $BS$53), CONCATENATE("PX392=",$BS$54), CONCATENATE("DS004=",$B$46), "Fill=B")</f>
        <v>91922</v>
      </c>
      <c r="BT76">
        <f ca="1">_xll.BDP($B$35,$C$35,CONCATENATE("PX391=", $BT$53), CONCATENATE("PX392=",$BT$54), CONCATENATE("DS004=",$B$46), "Fill=B")</f>
        <v>89950</v>
      </c>
      <c r="BU76">
        <f ca="1">_xll.BDP($B$35,$C$35,CONCATENATE("PX391=", $BU$53), CONCATENATE("PX392=",$BU$54), CONCATENATE("DS004=",$B$46), "Fill=B")</f>
        <v>81481</v>
      </c>
      <c r="BV76">
        <f ca="1">_xll.BDP($B$35,$C$35,CONCATENATE("PX391=", $BV$53), CONCATENATE("PX392=",$BV$54), CONCATENATE("DS004=",$B$46), "Fill=B")</f>
        <v>78953</v>
      </c>
      <c r="BW76">
        <f ca="1">_xll.BDP($B$35,$C$35,CONCATENATE("PX391=", $BW$53), CONCATENATE("PX392=",$BW$54), CONCATENATE("DS004=",$B$46), "Fill=B")</f>
        <v>76754</v>
      </c>
      <c r="BX76">
        <f ca="1">_xll.BDP($B$35,$C$35,CONCATENATE("PX391=", $BX$53), CONCATENATE("PX392=",$BX$54), CONCATENATE("DS004=",$B$46), "Fill=B")</f>
        <v>83778</v>
      </c>
      <c r="BY76">
        <f ca="1">_xll.BDP($B$35,$C$35,CONCATENATE("PX391=", $BY$53), CONCATENATE("PX392=",$BY$54), CONCATENATE("DS004=",$B$46), "Fill=B")</f>
        <v>77645</v>
      </c>
      <c r="BZ76">
        <f ca="1">_xll.BDP($B$35,$C$35,CONCATENATE("PX391=", $BZ$53), CONCATENATE("PX392=",$BZ$54), CONCATENATE("DS004=",$B$46), "Fill=B")</f>
        <v>85119</v>
      </c>
      <c r="CA76">
        <f ca="1">_xll.BDP($B$35,$C$35,CONCATENATE("PX391=", $CA$53), CONCATENATE("PX392=",$CA$54), CONCATENATE("DS004=",$B$46), "Fill=B")</f>
        <v>91829.5</v>
      </c>
      <c r="CB76">
        <f ca="1">_xll.BDP($B$35,$C$35,CONCATENATE("PX391=", $CB$53), CONCATENATE("PX392=",$CB$54), CONCATENATE("DS004=",$B$46), "Fill=B")</f>
        <v>75772.3</v>
      </c>
      <c r="CC76">
        <f ca="1">_xll.BDP($B$35,$C$35,CONCATENATE("PX391=", $CC$53), CONCATENATE("PX392=",$CC$54), CONCATENATE("DS004=",$B$46), "Fill=B")</f>
        <v>87521</v>
      </c>
      <c r="CD76">
        <f ca="1">_xll.BDP($B$35,$C$35,CONCATENATE("PX391=", $CD$53), CONCATENATE("PX392=",$CD$54), CONCATENATE("DS004=",$B$46), "Fill=B")</f>
        <v>85784.8</v>
      </c>
      <c r="CE76">
        <f ca="1">_xll.BDP($B$35,$C$35,CONCATENATE("PX391=", $CE$53), CONCATENATE("PX392=",$CE$54), CONCATENATE("DS004=",$B$46), "Fill=B")</f>
        <v>91842.3</v>
      </c>
      <c r="CF76">
        <f ca="1">_xll.BDP($B$35,$C$35,CONCATENATE("PX391=", $CF$53), CONCATENATE("PX392=",$CF$54), CONCATENATE("DS004=",$B$46), "Fill=B")</f>
        <v>74174.5</v>
      </c>
      <c r="CG76">
        <f ca="1">_xll.BDP($B$35,$C$35,CONCATENATE("PX391=", $CG$53), CONCATENATE("PX392=",$CG$54), CONCATENATE("DS004=",$B$46), "Fill=B")</f>
        <v>69971.8</v>
      </c>
      <c r="CH76">
        <f ca="1">_xll.BDP($B$35,$C$35,CONCATENATE("PX391=", $CH$53), CONCATENATE("PX392=",$CH$54), CONCATENATE("DS004=",$B$46), "Fill=B")</f>
        <v>64195</v>
      </c>
      <c r="CI76">
        <f ca="1">_xll.BDP($B$35,$C$35,CONCATENATE("PX391=", $CI$53), CONCATENATE("PX392=",$CI$54), CONCATENATE("DS004=",$B$46), "Fill=B")</f>
        <v>56648</v>
      </c>
      <c r="CJ76">
        <f ca="1">_xll.BDP($B$35,$C$35,CONCATENATE("PX391=", $CJ$53), CONCATENATE("PX392=",$CJ$54), CONCATENATE("DS004=",$B$46), "Fill=B")</f>
        <v>66035</v>
      </c>
      <c r="CK76">
        <f ca="1">_xll.BDP($B$35,$C$35,CONCATENATE("PX391=", $CK$53), CONCATENATE("PX392=",$CK$54), CONCATENATE("DS004=",$B$46), "Fill=B")</f>
        <v>58870</v>
      </c>
      <c r="CL76" t="str">
        <f>""</f>
        <v/>
      </c>
      <c r="CM76" t="str">
        <f>""</f>
        <v/>
      </c>
      <c r="CN76" t="str">
        <f>""</f>
        <v/>
      </c>
      <c r="CO76" t="str">
        <f>""</f>
        <v/>
      </c>
      <c r="CP76" t="str">
        <f>""</f>
        <v/>
      </c>
      <c r="CQ76" t="str">
        <f>""</f>
        <v/>
      </c>
      <c r="CR76" t="str">
        <f>""</f>
        <v/>
      </c>
      <c r="CS76" t="str">
        <f>""</f>
        <v/>
      </c>
      <c r="CT76" t="str">
        <f>""</f>
        <v/>
      </c>
      <c r="CU76" t="str">
        <f>""</f>
        <v/>
      </c>
      <c r="CV76" t="str">
        <f>""</f>
        <v/>
      </c>
      <c r="CW76" t="str">
        <f>""</f>
        <v/>
      </c>
      <c r="CX76" t="str">
        <f>""</f>
        <v/>
      </c>
      <c r="CY76" t="str">
        <f>""</f>
        <v/>
      </c>
      <c r="CZ76" t="str">
        <f>""</f>
        <v/>
      </c>
      <c r="DA76" t="str">
        <f>""</f>
        <v/>
      </c>
      <c r="DB76" t="str">
        <f>""</f>
        <v/>
      </c>
      <c r="DC76" t="str">
        <f>""</f>
        <v/>
      </c>
      <c r="DD76" t="str">
        <f>""</f>
        <v/>
      </c>
      <c r="DE76" t="str">
        <f>""</f>
        <v/>
      </c>
      <c r="DF76" t="str">
        <f>""</f>
        <v/>
      </c>
      <c r="DG76" t="str">
        <f>""</f>
        <v/>
      </c>
      <c r="DH76" t="str">
        <f>""</f>
        <v/>
      </c>
      <c r="DI76" t="str">
        <f>""</f>
        <v/>
      </c>
      <c r="DJ76" t="str">
        <f>""</f>
        <v/>
      </c>
      <c r="DK76" t="str">
        <f>""</f>
        <v/>
      </c>
      <c r="DL76" t="str">
        <f>""</f>
        <v/>
      </c>
      <c r="DM76" t="str">
        <f>""</f>
        <v/>
      </c>
      <c r="DN76" t="str">
        <f>""</f>
        <v/>
      </c>
      <c r="DO76" t="str">
        <f>""</f>
        <v/>
      </c>
      <c r="DP76" t="str">
        <f>""</f>
        <v/>
      </c>
      <c r="DQ76" t="str">
        <f>""</f>
        <v/>
      </c>
      <c r="DR76" t="str">
        <f>""</f>
        <v/>
      </c>
      <c r="DS76" t="str">
        <f>""</f>
        <v/>
      </c>
      <c r="DT76" t="str">
        <f>""</f>
        <v/>
      </c>
      <c r="DU76" t="str">
        <f>""</f>
        <v/>
      </c>
      <c r="DV76" t="str">
        <f>""</f>
        <v/>
      </c>
      <c r="DW76" t="str">
        <f>""</f>
        <v/>
      </c>
      <c r="DX76" t="str">
        <f>""</f>
        <v/>
      </c>
      <c r="DY76" t="str">
        <f>""</f>
        <v/>
      </c>
      <c r="DZ76" t="str">
        <f>""</f>
        <v/>
      </c>
      <c r="EA76" t="str">
        <f>""</f>
        <v/>
      </c>
      <c r="EB76" t="str">
        <f>""</f>
        <v/>
      </c>
      <c r="EC76" t="str">
        <f>""</f>
        <v/>
      </c>
      <c r="ED76" t="str">
        <f>""</f>
        <v/>
      </c>
      <c r="EE76" t="str">
        <f>""</f>
        <v/>
      </c>
      <c r="EF76" t="str">
        <f>""</f>
        <v/>
      </c>
      <c r="EG76" t="str">
        <f>""</f>
        <v/>
      </c>
      <c r="EH76" t="str">
        <f>""</f>
        <v/>
      </c>
      <c r="EI76" t="str">
        <f>""</f>
        <v/>
      </c>
      <c r="EJ76" t="str">
        <f>""</f>
        <v/>
      </c>
      <c r="EK76" t="str">
        <f>""</f>
        <v/>
      </c>
      <c r="EL76" t="str">
        <f>""</f>
        <v/>
      </c>
      <c r="EM76" t="str">
        <f>""</f>
        <v/>
      </c>
      <c r="EN76" t="str">
        <f>""</f>
        <v/>
      </c>
      <c r="EO76" t="str">
        <f>""</f>
        <v/>
      </c>
      <c r="EP76" t="str">
        <f>""</f>
        <v/>
      </c>
      <c r="EQ76" t="str">
        <f>""</f>
        <v/>
      </c>
      <c r="ER76" t="str">
        <f>""</f>
        <v/>
      </c>
      <c r="ES76" t="str">
        <f>""</f>
        <v/>
      </c>
      <c r="ET76" t="str">
        <f>""</f>
        <v/>
      </c>
      <c r="EU76" t="str">
        <f>""</f>
        <v/>
      </c>
      <c r="EV76" t="str">
        <f>""</f>
        <v/>
      </c>
      <c r="EW76" t="str">
        <f>""</f>
        <v/>
      </c>
      <c r="EX76" t="str">
        <f>""</f>
        <v/>
      </c>
      <c r="EY76" t="str">
        <f>""</f>
        <v/>
      </c>
      <c r="EZ76" t="str">
        <f>""</f>
        <v/>
      </c>
      <c r="FA76" t="str">
        <f>""</f>
        <v/>
      </c>
      <c r="FB76" t="str">
        <f>""</f>
        <v/>
      </c>
      <c r="FC76" t="str">
        <f>""</f>
        <v/>
      </c>
      <c r="FD76" t="str">
        <f>""</f>
        <v/>
      </c>
      <c r="FE76" t="str">
        <f>""</f>
        <v/>
      </c>
      <c r="FF76" t="str">
        <f>""</f>
        <v/>
      </c>
      <c r="FG76" t="str">
        <f>""</f>
        <v/>
      </c>
      <c r="FH76" t="str">
        <f>""</f>
        <v/>
      </c>
      <c r="FI76" t="str">
        <f>""</f>
        <v/>
      </c>
      <c r="FJ76" t="str">
        <f>""</f>
        <v/>
      </c>
      <c r="FK76" t="str">
        <f>""</f>
        <v/>
      </c>
      <c r="FL76" t="str">
        <f>""</f>
        <v/>
      </c>
      <c r="FM76" t="str">
        <f>""</f>
        <v/>
      </c>
      <c r="FN76" t="str">
        <f>""</f>
        <v/>
      </c>
      <c r="FO76" t="str">
        <f>""</f>
        <v/>
      </c>
      <c r="FP76" t="str">
        <f>""</f>
        <v/>
      </c>
      <c r="FQ76" t="str">
        <f>""</f>
        <v/>
      </c>
    </row>
    <row r="77" spans="1:173" x14ac:dyDescent="0.25">
      <c r="A77" t="str">
        <f>""</f>
        <v/>
      </c>
      <c r="B77" t="str">
        <f>""</f>
        <v/>
      </c>
      <c r="C77" t="str">
        <f>""</f>
        <v/>
      </c>
      <c r="D77" t="str">
        <f>""</f>
        <v/>
      </c>
      <c r="E77" t="str">
        <f>""</f>
        <v/>
      </c>
      <c r="CL77" t="str">
        <f>""</f>
        <v/>
      </c>
      <c r="CM77" t="str">
        <f>""</f>
        <v/>
      </c>
      <c r="CN77" t="str">
        <f>""</f>
        <v/>
      </c>
      <c r="CO77" t="str">
        <f>""</f>
        <v/>
      </c>
      <c r="CP77" t="str">
        <f>""</f>
        <v/>
      </c>
      <c r="CQ77" t="str">
        <f>""</f>
        <v/>
      </c>
      <c r="CR77" t="str">
        <f>""</f>
        <v/>
      </c>
      <c r="CS77" t="str">
        <f>""</f>
        <v/>
      </c>
      <c r="CT77" t="str">
        <f>""</f>
        <v/>
      </c>
      <c r="CU77" t="str">
        <f>""</f>
        <v/>
      </c>
      <c r="CV77" t="str">
        <f>""</f>
        <v/>
      </c>
      <c r="CW77" t="str">
        <f>""</f>
        <v/>
      </c>
      <c r="CX77" t="str">
        <f>""</f>
        <v/>
      </c>
      <c r="CY77" t="str">
        <f>""</f>
        <v/>
      </c>
      <c r="CZ77" t="str">
        <f>""</f>
        <v/>
      </c>
      <c r="DA77" t="str">
        <f>""</f>
        <v/>
      </c>
      <c r="DB77" t="str">
        <f>""</f>
        <v/>
      </c>
      <c r="DC77" t="str">
        <f>""</f>
        <v/>
      </c>
      <c r="DD77" t="str">
        <f>""</f>
        <v/>
      </c>
      <c r="DE77" t="str">
        <f>""</f>
        <v/>
      </c>
      <c r="DF77" t="str">
        <f>""</f>
        <v/>
      </c>
      <c r="DG77" t="str">
        <f>""</f>
        <v/>
      </c>
      <c r="DH77" t="str">
        <f>""</f>
        <v/>
      </c>
      <c r="DI77" t="str">
        <f>""</f>
        <v/>
      </c>
      <c r="DJ77" t="str">
        <f>""</f>
        <v/>
      </c>
      <c r="DK77" t="str">
        <f>""</f>
        <v/>
      </c>
      <c r="DL77" t="str">
        <f>""</f>
        <v/>
      </c>
      <c r="DM77" t="str">
        <f>""</f>
        <v/>
      </c>
      <c r="DN77" t="str">
        <f>""</f>
        <v/>
      </c>
      <c r="DO77" t="str">
        <f>""</f>
        <v/>
      </c>
      <c r="DP77" t="str">
        <f>""</f>
        <v/>
      </c>
      <c r="DQ77" t="str">
        <f>""</f>
        <v/>
      </c>
      <c r="DR77" t="str">
        <f>""</f>
        <v/>
      </c>
      <c r="DS77" t="str">
        <f>""</f>
        <v/>
      </c>
      <c r="DT77" t="str">
        <f>""</f>
        <v/>
      </c>
      <c r="DU77" t="str">
        <f>""</f>
        <v/>
      </c>
      <c r="DV77" t="str">
        <f>""</f>
        <v/>
      </c>
      <c r="DW77" t="str">
        <f>""</f>
        <v/>
      </c>
      <c r="DX77" t="str">
        <f>""</f>
        <v/>
      </c>
      <c r="DY77" t="str">
        <f>""</f>
        <v/>
      </c>
      <c r="DZ77" t="str">
        <f>""</f>
        <v/>
      </c>
      <c r="EA77" t="str">
        <f>""</f>
        <v/>
      </c>
      <c r="EB77" t="str">
        <f>""</f>
        <v/>
      </c>
      <c r="EC77" t="str">
        <f>""</f>
        <v/>
      </c>
      <c r="ED77" t="str">
        <f>""</f>
        <v/>
      </c>
      <c r="EE77" t="str">
        <f>""</f>
        <v/>
      </c>
      <c r="EF77" t="str">
        <f>""</f>
        <v/>
      </c>
      <c r="EG77" t="str">
        <f>""</f>
        <v/>
      </c>
      <c r="EH77" t="str">
        <f>""</f>
        <v/>
      </c>
      <c r="EI77" t="str">
        <f>""</f>
        <v/>
      </c>
      <c r="EJ77" t="str">
        <f>""</f>
        <v/>
      </c>
      <c r="EK77" t="str">
        <f>""</f>
        <v/>
      </c>
      <c r="EL77" t="str">
        <f>""</f>
        <v/>
      </c>
      <c r="EM77" t="str">
        <f>""</f>
        <v/>
      </c>
      <c r="EN77" t="str">
        <f>""</f>
        <v/>
      </c>
      <c r="EO77" t="str">
        <f>""</f>
        <v/>
      </c>
      <c r="EP77" t="str">
        <f>""</f>
        <v/>
      </c>
      <c r="EQ77" t="str">
        <f>""</f>
        <v/>
      </c>
      <c r="ER77" t="str">
        <f>""</f>
        <v/>
      </c>
      <c r="ES77" t="str">
        <f>""</f>
        <v/>
      </c>
      <c r="ET77" t="str">
        <f>""</f>
        <v/>
      </c>
      <c r="EU77" t="str">
        <f>""</f>
        <v/>
      </c>
      <c r="EV77" t="str">
        <f>""</f>
        <v/>
      </c>
      <c r="EW77" t="str">
        <f>""</f>
        <v/>
      </c>
      <c r="EX77" t="str">
        <f>""</f>
        <v/>
      </c>
      <c r="EY77" t="str">
        <f>""</f>
        <v/>
      </c>
      <c r="EZ77" t="str">
        <f>""</f>
        <v/>
      </c>
      <c r="FA77" t="str">
        <f>""</f>
        <v/>
      </c>
      <c r="FB77" t="str">
        <f>""</f>
        <v/>
      </c>
      <c r="FC77" t="str">
        <f>""</f>
        <v/>
      </c>
      <c r="FD77" t="str">
        <f>""</f>
        <v/>
      </c>
      <c r="FE77" t="str">
        <f>""</f>
        <v/>
      </c>
      <c r="FF77" t="str">
        <f>""</f>
        <v/>
      </c>
      <c r="FG77" t="str">
        <f>""</f>
        <v/>
      </c>
      <c r="FH77" t="str">
        <f>""</f>
        <v/>
      </c>
      <c r="FI77" t="str">
        <f>""</f>
        <v/>
      </c>
      <c r="FJ77" t="str">
        <f>""</f>
        <v/>
      </c>
      <c r="FK77" t="str">
        <f>""</f>
        <v/>
      </c>
      <c r="FL77" t="str">
        <f>""</f>
        <v/>
      </c>
      <c r="FM77" t="str">
        <f>""</f>
        <v/>
      </c>
      <c r="FN77" t="str">
        <f>""</f>
        <v/>
      </c>
      <c r="FO77" t="str">
        <f>""</f>
        <v/>
      </c>
      <c r="FP77" t="str">
        <f>""</f>
        <v/>
      </c>
      <c r="FQ77" t="str">
        <f>""</f>
        <v/>
      </c>
    </row>
    <row r="78" spans="1:173" x14ac:dyDescent="0.25">
      <c r="A78" t="str">
        <f>""</f>
        <v/>
      </c>
      <c r="B78" t="str">
        <f>""</f>
        <v/>
      </c>
      <c r="C78" t="str">
        <f>""</f>
        <v/>
      </c>
      <c r="D78" t="str">
        <f>""</f>
        <v/>
      </c>
      <c r="E78" t="str">
        <f>""</f>
        <v/>
      </c>
      <c r="CL78" t="str">
        <f>""</f>
        <v/>
      </c>
      <c r="CM78" t="str">
        <f>""</f>
        <v/>
      </c>
      <c r="CN78" t="str">
        <f>""</f>
        <v/>
      </c>
      <c r="CO78" t="str">
        <f>""</f>
        <v/>
      </c>
      <c r="CP78" t="str">
        <f>""</f>
        <v/>
      </c>
      <c r="CQ78" t="str">
        <f>""</f>
        <v/>
      </c>
      <c r="CR78" t="str">
        <f>""</f>
        <v/>
      </c>
      <c r="CS78" t="str">
        <f>""</f>
        <v/>
      </c>
      <c r="CT78" t="str">
        <f>""</f>
        <v/>
      </c>
      <c r="CU78" t="str">
        <f>""</f>
        <v/>
      </c>
      <c r="CV78" t="str">
        <f>""</f>
        <v/>
      </c>
      <c r="CW78" t="str">
        <f>""</f>
        <v/>
      </c>
      <c r="CX78" t="str">
        <f>""</f>
        <v/>
      </c>
      <c r="CY78" t="str">
        <f>""</f>
        <v/>
      </c>
      <c r="CZ78" t="str">
        <f>""</f>
        <v/>
      </c>
      <c r="DA78" t="str">
        <f>""</f>
        <v/>
      </c>
      <c r="DB78" t="str">
        <f>""</f>
        <v/>
      </c>
      <c r="DC78" t="str">
        <f>""</f>
        <v/>
      </c>
      <c r="DD78" t="str">
        <f>""</f>
        <v/>
      </c>
      <c r="DE78" t="str">
        <f>""</f>
        <v/>
      </c>
      <c r="DF78" t="str">
        <f>""</f>
        <v/>
      </c>
      <c r="DG78" t="str">
        <f>""</f>
        <v/>
      </c>
      <c r="DH78" t="str">
        <f>""</f>
        <v/>
      </c>
      <c r="DI78" t="str">
        <f>""</f>
        <v/>
      </c>
      <c r="DJ78" t="str">
        <f>""</f>
        <v/>
      </c>
      <c r="DK78" t="str">
        <f>""</f>
        <v/>
      </c>
      <c r="DL78" t="str">
        <f>""</f>
        <v/>
      </c>
      <c r="DM78" t="str">
        <f>""</f>
        <v/>
      </c>
      <c r="DN78" t="str">
        <f>""</f>
        <v/>
      </c>
      <c r="DO78" t="str">
        <f>""</f>
        <v/>
      </c>
      <c r="DP78" t="str">
        <f>""</f>
        <v/>
      </c>
      <c r="DQ78" t="str">
        <f>""</f>
        <v/>
      </c>
      <c r="DR78" t="str">
        <f>""</f>
        <v/>
      </c>
      <c r="DS78" t="str">
        <f>""</f>
        <v/>
      </c>
      <c r="DT78" t="str">
        <f>""</f>
        <v/>
      </c>
      <c r="DU78" t="str">
        <f>""</f>
        <v/>
      </c>
      <c r="DV78" t="str">
        <f>""</f>
        <v/>
      </c>
      <c r="DW78" t="str">
        <f>""</f>
        <v/>
      </c>
      <c r="DX78" t="str">
        <f>""</f>
        <v/>
      </c>
      <c r="DY78" t="str">
        <f>""</f>
        <v/>
      </c>
      <c r="DZ78" t="str">
        <f>""</f>
        <v/>
      </c>
      <c r="EA78" t="str">
        <f>""</f>
        <v/>
      </c>
      <c r="EB78" t="str">
        <f>""</f>
        <v/>
      </c>
      <c r="EC78" t="str">
        <f>""</f>
        <v/>
      </c>
      <c r="ED78" t="str">
        <f>""</f>
        <v/>
      </c>
      <c r="EE78" t="str">
        <f>""</f>
        <v/>
      </c>
      <c r="EF78" t="str">
        <f>""</f>
        <v/>
      </c>
      <c r="EG78" t="str">
        <f>""</f>
        <v/>
      </c>
      <c r="EH78" t="str">
        <f>""</f>
        <v/>
      </c>
      <c r="EI78" t="str">
        <f>""</f>
        <v/>
      </c>
      <c r="EJ78" t="str">
        <f>""</f>
        <v/>
      </c>
      <c r="EK78" t="str">
        <f>""</f>
        <v/>
      </c>
      <c r="EL78" t="str">
        <f>""</f>
        <v/>
      </c>
      <c r="EM78" t="str">
        <f>""</f>
        <v/>
      </c>
      <c r="EN78" t="str">
        <f>""</f>
        <v/>
      </c>
      <c r="EO78" t="str">
        <f>""</f>
        <v/>
      </c>
      <c r="EP78" t="str">
        <f>""</f>
        <v/>
      </c>
      <c r="EQ78" t="str">
        <f>""</f>
        <v/>
      </c>
      <c r="ER78" t="str">
        <f>""</f>
        <v/>
      </c>
      <c r="ES78" t="str">
        <f>""</f>
        <v/>
      </c>
      <c r="ET78" t="str">
        <f>""</f>
        <v/>
      </c>
      <c r="EU78" t="str">
        <f>""</f>
        <v/>
      </c>
      <c r="EV78" t="str">
        <f>""</f>
        <v/>
      </c>
      <c r="EW78" t="str">
        <f>""</f>
        <v/>
      </c>
      <c r="EX78" t="str">
        <f>""</f>
        <v/>
      </c>
      <c r="EY78" t="str">
        <f>""</f>
        <v/>
      </c>
      <c r="EZ78" t="str">
        <f>""</f>
        <v/>
      </c>
      <c r="FA78" t="str">
        <f>""</f>
        <v/>
      </c>
      <c r="FB78" t="str">
        <f>""</f>
        <v/>
      </c>
      <c r="FC78" t="str">
        <f>""</f>
        <v/>
      </c>
      <c r="FD78" t="str">
        <f>""</f>
        <v/>
      </c>
      <c r="FE78" t="str">
        <f>""</f>
        <v/>
      </c>
      <c r="FF78" t="str">
        <f>""</f>
        <v/>
      </c>
      <c r="FG78" t="str">
        <f>""</f>
        <v/>
      </c>
      <c r="FH78" t="str">
        <f>""</f>
        <v/>
      </c>
      <c r="FI78" t="str">
        <f>""</f>
        <v/>
      </c>
      <c r="FJ78" t="str">
        <f>""</f>
        <v/>
      </c>
      <c r="FK78" t="str">
        <f>""</f>
        <v/>
      </c>
      <c r="FL78" t="str">
        <f>""</f>
        <v/>
      </c>
      <c r="FM78" t="str">
        <f>""</f>
        <v/>
      </c>
      <c r="FN78" t="str">
        <f>""</f>
        <v/>
      </c>
      <c r="FO78" t="str">
        <f>""</f>
        <v/>
      </c>
      <c r="FP78" t="str">
        <f>""</f>
        <v/>
      </c>
      <c r="FQ78" t="str">
        <f>""</f>
        <v/>
      </c>
    </row>
    <row r="79" spans="1:173" x14ac:dyDescent="0.25">
      <c r="A79" t="str">
        <f>""</f>
        <v/>
      </c>
      <c r="B79" t="str">
        <f>""</f>
        <v/>
      </c>
      <c r="C79" t="str">
        <f>""</f>
        <v/>
      </c>
      <c r="D79" t="str">
        <f>""</f>
        <v/>
      </c>
      <c r="E79" t="str">
        <f>""</f>
        <v/>
      </c>
      <c r="CL79" t="str">
        <f>""</f>
        <v/>
      </c>
      <c r="CM79" t="str">
        <f>""</f>
        <v/>
      </c>
      <c r="CN79" t="str">
        <f>""</f>
        <v/>
      </c>
      <c r="CO79" t="str">
        <f>""</f>
        <v/>
      </c>
      <c r="CP79" t="str">
        <f>""</f>
        <v/>
      </c>
      <c r="CQ79" t="str">
        <f>""</f>
        <v/>
      </c>
      <c r="CR79" t="str">
        <f>""</f>
        <v/>
      </c>
      <c r="CS79" t="str">
        <f>""</f>
        <v/>
      </c>
      <c r="CT79" t="str">
        <f>""</f>
        <v/>
      </c>
      <c r="CU79" t="str">
        <f>""</f>
        <v/>
      </c>
      <c r="CV79" t="str">
        <f>""</f>
        <v/>
      </c>
      <c r="CW79" t="str">
        <f>""</f>
        <v/>
      </c>
      <c r="CX79" t="str">
        <f>""</f>
        <v/>
      </c>
      <c r="CY79" t="str">
        <f>""</f>
        <v/>
      </c>
      <c r="CZ79" t="str">
        <f>""</f>
        <v/>
      </c>
      <c r="DA79" t="str">
        <f>""</f>
        <v/>
      </c>
      <c r="DB79" t="str">
        <f>""</f>
        <v/>
      </c>
      <c r="DC79" t="str">
        <f>""</f>
        <v/>
      </c>
      <c r="DD79" t="str">
        <f>""</f>
        <v/>
      </c>
      <c r="DE79" t="str">
        <f>""</f>
        <v/>
      </c>
      <c r="DF79" t="str">
        <f>""</f>
        <v/>
      </c>
      <c r="DG79" t="str">
        <f>""</f>
        <v/>
      </c>
      <c r="DH79" t="str">
        <f>""</f>
        <v/>
      </c>
      <c r="DI79" t="str">
        <f>""</f>
        <v/>
      </c>
      <c r="DJ79" t="str">
        <f>""</f>
        <v/>
      </c>
      <c r="DK79" t="str">
        <f>""</f>
        <v/>
      </c>
      <c r="DL79" t="str">
        <f>""</f>
        <v/>
      </c>
      <c r="DM79" t="str">
        <f>""</f>
        <v/>
      </c>
      <c r="DN79" t="str">
        <f>""</f>
        <v/>
      </c>
      <c r="DO79" t="str">
        <f>""</f>
        <v/>
      </c>
      <c r="DP79" t="str">
        <f>""</f>
        <v/>
      </c>
      <c r="DQ79" t="str">
        <f>""</f>
        <v/>
      </c>
      <c r="DR79" t="str">
        <f>""</f>
        <v/>
      </c>
      <c r="DS79" t="str">
        <f>""</f>
        <v/>
      </c>
      <c r="DT79" t="str">
        <f>""</f>
        <v/>
      </c>
      <c r="DU79" t="str">
        <f>""</f>
        <v/>
      </c>
      <c r="DV79" t="str">
        <f>""</f>
        <v/>
      </c>
      <c r="DW79" t="str">
        <f>""</f>
        <v/>
      </c>
      <c r="DX79" t="str">
        <f>""</f>
        <v/>
      </c>
      <c r="DY79" t="str">
        <f>""</f>
        <v/>
      </c>
      <c r="DZ79" t="str">
        <f>""</f>
        <v/>
      </c>
      <c r="EA79" t="str">
        <f>""</f>
        <v/>
      </c>
      <c r="EB79" t="str">
        <f>""</f>
        <v/>
      </c>
      <c r="EC79" t="str">
        <f>""</f>
        <v/>
      </c>
      <c r="ED79" t="str">
        <f>""</f>
        <v/>
      </c>
      <c r="EE79" t="str">
        <f>""</f>
        <v/>
      </c>
      <c r="EF79" t="str">
        <f>""</f>
        <v/>
      </c>
      <c r="EG79" t="str">
        <f>""</f>
        <v/>
      </c>
      <c r="EH79" t="str">
        <f>""</f>
        <v/>
      </c>
      <c r="EI79" t="str">
        <f>""</f>
        <v/>
      </c>
      <c r="EJ79" t="str">
        <f>""</f>
        <v/>
      </c>
      <c r="EK79" t="str">
        <f>""</f>
        <v/>
      </c>
      <c r="EL79" t="str">
        <f>""</f>
        <v/>
      </c>
      <c r="EM79" t="str">
        <f>""</f>
        <v/>
      </c>
      <c r="EN79" t="str">
        <f>""</f>
        <v/>
      </c>
      <c r="EO79" t="str">
        <f>""</f>
        <v/>
      </c>
      <c r="EP79" t="str">
        <f>""</f>
        <v/>
      </c>
      <c r="EQ79" t="str">
        <f>""</f>
        <v/>
      </c>
      <c r="ER79" t="str">
        <f>""</f>
        <v/>
      </c>
      <c r="ES79" t="str">
        <f>""</f>
        <v/>
      </c>
      <c r="ET79" t="str">
        <f>""</f>
        <v/>
      </c>
      <c r="EU79" t="str">
        <f>""</f>
        <v/>
      </c>
      <c r="EV79" t="str">
        <f>""</f>
        <v/>
      </c>
      <c r="EW79" t="str">
        <f>""</f>
        <v/>
      </c>
      <c r="EX79" t="str">
        <f>""</f>
        <v/>
      </c>
      <c r="EY79" t="str">
        <f>""</f>
        <v/>
      </c>
      <c r="EZ79" t="str">
        <f>""</f>
        <v/>
      </c>
      <c r="FA79" t="str">
        <f>""</f>
        <v/>
      </c>
      <c r="FB79" t="str">
        <f>""</f>
        <v/>
      </c>
      <c r="FC79" t="str">
        <f>""</f>
        <v/>
      </c>
      <c r="FD79" t="str">
        <f>""</f>
        <v/>
      </c>
      <c r="FE79" t="str">
        <f>""</f>
        <v/>
      </c>
      <c r="FF79" t="str">
        <f>""</f>
        <v/>
      </c>
      <c r="FG79" t="str">
        <f>""</f>
        <v/>
      </c>
      <c r="FH79" t="str">
        <f>""</f>
        <v/>
      </c>
      <c r="FI79" t="str">
        <f>""</f>
        <v/>
      </c>
      <c r="FJ79" t="str">
        <f>""</f>
        <v/>
      </c>
      <c r="FK79" t="str">
        <f>""</f>
        <v/>
      </c>
      <c r="FL79" t="str">
        <f>""</f>
        <v/>
      </c>
      <c r="FM79" t="str">
        <f>""</f>
        <v/>
      </c>
      <c r="FN79" t="str">
        <f>""</f>
        <v/>
      </c>
      <c r="FO79" t="str">
        <f>""</f>
        <v/>
      </c>
      <c r="FP79" t="str">
        <f>""</f>
        <v/>
      </c>
      <c r="FQ79" t="str">
        <f>""</f>
        <v/>
      </c>
    </row>
    <row r="80" spans="1:173" x14ac:dyDescent="0.25">
      <c r="A80" t="str">
        <f>""</f>
        <v/>
      </c>
      <c r="B80" t="str">
        <f>""</f>
        <v/>
      </c>
      <c r="C80" t="str">
        <f>""</f>
        <v/>
      </c>
      <c r="D80" t="str">
        <f>""</f>
        <v/>
      </c>
      <c r="E80" t="str">
        <f>""</f>
        <v/>
      </c>
      <c r="CL80" t="str">
        <f>""</f>
        <v/>
      </c>
      <c r="CM80" t="str">
        <f>""</f>
        <v/>
      </c>
      <c r="CN80" t="str">
        <f>""</f>
        <v/>
      </c>
      <c r="CO80" t="str">
        <f>""</f>
        <v/>
      </c>
      <c r="CP80" t="str">
        <f>""</f>
        <v/>
      </c>
      <c r="CQ80" t="str">
        <f>""</f>
        <v/>
      </c>
      <c r="CR80" t="str">
        <f>""</f>
        <v/>
      </c>
      <c r="CS80" t="str">
        <f>""</f>
        <v/>
      </c>
      <c r="CT80" t="str">
        <f>""</f>
        <v/>
      </c>
      <c r="CU80" t="str">
        <f>""</f>
        <v/>
      </c>
      <c r="CV80" t="str">
        <f>""</f>
        <v/>
      </c>
      <c r="CW80" t="str">
        <f>""</f>
        <v/>
      </c>
      <c r="CX80" t="str">
        <f>""</f>
        <v/>
      </c>
      <c r="CY80" t="str">
        <f>""</f>
        <v/>
      </c>
      <c r="CZ80" t="str">
        <f>""</f>
        <v/>
      </c>
      <c r="DA80" t="str">
        <f>""</f>
        <v/>
      </c>
      <c r="DB80" t="str">
        <f>""</f>
        <v/>
      </c>
      <c r="DC80" t="str">
        <f>""</f>
        <v/>
      </c>
      <c r="DD80" t="str">
        <f>""</f>
        <v/>
      </c>
      <c r="DE80" t="str">
        <f>""</f>
        <v/>
      </c>
      <c r="DF80" t="str">
        <f>""</f>
        <v/>
      </c>
      <c r="DG80" t="str">
        <f>""</f>
        <v/>
      </c>
      <c r="DH80" t="str">
        <f>""</f>
        <v/>
      </c>
      <c r="DI80" t="str">
        <f>""</f>
        <v/>
      </c>
      <c r="DJ80" t="str">
        <f>""</f>
        <v/>
      </c>
      <c r="DK80" t="str">
        <f>""</f>
        <v/>
      </c>
      <c r="DL80" t="str">
        <f>""</f>
        <v/>
      </c>
      <c r="DM80" t="str">
        <f>""</f>
        <v/>
      </c>
      <c r="DN80" t="str">
        <f>""</f>
        <v/>
      </c>
      <c r="DO80" t="str">
        <f>""</f>
        <v/>
      </c>
      <c r="DP80" t="str">
        <f>""</f>
        <v/>
      </c>
      <c r="DQ80" t="str">
        <f>""</f>
        <v/>
      </c>
      <c r="DR80" t="str">
        <f>""</f>
        <v/>
      </c>
      <c r="DS80" t="str">
        <f>""</f>
        <v/>
      </c>
      <c r="DT80" t="str">
        <f>""</f>
        <v/>
      </c>
      <c r="DU80" t="str">
        <f>""</f>
        <v/>
      </c>
      <c r="DV80" t="str">
        <f>""</f>
        <v/>
      </c>
      <c r="DW80" t="str">
        <f>""</f>
        <v/>
      </c>
      <c r="DX80" t="str">
        <f>""</f>
        <v/>
      </c>
      <c r="DY80" t="str">
        <f>""</f>
        <v/>
      </c>
      <c r="DZ80" t="str">
        <f>""</f>
        <v/>
      </c>
      <c r="EA80" t="str">
        <f>""</f>
        <v/>
      </c>
      <c r="EB80" t="str">
        <f>""</f>
        <v/>
      </c>
      <c r="EC80" t="str">
        <f>""</f>
        <v/>
      </c>
      <c r="ED80" t="str">
        <f>""</f>
        <v/>
      </c>
      <c r="EE80" t="str">
        <f>""</f>
        <v/>
      </c>
      <c r="EF80" t="str">
        <f>""</f>
        <v/>
      </c>
      <c r="EG80" t="str">
        <f>""</f>
        <v/>
      </c>
      <c r="EH80" t="str">
        <f>""</f>
        <v/>
      </c>
      <c r="EI80" t="str">
        <f>""</f>
        <v/>
      </c>
      <c r="EJ80" t="str">
        <f>""</f>
        <v/>
      </c>
      <c r="EK80" t="str">
        <f>""</f>
        <v/>
      </c>
      <c r="EL80" t="str">
        <f>""</f>
        <v/>
      </c>
      <c r="EM80" t="str">
        <f>""</f>
        <v/>
      </c>
      <c r="EN80" t="str">
        <f>""</f>
        <v/>
      </c>
      <c r="EO80" t="str">
        <f>""</f>
        <v/>
      </c>
      <c r="EP80" t="str">
        <f>""</f>
        <v/>
      </c>
      <c r="EQ80" t="str">
        <f>""</f>
        <v/>
      </c>
      <c r="ER80" t="str">
        <f>""</f>
        <v/>
      </c>
      <c r="ES80" t="str">
        <f>""</f>
        <v/>
      </c>
      <c r="ET80" t="str">
        <f>""</f>
        <v/>
      </c>
      <c r="EU80" t="str">
        <f>""</f>
        <v/>
      </c>
      <c r="EV80" t="str">
        <f>""</f>
        <v/>
      </c>
      <c r="EW80" t="str">
        <f>""</f>
        <v/>
      </c>
      <c r="EX80" t="str">
        <f>""</f>
        <v/>
      </c>
      <c r="EY80" t="str">
        <f>""</f>
        <v/>
      </c>
      <c r="EZ80" t="str">
        <f>""</f>
        <v/>
      </c>
      <c r="FA80" t="str">
        <f>""</f>
        <v/>
      </c>
      <c r="FB80" t="str">
        <f>""</f>
        <v/>
      </c>
      <c r="FC80" t="str">
        <f>""</f>
        <v/>
      </c>
      <c r="FD80" t="str">
        <f>""</f>
        <v/>
      </c>
      <c r="FE80" t="str">
        <f>""</f>
        <v/>
      </c>
      <c r="FF80" t="str">
        <f>""</f>
        <v/>
      </c>
      <c r="FG80" t="str">
        <f>""</f>
        <v/>
      </c>
      <c r="FH80" t="str">
        <f>""</f>
        <v/>
      </c>
      <c r="FI80" t="str">
        <f>""</f>
        <v/>
      </c>
      <c r="FJ80" t="str">
        <f>""</f>
        <v/>
      </c>
      <c r="FK80" t="str">
        <f>""</f>
        <v/>
      </c>
      <c r="FL80" t="str">
        <f>""</f>
        <v/>
      </c>
      <c r="FM80" t="str">
        <f>""</f>
        <v/>
      </c>
      <c r="FN80" t="str">
        <f>""</f>
        <v/>
      </c>
      <c r="FO80" t="str">
        <f>""</f>
        <v/>
      </c>
      <c r="FP80" t="str">
        <f>""</f>
        <v/>
      </c>
      <c r="FQ80" t="str">
        <f>""</f>
        <v/>
      </c>
    </row>
    <row r="81" spans="1:173" x14ac:dyDescent="0.25">
      <c r="A81" t="str">
        <f>""</f>
        <v/>
      </c>
      <c r="B81" t="str">
        <f>""</f>
        <v/>
      </c>
      <c r="C81" t="str">
        <f>""</f>
        <v/>
      </c>
      <c r="D81" t="str">
        <f>""</f>
        <v/>
      </c>
      <c r="E81" t="str">
        <f>""</f>
        <v/>
      </c>
      <c r="CL81" t="str">
        <f>""</f>
        <v/>
      </c>
      <c r="CM81" t="str">
        <f>""</f>
        <v/>
      </c>
      <c r="CN81" t="str">
        <f>""</f>
        <v/>
      </c>
      <c r="CO81" t="str">
        <f>""</f>
        <v/>
      </c>
      <c r="CP81" t="str">
        <f>""</f>
        <v/>
      </c>
      <c r="CQ81" t="str">
        <f>""</f>
        <v/>
      </c>
      <c r="CR81" t="str">
        <f>""</f>
        <v/>
      </c>
      <c r="CS81" t="str">
        <f>""</f>
        <v/>
      </c>
      <c r="CT81" t="str">
        <f>""</f>
        <v/>
      </c>
      <c r="CU81" t="str">
        <f>""</f>
        <v/>
      </c>
      <c r="CV81" t="str">
        <f>""</f>
        <v/>
      </c>
      <c r="CW81" t="str">
        <f>""</f>
        <v/>
      </c>
      <c r="CX81" t="str">
        <f>""</f>
        <v/>
      </c>
      <c r="CY81" t="str">
        <f>""</f>
        <v/>
      </c>
      <c r="CZ81" t="str">
        <f>""</f>
        <v/>
      </c>
      <c r="DA81" t="str">
        <f>""</f>
        <v/>
      </c>
      <c r="DB81" t="str">
        <f>""</f>
        <v/>
      </c>
      <c r="DC81" t="str">
        <f>""</f>
        <v/>
      </c>
      <c r="DD81" t="str">
        <f>""</f>
        <v/>
      </c>
      <c r="DE81" t="str">
        <f>""</f>
        <v/>
      </c>
      <c r="DF81" t="str">
        <f>""</f>
        <v/>
      </c>
      <c r="DG81" t="str">
        <f>""</f>
        <v/>
      </c>
      <c r="DH81" t="str">
        <f>""</f>
        <v/>
      </c>
      <c r="DI81" t="str">
        <f>""</f>
        <v/>
      </c>
      <c r="DJ81" t="str">
        <f>""</f>
        <v/>
      </c>
      <c r="DK81" t="str">
        <f>""</f>
        <v/>
      </c>
      <c r="DL81" t="str">
        <f>""</f>
        <v/>
      </c>
      <c r="DM81" t="str">
        <f>""</f>
        <v/>
      </c>
      <c r="DN81" t="str">
        <f>""</f>
        <v/>
      </c>
      <c r="DO81" t="str">
        <f>""</f>
        <v/>
      </c>
      <c r="DP81" t="str">
        <f>""</f>
        <v/>
      </c>
      <c r="DQ81" t="str">
        <f>""</f>
        <v/>
      </c>
      <c r="DR81" t="str">
        <f>""</f>
        <v/>
      </c>
      <c r="DS81" t="str">
        <f>""</f>
        <v/>
      </c>
      <c r="DT81" t="str">
        <f>""</f>
        <v/>
      </c>
      <c r="DU81" t="str">
        <f>""</f>
        <v/>
      </c>
      <c r="DV81" t="str">
        <f>""</f>
        <v/>
      </c>
      <c r="DW81" t="str">
        <f>""</f>
        <v/>
      </c>
      <c r="DX81" t="str">
        <f>""</f>
        <v/>
      </c>
      <c r="DY81" t="str">
        <f>""</f>
        <v/>
      </c>
      <c r="DZ81" t="str">
        <f>""</f>
        <v/>
      </c>
      <c r="EA81" t="str">
        <f>""</f>
        <v/>
      </c>
      <c r="EB81" t="str">
        <f>""</f>
        <v/>
      </c>
      <c r="EC81" t="str">
        <f>""</f>
        <v/>
      </c>
      <c r="ED81" t="str">
        <f>""</f>
        <v/>
      </c>
      <c r="EE81" t="str">
        <f>""</f>
        <v/>
      </c>
      <c r="EF81" t="str">
        <f>""</f>
        <v/>
      </c>
      <c r="EG81" t="str">
        <f>""</f>
        <v/>
      </c>
      <c r="EH81" t="str">
        <f>""</f>
        <v/>
      </c>
      <c r="EI81" t="str">
        <f>""</f>
        <v/>
      </c>
      <c r="EJ81" t="str">
        <f>""</f>
        <v/>
      </c>
      <c r="EK81" t="str">
        <f>""</f>
        <v/>
      </c>
      <c r="EL81" t="str">
        <f>""</f>
        <v/>
      </c>
      <c r="EM81" t="str">
        <f>""</f>
        <v/>
      </c>
      <c r="EN81" t="str">
        <f>""</f>
        <v/>
      </c>
      <c r="EO81" t="str">
        <f>""</f>
        <v/>
      </c>
      <c r="EP81" t="str">
        <f>""</f>
        <v/>
      </c>
      <c r="EQ81" t="str">
        <f>""</f>
        <v/>
      </c>
      <c r="ER81" t="str">
        <f>""</f>
        <v/>
      </c>
      <c r="ES81" t="str">
        <f>""</f>
        <v/>
      </c>
      <c r="ET81" t="str">
        <f>""</f>
        <v/>
      </c>
      <c r="EU81" t="str">
        <f>""</f>
        <v/>
      </c>
      <c r="EV81" t="str">
        <f>""</f>
        <v/>
      </c>
      <c r="EW81" t="str">
        <f>""</f>
        <v/>
      </c>
      <c r="EX81" t="str">
        <f>""</f>
        <v/>
      </c>
      <c r="EY81" t="str">
        <f>""</f>
        <v/>
      </c>
      <c r="EZ81" t="str">
        <f>""</f>
        <v/>
      </c>
      <c r="FA81" t="str">
        <f>""</f>
        <v/>
      </c>
      <c r="FB81" t="str">
        <f>""</f>
        <v/>
      </c>
      <c r="FC81" t="str">
        <f>""</f>
        <v/>
      </c>
      <c r="FD81" t="str">
        <f>""</f>
        <v/>
      </c>
      <c r="FE81" t="str">
        <f>""</f>
        <v/>
      </c>
      <c r="FF81" t="str">
        <f>""</f>
        <v/>
      </c>
      <c r="FG81" t="str">
        <f>""</f>
        <v/>
      </c>
      <c r="FH81" t="str">
        <f>""</f>
        <v/>
      </c>
      <c r="FI81" t="str">
        <f>""</f>
        <v/>
      </c>
      <c r="FJ81" t="str">
        <f>""</f>
        <v/>
      </c>
      <c r="FK81" t="str">
        <f>""</f>
        <v/>
      </c>
      <c r="FL81" t="str">
        <f>""</f>
        <v/>
      </c>
      <c r="FM81" t="str">
        <f>""</f>
        <v/>
      </c>
      <c r="FN81" t="str">
        <f>""</f>
        <v/>
      </c>
      <c r="FO81" t="str">
        <f>""</f>
        <v/>
      </c>
      <c r="FP81" t="str">
        <f>""</f>
        <v/>
      </c>
      <c r="FQ81" t="str">
        <f>""</f>
        <v/>
      </c>
    </row>
    <row r="82" spans="1:173" x14ac:dyDescent="0.25">
      <c r="A82" t="str">
        <f>"~~~~~~~~~~~~~~~~~~~~~"</f>
        <v>~~~~~~~~~~~~~~~~~~~~~</v>
      </c>
      <c r="B82" t="str">
        <f>"~~~~~~~~~~~~~~~~~~~~~"</f>
        <v>~~~~~~~~~~~~~~~~~~~~~</v>
      </c>
      <c r="C82" t="str">
        <f>"~~~~~~~~~~~~~~~~~~~~~"</f>
        <v>~~~~~~~~~~~~~~~~~~~~~</v>
      </c>
      <c r="D82" t="str">
        <f>"~~~~~~~~~~~~~~~~~~~~~"</f>
        <v>~~~~~~~~~~~~~~~~~~~~~</v>
      </c>
      <c r="E82" t="str">
        <f>"~~~~~~~~~~~~~~~~~~~~~"</f>
        <v>~~~~~~~~~~~~~~~~~~~~~</v>
      </c>
      <c r="CL82" t="str">
        <f>""</f>
        <v/>
      </c>
      <c r="CM82" t="str">
        <f>""</f>
        <v/>
      </c>
      <c r="CN82" t="str">
        <f>""</f>
        <v/>
      </c>
      <c r="CO82" t="str">
        <f>""</f>
        <v/>
      </c>
      <c r="CP82" t="str">
        <f>""</f>
        <v/>
      </c>
      <c r="CQ82" t="str">
        <f>""</f>
        <v/>
      </c>
      <c r="CR82" t="str">
        <f>""</f>
        <v/>
      </c>
      <c r="CS82" t="str">
        <f>""</f>
        <v/>
      </c>
      <c r="CT82" t="str">
        <f>""</f>
        <v/>
      </c>
      <c r="CU82" t="str">
        <f>""</f>
        <v/>
      </c>
      <c r="CV82" t="str">
        <f>""</f>
        <v/>
      </c>
      <c r="CW82" t="str">
        <f>""</f>
        <v/>
      </c>
      <c r="CX82" t="str">
        <f>""</f>
        <v/>
      </c>
      <c r="CY82" t="str">
        <f>""</f>
        <v/>
      </c>
      <c r="CZ82" t="str">
        <f>""</f>
        <v/>
      </c>
      <c r="DA82" t="str">
        <f>""</f>
        <v/>
      </c>
      <c r="DB82" t="str">
        <f>""</f>
        <v/>
      </c>
      <c r="DC82" t="str">
        <f>""</f>
        <v/>
      </c>
      <c r="DD82" t="str">
        <f>""</f>
        <v/>
      </c>
      <c r="DE82" t="str">
        <f>""</f>
        <v/>
      </c>
      <c r="DF82" t="str">
        <f>""</f>
        <v/>
      </c>
      <c r="DG82" t="str">
        <f>""</f>
        <v/>
      </c>
      <c r="DH82" t="str">
        <f>""</f>
        <v/>
      </c>
      <c r="DI82" t="str">
        <f>""</f>
        <v/>
      </c>
      <c r="DJ82" t="str">
        <f>""</f>
        <v/>
      </c>
      <c r="DK82" t="str">
        <f>""</f>
        <v/>
      </c>
      <c r="DL82" t="str">
        <f>""</f>
        <v/>
      </c>
      <c r="DM82" t="str">
        <f>""</f>
        <v/>
      </c>
      <c r="DN82" t="str">
        <f>""</f>
        <v/>
      </c>
      <c r="DO82" t="str">
        <f>""</f>
        <v/>
      </c>
      <c r="DP82" t="str">
        <f>""</f>
        <v/>
      </c>
      <c r="DQ82" t="str">
        <f>""</f>
        <v/>
      </c>
      <c r="DR82" t="str">
        <f>""</f>
        <v/>
      </c>
      <c r="DS82" t="str">
        <f>""</f>
        <v/>
      </c>
      <c r="DT82" t="str">
        <f>""</f>
        <v/>
      </c>
      <c r="DU82" t="str">
        <f>""</f>
        <v/>
      </c>
      <c r="DV82" t="str">
        <f>""</f>
        <v/>
      </c>
      <c r="DW82" t="str">
        <f>""</f>
        <v/>
      </c>
      <c r="DX82" t="str">
        <f>""</f>
        <v/>
      </c>
      <c r="DY82" t="str">
        <f>""</f>
        <v/>
      </c>
      <c r="DZ82" t="str">
        <f>""</f>
        <v/>
      </c>
      <c r="EA82" t="str">
        <f>""</f>
        <v/>
      </c>
      <c r="EB82" t="str">
        <f>""</f>
        <v/>
      </c>
      <c r="EC82" t="str">
        <f>""</f>
        <v/>
      </c>
      <c r="ED82" t="str">
        <f>""</f>
        <v/>
      </c>
      <c r="EE82" t="str">
        <f>""</f>
        <v/>
      </c>
      <c r="EF82" t="str">
        <f>""</f>
        <v/>
      </c>
      <c r="EG82" t="str">
        <f>""</f>
        <v/>
      </c>
      <c r="EH82" t="str">
        <f>""</f>
        <v/>
      </c>
      <c r="EI82" t="str">
        <f>""</f>
        <v/>
      </c>
      <c r="EJ82" t="str">
        <f>""</f>
        <v/>
      </c>
      <c r="EK82" t="str">
        <f>""</f>
        <v/>
      </c>
      <c r="EL82" t="str">
        <f>""</f>
        <v/>
      </c>
      <c r="EM82" t="str">
        <f>""</f>
        <v/>
      </c>
      <c r="EN82" t="str">
        <f>""</f>
        <v/>
      </c>
      <c r="EO82" t="str">
        <f>""</f>
        <v/>
      </c>
      <c r="EP82" t="str">
        <f>""</f>
        <v/>
      </c>
      <c r="EQ82" t="str">
        <f>""</f>
        <v/>
      </c>
      <c r="ER82" t="str">
        <f>""</f>
        <v/>
      </c>
      <c r="ES82" t="str">
        <f>""</f>
        <v/>
      </c>
      <c r="ET82" t="str">
        <f>""</f>
        <v/>
      </c>
      <c r="EU82" t="str">
        <f>""</f>
        <v/>
      </c>
      <c r="EV82" t="str">
        <f>""</f>
        <v/>
      </c>
      <c r="EW82" t="str">
        <f>""</f>
        <v/>
      </c>
      <c r="EX82" t="str">
        <f>""</f>
        <v/>
      </c>
      <c r="EY82" t="str">
        <f>""</f>
        <v/>
      </c>
      <c r="EZ82" t="str">
        <f>""</f>
        <v/>
      </c>
      <c r="FA82" t="str">
        <f>""</f>
        <v/>
      </c>
      <c r="FB82" t="str">
        <f>""</f>
        <v/>
      </c>
      <c r="FC82" t="str">
        <f>""</f>
        <v/>
      </c>
      <c r="FD82" t="str">
        <f>""</f>
        <v/>
      </c>
      <c r="FE82" t="str">
        <f>""</f>
        <v/>
      </c>
      <c r="FF82" t="str">
        <f>""</f>
        <v/>
      </c>
      <c r="FG82" t="str">
        <f>""</f>
        <v/>
      </c>
      <c r="FH82" t="str">
        <f>""</f>
        <v/>
      </c>
      <c r="FI82" t="str">
        <f>""</f>
        <v/>
      </c>
      <c r="FJ82" t="str">
        <f>""</f>
        <v/>
      </c>
      <c r="FK82" t="str">
        <f>""</f>
        <v/>
      </c>
      <c r="FL82" t="str">
        <f>""</f>
        <v/>
      </c>
      <c r="FM82" t="str">
        <f>""</f>
        <v/>
      </c>
      <c r="FN82" t="str">
        <f>""</f>
        <v/>
      </c>
      <c r="FO82" t="str">
        <f>""</f>
        <v/>
      </c>
      <c r="FP82" t="str">
        <f>""</f>
        <v/>
      </c>
      <c r="FQ82" t="str">
        <f>""</f>
        <v/>
      </c>
    </row>
    <row r="83" spans="1:173" x14ac:dyDescent="0.25">
      <c r="A83" t="str">
        <f>"Rows below for column date calculation"</f>
        <v>Rows below for column date calculation</v>
      </c>
      <c r="CL83" t="str">
        <f>""</f>
        <v/>
      </c>
      <c r="CM83" t="str">
        <f>""</f>
        <v/>
      </c>
      <c r="CN83" t="str">
        <f>""</f>
        <v/>
      </c>
      <c r="CO83" t="str">
        <f>""</f>
        <v/>
      </c>
      <c r="CP83" t="str">
        <f>""</f>
        <v/>
      </c>
      <c r="CQ83" t="str">
        <f>""</f>
        <v/>
      </c>
      <c r="CR83" t="str">
        <f>""</f>
        <v/>
      </c>
      <c r="CS83" t="str">
        <f>""</f>
        <v/>
      </c>
      <c r="CT83" t="str">
        <f>""</f>
        <v/>
      </c>
      <c r="CU83" t="str">
        <f>""</f>
        <v/>
      </c>
      <c r="CV83" t="str">
        <f>""</f>
        <v/>
      </c>
      <c r="CW83" t="str">
        <f>""</f>
        <v/>
      </c>
      <c r="CX83" t="str">
        <f>""</f>
        <v/>
      </c>
      <c r="CY83" t="str">
        <f>""</f>
        <v/>
      </c>
      <c r="CZ83" t="str">
        <f>""</f>
        <v/>
      </c>
      <c r="DA83" t="str">
        <f>""</f>
        <v/>
      </c>
      <c r="DB83" t="str">
        <f>""</f>
        <v/>
      </c>
      <c r="DC83" t="str">
        <f>""</f>
        <v/>
      </c>
      <c r="DD83" t="str">
        <f>""</f>
        <v/>
      </c>
      <c r="DE83" t="str">
        <f>""</f>
        <v/>
      </c>
      <c r="DF83" t="str">
        <f>""</f>
        <v/>
      </c>
      <c r="DG83" t="str">
        <f>""</f>
        <v/>
      </c>
      <c r="DH83" t="str">
        <f>""</f>
        <v/>
      </c>
      <c r="DI83" t="str">
        <f>""</f>
        <v/>
      </c>
      <c r="DJ83" t="str">
        <f>""</f>
        <v/>
      </c>
      <c r="DK83" t="str">
        <f>""</f>
        <v/>
      </c>
      <c r="DL83" t="str">
        <f>""</f>
        <v/>
      </c>
      <c r="DM83" t="str">
        <f>""</f>
        <v/>
      </c>
      <c r="DN83" t="str">
        <f>""</f>
        <v/>
      </c>
      <c r="DO83" t="str">
        <f>""</f>
        <v/>
      </c>
      <c r="DP83" t="str">
        <f>""</f>
        <v/>
      </c>
      <c r="DQ83" t="str">
        <f>""</f>
        <v/>
      </c>
      <c r="DR83" t="str">
        <f>""</f>
        <v/>
      </c>
      <c r="DS83" t="str">
        <f>""</f>
        <v/>
      </c>
      <c r="DT83" t="str">
        <f>""</f>
        <v/>
      </c>
      <c r="DU83" t="str">
        <f>""</f>
        <v/>
      </c>
      <c r="DV83" t="str">
        <f>""</f>
        <v/>
      </c>
      <c r="DW83" t="str">
        <f>""</f>
        <v/>
      </c>
      <c r="DX83" t="str">
        <f>""</f>
        <v/>
      </c>
      <c r="DY83" t="str">
        <f>""</f>
        <v/>
      </c>
      <c r="DZ83" t="str">
        <f>""</f>
        <v/>
      </c>
      <c r="EA83" t="str">
        <f>""</f>
        <v/>
      </c>
      <c r="EB83" t="str">
        <f>""</f>
        <v/>
      </c>
      <c r="EC83" t="str">
        <f>""</f>
        <v/>
      </c>
      <c r="ED83" t="str">
        <f>""</f>
        <v/>
      </c>
      <c r="EE83" t="str">
        <f>""</f>
        <v/>
      </c>
      <c r="EF83" t="str">
        <f>""</f>
        <v/>
      </c>
      <c r="EG83" t="str">
        <f>""</f>
        <v/>
      </c>
      <c r="EH83" t="str">
        <f>""</f>
        <v/>
      </c>
      <c r="EI83" t="str">
        <f>""</f>
        <v/>
      </c>
      <c r="EJ83" t="str">
        <f>""</f>
        <v/>
      </c>
      <c r="EK83" t="str">
        <f>""</f>
        <v/>
      </c>
      <c r="EL83" t="str">
        <f>""</f>
        <v/>
      </c>
      <c r="EM83" t="str">
        <f>""</f>
        <v/>
      </c>
      <c r="EN83" t="str">
        <f>""</f>
        <v/>
      </c>
      <c r="EO83" t="str">
        <f>""</f>
        <v/>
      </c>
      <c r="EP83" t="str">
        <f>""</f>
        <v/>
      </c>
      <c r="EQ83" t="str">
        <f>""</f>
        <v/>
      </c>
      <c r="ER83" t="str">
        <f>""</f>
        <v/>
      </c>
      <c r="ES83" t="str">
        <f>""</f>
        <v/>
      </c>
      <c r="ET83" t="str">
        <f>""</f>
        <v/>
      </c>
      <c r="EU83" t="str">
        <f>""</f>
        <v/>
      </c>
      <c r="EV83" t="str">
        <f>""</f>
        <v/>
      </c>
      <c r="EW83" t="str">
        <f>""</f>
        <v/>
      </c>
      <c r="EX83" t="str">
        <f>""</f>
        <v/>
      </c>
      <c r="EY83" t="str">
        <f>""</f>
        <v/>
      </c>
      <c r="EZ83" t="str">
        <f>""</f>
        <v/>
      </c>
      <c r="FA83" t="str">
        <f>""</f>
        <v/>
      </c>
      <c r="FB83" t="str">
        <f>""</f>
        <v/>
      </c>
      <c r="FC83" t="str">
        <f>""</f>
        <v/>
      </c>
      <c r="FD83" t="str">
        <f>""</f>
        <v/>
      </c>
      <c r="FE83" t="str">
        <f>""</f>
        <v/>
      </c>
      <c r="FF83" t="str">
        <f>""</f>
        <v/>
      </c>
      <c r="FG83" t="str">
        <f>""</f>
        <v/>
      </c>
      <c r="FH83" t="str">
        <f>""</f>
        <v/>
      </c>
      <c r="FI83" t="str">
        <f>""</f>
        <v/>
      </c>
      <c r="FJ83" t="str">
        <f>""</f>
        <v/>
      </c>
      <c r="FK83" t="str">
        <f>""</f>
        <v/>
      </c>
      <c r="FL83" t="str">
        <f>""</f>
        <v/>
      </c>
      <c r="FM83" t="str">
        <f>""</f>
        <v/>
      </c>
      <c r="FN83" t="str">
        <f>""</f>
        <v/>
      </c>
      <c r="FO83" t="str">
        <f>""</f>
        <v/>
      </c>
      <c r="FP83" t="str">
        <f>""</f>
        <v/>
      </c>
      <c r="FQ83" t="str">
        <f>""</f>
        <v/>
      </c>
    </row>
    <row r="84" spans="1:173" x14ac:dyDescent="0.25">
      <c r="A84" t="str">
        <f>"Downloaded at"</f>
        <v>Downloaded at</v>
      </c>
      <c r="B84">
        <f>DATE(2023, 11,12)</f>
        <v>45242</v>
      </c>
      <c r="C84" t="str">
        <f>""</f>
        <v/>
      </c>
      <c r="D84" t="str">
        <f>""</f>
        <v/>
      </c>
      <c r="E84" t="str">
        <f>""</f>
        <v/>
      </c>
      <c r="CL84" t="str">
        <f>""</f>
        <v/>
      </c>
      <c r="CM84" t="str">
        <f>""</f>
        <v/>
      </c>
      <c r="CN84" t="str">
        <f>""</f>
        <v/>
      </c>
      <c r="CO84" t="str">
        <f>""</f>
        <v/>
      </c>
      <c r="CP84" t="str">
        <f>""</f>
        <v/>
      </c>
      <c r="CQ84" t="str">
        <f>""</f>
        <v/>
      </c>
      <c r="CR84" t="str">
        <f>""</f>
        <v/>
      </c>
      <c r="CS84" t="str">
        <f>""</f>
        <v/>
      </c>
      <c r="CT84" t="str">
        <f>""</f>
        <v/>
      </c>
      <c r="CU84" t="str">
        <f>""</f>
        <v/>
      </c>
      <c r="CV84" t="str">
        <f>""</f>
        <v/>
      </c>
      <c r="CW84" t="str">
        <f>""</f>
        <v/>
      </c>
      <c r="CX84" t="str">
        <f>""</f>
        <v/>
      </c>
      <c r="CY84" t="str">
        <f>""</f>
        <v/>
      </c>
      <c r="CZ84" t="str">
        <f>""</f>
        <v/>
      </c>
      <c r="DA84" t="str">
        <f>""</f>
        <v/>
      </c>
      <c r="DB84" t="str">
        <f>""</f>
        <v/>
      </c>
      <c r="DC84" t="str">
        <f>""</f>
        <v/>
      </c>
      <c r="DD84" t="str">
        <f>""</f>
        <v/>
      </c>
      <c r="DE84" t="str">
        <f>""</f>
        <v/>
      </c>
      <c r="DF84" t="str">
        <f>""</f>
        <v/>
      </c>
      <c r="DG84" t="str">
        <f>""</f>
        <v/>
      </c>
      <c r="DH84" t="str">
        <f>""</f>
        <v/>
      </c>
      <c r="DI84" t="str">
        <f>""</f>
        <v/>
      </c>
      <c r="DJ84" t="str">
        <f>""</f>
        <v/>
      </c>
      <c r="DK84" t="str">
        <f>""</f>
        <v/>
      </c>
      <c r="DL84" t="str">
        <f>""</f>
        <v/>
      </c>
      <c r="DM84" t="str">
        <f>""</f>
        <v/>
      </c>
      <c r="DN84" t="str">
        <f>""</f>
        <v/>
      </c>
      <c r="DO84" t="str">
        <f>""</f>
        <v/>
      </c>
      <c r="DP84" t="str">
        <f>""</f>
        <v/>
      </c>
      <c r="DQ84" t="str">
        <f>""</f>
        <v/>
      </c>
      <c r="DR84" t="str">
        <f>""</f>
        <v/>
      </c>
      <c r="DS84" t="str">
        <f>""</f>
        <v/>
      </c>
      <c r="DT84" t="str">
        <f>""</f>
        <v/>
      </c>
      <c r="DU84" t="str">
        <f>""</f>
        <v/>
      </c>
      <c r="DV84" t="str">
        <f>""</f>
        <v/>
      </c>
      <c r="DW84" t="str">
        <f>""</f>
        <v/>
      </c>
      <c r="DX84" t="str">
        <f>""</f>
        <v/>
      </c>
      <c r="DY84" t="str">
        <f>""</f>
        <v/>
      </c>
      <c r="DZ84" t="str">
        <f>""</f>
        <v/>
      </c>
      <c r="EA84" t="str">
        <f>""</f>
        <v/>
      </c>
      <c r="EB84" t="str">
        <f>""</f>
        <v/>
      </c>
      <c r="EC84" t="str">
        <f>""</f>
        <v/>
      </c>
      <c r="ED84" t="str">
        <f>""</f>
        <v/>
      </c>
      <c r="EE84" t="str">
        <f>""</f>
        <v/>
      </c>
      <c r="EF84" t="str">
        <f>""</f>
        <v/>
      </c>
      <c r="EG84" t="str">
        <f>""</f>
        <v/>
      </c>
      <c r="EH84" t="str">
        <f>""</f>
        <v/>
      </c>
      <c r="EI84" t="str">
        <f>""</f>
        <v/>
      </c>
      <c r="EJ84" t="str">
        <f>""</f>
        <v/>
      </c>
      <c r="EK84" t="str">
        <f>""</f>
        <v/>
      </c>
      <c r="EL84" t="str">
        <f>""</f>
        <v/>
      </c>
      <c r="EM84" t="str">
        <f>""</f>
        <v/>
      </c>
      <c r="EN84" t="str">
        <f>""</f>
        <v/>
      </c>
      <c r="EO84" t="str">
        <f>""</f>
        <v/>
      </c>
      <c r="EP84" t="str">
        <f>""</f>
        <v/>
      </c>
      <c r="EQ84" t="str">
        <f>""</f>
        <v/>
      </c>
      <c r="ER84" t="str">
        <f>""</f>
        <v/>
      </c>
      <c r="ES84" t="str">
        <f>""</f>
        <v/>
      </c>
      <c r="ET84" t="str">
        <f>""</f>
        <v/>
      </c>
      <c r="EU84" t="str">
        <f>""</f>
        <v/>
      </c>
      <c r="EV84" t="str">
        <f>""</f>
        <v/>
      </c>
      <c r="EW84" t="str">
        <f>""</f>
        <v/>
      </c>
      <c r="EX84" t="str">
        <f>""</f>
        <v/>
      </c>
      <c r="EY84" t="str">
        <f>""</f>
        <v/>
      </c>
      <c r="EZ84" t="str">
        <f>""</f>
        <v/>
      </c>
      <c r="FA84" t="str">
        <f>""</f>
        <v/>
      </c>
      <c r="FB84" t="str">
        <f>""</f>
        <v/>
      </c>
      <c r="FC84" t="str">
        <f>""</f>
        <v/>
      </c>
      <c r="FD84" t="str">
        <f>""</f>
        <v/>
      </c>
      <c r="FE84" t="str">
        <f>""</f>
        <v/>
      </c>
      <c r="FF84" t="str">
        <f>""</f>
        <v/>
      </c>
      <c r="FG84" t="str">
        <f>""</f>
        <v/>
      </c>
      <c r="FH84" t="str">
        <f>""</f>
        <v/>
      </c>
      <c r="FI84" t="str">
        <f>""</f>
        <v/>
      </c>
      <c r="FJ84" t="str">
        <f>""</f>
        <v/>
      </c>
      <c r="FK84" t="str">
        <f>""</f>
        <v/>
      </c>
      <c r="FL84" t="str">
        <f>""</f>
        <v/>
      </c>
      <c r="FM84" t="str">
        <f>""</f>
        <v/>
      </c>
      <c r="FN84" t="str">
        <f>""</f>
        <v/>
      </c>
      <c r="FO84" t="str">
        <f>""</f>
        <v/>
      </c>
      <c r="FP84" t="str">
        <f>""</f>
        <v/>
      </c>
      <c r="FQ84" t="str">
        <f>""</f>
        <v/>
      </c>
    </row>
    <row r="85" spans="1:173" x14ac:dyDescent="0.25">
      <c r="A85" t="str">
        <f>"This is End Date"</f>
        <v>This is End Date</v>
      </c>
      <c r="B85">
        <f ca="1">$B$50</f>
        <v>45242</v>
      </c>
      <c r="C85" t="str">
        <f>""</f>
        <v/>
      </c>
      <c r="D85" t="str">
        <f>""</f>
        <v/>
      </c>
      <c r="E85" t="str">
        <f>""</f>
        <v/>
      </c>
      <c r="CL85" t="str">
        <f>""</f>
        <v/>
      </c>
      <c r="CM85" t="str">
        <f>""</f>
        <v/>
      </c>
      <c r="CN85" t="str">
        <f>""</f>
        <v/>
      </c>
      <c r="CO85" t="str">
        <f>""</f>
        <v/>
      </c>
      <c r="CP85" t="str">
        <f>""</f>
        <v/>
      </c>
      <c r="CQ85" t="str">
        <f>""</f>
        <v/>
      </c>
      <c r="CR85" t="str">
        <f>""</f>
        <v/>
      </c>
      <c r="CS85" t="str">
        <f>""</f>
        <v/>
      </c>
      <c r="CT85" t="str">
        <f>""</f>
        <v/>
      </c>
      <c r="CU85" t="str">
        <f>""</f>
        <v/>
      </c>
      <c r="CV85" t="str">
        <f>""</f>
        <v/>
      </c>
      <c r="CW85" t="str">
        <f>""</f>
        <v/>
      </c>
      <c r="CX85" t="str">
        <f>""</f>
        <v/>
      </c>
      <c r="CY85" t="str">
        <f>""</f>
        <v/>
      </c>
      <c r="CZ85" t="str">
        <f>""</f>
        <v/>
      </c>
      <c r="DA85" t="str">
        <f>""</f>
        <v/>
      </c>
      <c r="DB85" t="str">
        <f>""</f>
        <v/>
      </c>
      <c r="DC85" t="str">
        <f>""</f>
        <v/>
      </c>
      <c r="DD85" t="str">
        <f>""</f>
        <v/>
      </c>
      <c r="DE85" t="str">
        <f>""</f>
        <v/>
      </c>
      <c r="DF85" t="str">
        <f>""</f>
        <v/>
      </c>
      <c r="DG85" t="str">
        <f>""</f>
        <v/>
      </c>
      <c r="DH85" t="str">
        <f>""</f>
        <v/>
      </c>
      <c r="DI85" t="str">
        <f>""</f>
        <v/>
      </c>
      <c r="DJ85" t="str">
        <f>""</f>
        <v/>
      </c>
      <c r="DK85" t="str">
        <f>""</f>
        <v/>
      </c>
      <c r="DL85" t="str">
        <f>""</f>
        <v/>
      </c>
      <c r="DM85" t="str">
        <f>""</f>
        <v/>
      </c>
      <c r="DN85" t="str">
        <f>""</f>
        <v/>
      </c>
      <c r="DO85" t="str">
        <f>""</f>
        <v/>
      </c>
      <c r="DP85" t="str">
        <f>""</f>
        <v/>
      </c>
      <c r="DQ85" t="str">
        <f>""</f>
        <v/>
      </c>
      <c r="DR85" t="str">
        <f>""</f>
        <v/>
      </c>
      <c r="DS85" t="str">
        <f>""</f>
        <v/>
      </c>
      <c r="DT85" t="str">
        <f>""</f>
        <v/>
      </c>
      <c r="DU85" t="str">
        <f>""</f>
        <v/>
      </c>
      <c r="DV85" t="str">
        <f>""</f>
        <v/>
      </c>
      <c r="DW85" t="str">
        <f>""</f>
        <v/>
      </c>
      <c r="DX85" t="str">
        <f>""</f>
        <v/>
      </c>
      <c r="DY85" t="str">
        <f>""</f>
        <v/>
      </c>
      <c r="DZ85" t="str">
        <f>""</f>
        <v/>
      </c>
      <c r="EA85" t="str">
        <f>""</f>
        <v/>
      </c>
      <c r="EB85" t="str">
        <f>""</f>
        <v/>
      </c>
      <c r="EC85" t="str">
        <f>""</f>
        <v/>
      </c>
      <c r="ED85" t="str">
        <f>""</f>
        <v/>
      </c>
      <c r="EE85" t="str">
        <f>""</f>
        <v/>
      </c>
      <c r="EF85" t="str">
        <f>""</f>
        <v/>
      </c>
      <c r="EG85" t="str">
        <f>""</f>
        <v/>
      </c>
      <c r="EH85" t="str">
        <f>""</f>
        <v/>
      </c>
      <c r="EI85" t="str">
        <f>""</f>
        <v/>
      </c>
      <c r="EJ85" t="str">
        <f>""</f>
        <v/>
      </c>
      <c r="EK85" t="str">
        <f>""</f>
        <v/>
      </c>
      <c r="EL85" t="str">
        <f>""</f>
        <v/>
      </c>
      <c r="EM85" t="str">
        <f>""</f>
        <v/>
      </c>
      <c r="EN85" t="str">
        <f>""</f>
        <v/>
      </c>
      <c r="EO85" t="str">
        <f>""</f>
        <v/>
      </c>
      <c r="EP85" t="str">
        <f>""</f>
        <v/>
      </c>
      <c r="EQ85" t="str">
        <f>""</f>
        <v/>
      </c>
      <c r="ER85" t="str">
        <f>""</f>
        <v/>
      </c>
      <c r="ES85" t="str">
        <f>""</f>
        <v/>
      </c>
      <c r="ET85" t="str">
        <f>""</f>
        <v/>
      </c>
      <c r="EU85" t="str">
        <f>""</f>
        <v/>
      </c>
      <c r="EV85" t="str">
        <f>""</f>
        <v/>
      </c>
      <c r="EW85" t="str">
        <f>""</f>
        <v/>
      </c>
      <c r="EX85" t="str">
        <f>""</f>
        <v/>
      </c>
      <c r="EY85" t="str">
        <f>""</f>
        <v/>
      </c>
      <c r="EZ85" t="str">
        <f>""</f>
        <v/>
      </c>
      <c r="FA85" t="str">
        <f>""</f>
        <v/>
      </c>
      <c r="FB85" t="str">
        <f>""</f>
        <v/>
      </c>
      <c r="FC85" t="str">
        <f>""</f>
        <v/>
      </c>
      <c r="FD85" t="str">
        <f>""</f>
        <v/>
      </c>
      <c r="FE85" t="str">
        <f>""</f>
        <v/>
      </c>
      <c r="FF85" t="str">
        <f>""</f>
        <v/>
      </c>
      <c r="FG85" t="str">
        <f>""</f>
        <v/>
      </c>
      <c r="FH85" t="str">
        <f>""</f>
        <v/>
      </c>
      <c r="FI85" t="str">
        <f>""</f>
        <v/>
      </c>
      <c r="FJ85" t="str">
        <f>""</f>
        <v/>
      </c>
      <c r="FK85" t="str">
        <f>""</f>
        <v/>
      </c>
      <c r="FL85" t="str">
        <f>""</f>
        <v/>
      </c>
      <c r="FM85" t="str">
        <f>""</f>
        <v/>
      </c>
      <c r="FN85" t="str">
        <f>""</f>
        <v/>
      </c>
      <c r="FO85" t="str">
        <f>""</f>
        <v/>
      </c>
      <c r="FP85" t="str">
        <f>""</f>
        <v/>
      </c>
      <c r="FQ85" t="str">
        <f>""</f>
        <v/>
      </c>
    </row>
    <row r="86" spans="1:173" x14ac:dyDescent="0.25">
      <c r="A86" t="str">
        <f>"Description"</f>
        <v>Description</v>
      </c>
      <c r="B86" t="str">
        <f>"Ticker"</f>
        <v>Ticker</v>
      </c>
      <c r="C86" t="str">
        <f>"Field ID"</f>
        <v>Field ID</v>
      </c>
      <c r="D86" t="str">
        <f>"Field Mnemonic"</f>
        <v>Field Mnemonic</v>
      </c>
      <c r="E86" t="str">
        <f>"Data State"</f>
        <v>Data State</v>
      </c>
      <c r="CL86" t="str">
        <f>""</f>
        <v/>
      </c>
      <c r="CM86" t="str">
        <f>""</f>
        <v/>
      </c>
      <c r="CN86" t="str">
        <f>""</f>
        <v/>
      </c>
      <c r="CO86" t="str">
        <f>""</f>
        <v/>
      </c>
      <c r="CP86" t="str">
        <f>""</f>
        <v/>
      </c>
      <c r="CQ86" t="str">
        <f>""</f>
        <v/>
      </c>
      <c r="CR86" t="str">
        <f>""</f>
        <v/>
      </c>
      <c r="CS86" t="str">
        <f>""</f>
        <v/>
      </c>
      <c r="CT86" t="str">
        <f>""</f>
        <v/>
      </c>
      <c r="CU86" t="str">
        <f>""</f>
        <v/>
      </c>
      <c r="CV86" t="str">
        <f>""</f>
        <v/>
      </c>
      <c r="CW86" t="str">
        <f>""</f>
        <v/>
      </c>
      <c r="CX86" t="str">
        <f>""</f>
        <v/>
      </c>
      <c r="CY86" t="str">
        <f>""</f>
        <v/>
      </c>
      <c r="CZ86" t="str">
        <f>""</f>
        <v/>
      </c>
      <c r="DA86" t="str">
        <f>""</f>
        <v/>
      </c>
      <c r="DB86" t="str">
        <f>""</f>
        <v/>
      </c>
      <c r="DC86" t="str">
        <f>""</f>
        <v/>
      </c>
      <c r="DD86" t="str">
        <f>""</f>
        <v/>
      </c>
      <c r="DE86" t="str">
        <f>""</f>
        <v/>
      </c>
      <c r="DF86" t="str">
        <f>""</f>
        <v/>
      </c>
      <c r="DG86" t="str">
        <f>""</f>
        <v/>
      </c>
      <c r="DH86" t="str">
        <f>""</f>
        <v/>
      </c>
      <c r="DI86" t="str">
        <f>""</f>
        <v/>
      </c>
      <c r="DJ86" t="str">
        <f>""</f>
        <v/>
      </c>
      <c r="DK86" t="str">
        <f>""</f>
        <v/>
      </c>
      <c r="DL86" t="str">
        <f>""</f>
        <v/>
      </c>
      <c r="DM86" t="str">
        <f>""</f>
        <v/>
      </c>
      <c r="DN86" t="str">
        <f>""</f>
        <v/>
      </c>
      <c r="DO86" t="str">
        <f>""</f>
        <v/>
      </c>
      <c r="DP86" t="str">
        <f>""</f>
        <v/>
      </c>
      <c r="DQ86" t="str">
        <f>""</f>
        <v/>
      </c>
      <c r="DR86" t="str">
        <f>""</f>
        <v/>
      </c>
      <c r="DS86" t="str">
        <f>""</f>
        <v/>
      </c>
      <c r="DT86" t="str">
        <f>""</f>
        <v/>
      </c>
      <c r="DU86" t="str">
        <f>""</f>
        <v/>
      </c>
      <c r="DV86" t="str">
        <f>""</f>
        <v/>
      </c>
      <c r="DW86" t="str">
        <f>""</f>
        <v/>
      </c>
      <c r="DX86" t="str">
        <f>""</f>
        <v/>
      </c>
      <c r="DY86" t="str">
        <f>""</f>
        <v/>
      </c>
      <c r="DZ86" t="str">
        <f>""</f>
        <v/>
      </c>
      <c r="EA86" t="str">
        <f>""</f>
        <v/>
      </c>
      <c r="EB86" t="str">
        <f>""</f>
        <v/>
      </c>
      <c r="EC86" t="str">
        <f>""</f>
        <v/>
      </c>
      <c r="ED86" t="str">
        <f>""</f>
        <v/>
      </c>
      <c r="EE86" t="str">
        <f>""</f>
        <v/>
      </c>
      <c r="EF86" t="str">
        <f>""</f>
        <v/>
      </c>
      <c r="EG86" t="str">
        <f>""</f>
        <v/>
      </c>
      <c r="EH86" t="str">
        <f>""</f>
        <v/>
      </c>
      <c r="EI86" t="str">
        <f>""</f>
        <v/>
      </c>
      <c r="EJ86" t="str">
        <f>""</f>
        <v/>
      </c>
      <c r="EK86" t="str">
        <f>""</f>
        <v/>
      </c>
      <c r="EL86" t="str">
        <f>""</f>
        <v/>
      </c>
      <c r="EM86" t="str">
        <f>""</f>
        <v/>
      </c>
      <c r="EN86" t="str">
        <f>""</f>
        <v/>
      </c>
      <c r="EO86" t="str">
        <f>""</f>
        <v/>
      </c>
      <c r="EP86" t="str">
        <f>""</f>
        <v/>
      </c>
      <c r="EQ86" t="str">
        <f>""</f>
        <v/>
      </c>
      <c r="ER86" t="str">
        <f>""</f>
        <v/>
      </c>
      <c r="ES86" t="str">
        <f>""</f>
        <v/>
      </c>
      <c r="ET86" t="str">
        <f>""</f>
        <v/>
      </c>
      <c r="EU86" t="str">
        <f>""</f>
        <v/>
      </c>
      <c r="EV86" t="str">
        <f>""</f>
        <v/>
      </c>
      <c r="EW86" t="str">
        <f>""</f>
        <v/>
      </c>
      <c r="EX86" t="str">
        <f>""</f>
        <v/>
      </c>
      <c r="EY86" t="str">
        <f>""</f>
        <v/>
      </c>
      <c r="EZ86" t="str">
        <f>""</f>
        <v/>
      </c>
      <c r="FA86" t="str">
        <f>""</f>
        <v/>
      </c>
      <c r="FB86" t="str">
        <f>""</f>
        <v/>
      </c>
      <c r="FC86" t="str">
        <f>""</f>
        <v/>
      </c>
      <c r="FD86" t="str">
        <f>""</f>
        <v/>
      </c>
      <c r="FE86" t="str">
        <f>""</f>
        <v/>
      </c>
      <c r="FF86" t="str">
        <f>""</f>
        <v/>
      </c>
      <c r="FG86" t="str">
        <f>""</f>
        <v/>
      </c>
      <c r="FH86" t="str">
        <f>""</f>
        <v/>
      </c>
      <c r="FI86" t="str">
        <f>""</f>
        <v/>
      </c>
      <c r="FJ86" t="str">
        <f>""</f>
        <v/>
      </c>
      <c r="FK86" t="str">
        <f>""</f>
        <v/>
      </c>
      <c r="FL86" t="str">
        <f>""</f>
        <v/>
      </c>
      <c r="FM86" t="str">
        <f>""</f>
        <v/>
      </c>
      <c r="FN86" t="str">
        <f>""</f>
        <v/>
      </c>
      <c r="FO86" t="str">
        <f>""</f>
        <v/>
      </c>
      <c r="FP86" t="str">
        <f>""</f>
        <v/>
      </c>
      <c r="FQ86" t="str">
        <f>""</f>
        <v/>
      </c>
    </row>
    <row r="87" spans="1:173" x14ac:dyDescent="0.25">
      <c r="A87" t="str">
        <f>"Snapshot Date"</f>
        <v>Snapshot Date</v>
      </c>
      <c r="B87">
        <f>DATE(2023, 11,12)</f>
        <v>45242</v>
      </c>
      <c r="C87" t="str">
        <f>""</f>
        <v/>
      </c>
      <c r="D87" t="str">
        <f>""</f>
        <v/>
      </c>
      <c r="E87" t="str">
        <f>""</f>
        <v/>
      </c>
      <c r="CL87" t="str">
        <f>""</f>
        <v/>
      </c>
      <c r="CM87" t="str">
        <f>""</f>
        <v/>
      </c>
      <c r="CN87" t="str">
        <f>""</f>
        <v/>
      </c>
      <c r="CO87" t="str">
        <f>""</f>
        <v/>
      </c>
      <c r="CP87" t="str">
        <f>""</f>
        <v/>
      </c>
      <c r="CQ87" t="str">
        <f>""</f>
        <v/>
      </c>
      <c r="CR87" t="str">
        <f>""</f>
        <v/>
      </c>
      <c r="CS87" t="str">
        <f>""</f>
        <v/>
      </c>
      <c r="CT87" t="str">
        <f>""</f>
        <v/>
      </c>
      <c r="CU87" t="str">
        <f>""</f>
        <v/>
      </c>
      <c r="CV87" t="str">
        <f>""</f>
        <v/>
      </c>
      <c r="CW87" t="str">
        <f>""</f>
        <v/>
      </c>
      <c r="CX87" t="str">
        <f>""</f>
        <v/>
      </c>
      <c r="CY87" t="str">
        <f>""</f>
        <v/>
      </c>
      <c r="CZ87" t="str">
        <f>""</f>
        <v/>
      </c>
      <c r="DA87" t="str">
        <f>""</f>
        <v/>
      </c>
      <c r="DB87" t="str">
        <f>""</f>
        <v/>
      </c>
      <c r="DC87" t="str">
        <f>""</f>
        <v/>
      </c>
      <c r="DD87" t="str">
        <f>""</f>
        <v/>
      </c>
      <c r="DE87" t="str">
        <f>""</f>
        <v/>
      </c>
      <c r="DF87" t="str">
        <f>""</f>
        <v/>
      </c>
      <c r="DG87" t="str">
        <f>""</f>
        <v/>
      </c>
      <c r="DH87" t="str">
        <f>""</f>
        <v/>
      </c>
      <c r="DI87" t="str">
        <f>""</f>
        <v/>
      </c>
      <c r="DJ87" t="str">
        <f>""</f>
        <v/>
      </c>
      <c r="DK87" t="str">
        <f>""</f>
        <v/>
      </c>
      <c r="DL87" t="str">
        <f>""</f>
        <v/>
      </c>
      <c r="DM87" t="str">
        <f>""</f>
        <v/>
      </c>
      <c r="DN87" t="str">
        <f>""</f>
        <v/>
      </c>
      <c r="DO87" t="str">
        <f>""</f>
        <v/>
      </c>
      <c r="DP87" t="str">
        <f>""</f>
        <v/>
      </c>
      <c r="DQ87" t="str">
        <f>""</f>
        <v/>
      </c>
      <c r="DR87" t="str">
        <f>""</f>
        <v/>
      </c>
      <c r="DS87" t="str">
        <f>""</f>
        <v/>
      </c>
      <c r="DT87" t="str">
        <f>""</f>
        <v/>
      </c>
      <c r="DU87" t="str">
        <f>""</f>
        <v/>
      </c>
      <c r="DV87" t="str">
        <f>""</f>
        <v/>
      </c>
      <c r="DW87" t="str">
        <f>""</f>
        <v/>
      </c>
      <c r="DX87" t="str">
        <f>""</f>
        <v/>
      </c>
      <c r="DY87" t="str">
        <f>""</f>
        <v/>
      </c>
      <c r="DZ87" t="str">
        <f>""</f>
        <v/>
      </c>
      <c r="EA87" t="str">
        <f>""</f>
        <v/>
      </c>
      <c r="EB87" t="str">
        <f>""</f>
        <v/>
      </c>
      <c r="EC87" t="str">
        <f>""</f>
        <v/>
      </c>
      <c r="ED87" t="str">
        <f>""</f>
        <v/>
      </c>
      <c r="EE87" t="str">
        <f>""</f>
        <v/>
      </c>
      <c r="EF87" t="str">
        <f>""</f>
        <v/>
      </c>
      <c r="EG87" t="str">
        <f>""</f>
        <v/>
      </c>
      <c r="EH87" t="str">
        <f>""</f>
        <v/>
      </c>
      <c r="EI87" t="str">
        <f>""</f>
        <v/>
      </c>
      <c r="EJ87" t="str">
        <f>""</f>
        <v/>
      </c>
      <c r="EK87" t="str">
        <f>""</f>
        <v/>
      </c>
      <c r="EL87" t="str">
        <f>""</f>
        <v/>
      </c>
      <c r="EM87" t="str">
        <f>""</f>
        <v/>
      </c>
      <c r="EN87" t="str">
        <f>""</f>
        <v/>
      </c>
      <c r="EO87" t="str">
        <f>""</f>
        <v/>
      </c>
      <c r="EP87" t="str">
        <f>""</f>
        <v/>
      </c>
      <c r="EQ87" t="str">
        <f>""</f>
        <v/>
      </c>
      <c r="ER87" t="str">
        <f>""</f>
        <v/>
      </c>
      <c r="ES87" t="str">
        <f>""</f>
        <v/>
      </c>
      <c r="ET87" t="str">
        <f>""</f>
        <v/>
      </c>
      <c r="EU87" t="str">
        <f>""</f>
        <v/>
      </c>
      <c r="EV87" t="str">
        <f>""</f>
        <v/>
      </c>
      <c r="EW87" t="str">
        <f>""</f>
        <v/>
      </c>
      <c r="EX87" t="str">
        <f>""</f>
        <v/>
      </c>
      <c r="EY87" t="str">
        <f>""</f>
        <v/>
      </c>
      <c r="EZ87" t="str">
        <f>""</f>
        <v/>
      </c>
      <c r="FA87" t="str">
        <f>""</f>
        <v/>
      </c>
      <c r="FB87" t="str">
        <f>""</f>
        <v/>
      </c>
      <c r="FC87" t="str">
        <f>""</f>
        <v/>
      </c>
      <c r="FD87" t="str">
        <f>""</f>
        <v/>
      </c>
      <c r="FE87" t="str">
        <f>""</f>
        <v/>
      </c>
      <c r="FF87" t="str">
        <f>""</f>
        <v/>
      </c>
      <c r="FG87" t="str">
        <f>""</f>
        <v/>
      </c>
      <c r="FH87" t="str">
        <f>""</f>
        <v/>
      </c>
      <c r="FI87" t="str">
        <f>""</f>
        <v/>
      </c>
      <c r="FJ87" t="str">
        <f>""</f>
        <v/>
      </c>
      <c r="FK87" t="str">
        <f>""</f>
        <v/>
      </c>
      <c r="FL87" t="str">
        <f>""</f>
        <v/>
      </c>
      <c r="FM87" t="str">
        <f>""</f>
        <v/>
      </c>
      <c r="FN87" t="str">
        <f>""</f>
        <v/>
      </c>
      <c r="FO87" t="str">
        <f>""</f>
        <v/>
      </c>
      <c r="FP87" t="str">
        <f>""</f>
        <v/>
      </c>
      <c r="FQ87" t="str">
        <f>""</f>
        <v/>
      </c>
    </row>
    <row r="88" spans="1:173" x14ac:dyDescent="0.25">
      <c r="A88" t="str">
        <f>"Snapshot header"</f>
        <v>Snapshot header</v>
      </c>
      <c r="B88">
        <f>2</f>
        <v>2</v>
      </c>
      <c r="C88" t="str">
        <f>"9/2023"</f>
        <v>9/2023</v>
      </c>
      <c r="D88" t="str">
        <f>"8/2023"</f>
        <v>8/2023</v>
      </c>
      <c r="E88" t="str">
        <f>"7/2023"</f>
        <v>7/2023</v>
      </c>
      <c r="F88" t="str">
        <f>"6/2023"</f>
        <v>6/2023</v>
      </c>
      <c r="G88" t="str">
        <f>"5/2023"</f>
        <v>5/2023</v>
      </c>
      <c r="H88" t="str">
        <f>"4/2023"</f>
        <v>4/2023</v>
      </c>
      <c r="I88" t="str">
        <f>"3/2023"</f>
        <v>3/2023</v>
      </c>
      <c r="J88" t="str">
        <f>"2/2023"</f>
        <v>2/2023</v>
      </c>
      <c r="K88" t="str">
        <f>"1/2023"</f>
        <v>1/2023</v>
      </c>
      <c r="L88" t="str">
        <f>"12/2022"</f>
        <v>12/2022</v>
      </c>
      <c r="M88" t="str">
        <f>"11/2022"</f>
        <v>11/2022</v>
      </c>
      <c r="N88" t="str">
        <f>"10/2022"</f>
        <v>10/2022</v>
      </c>
      <c r="O88" t="str">
        <f>"9/2022"</f>
        <v>9/2022</v>
      </c>
      <c r="P88" t="str">
        <f>"8/2022"</f>
        <v>8/2022</v>
      </c>
      <c r="Q88" t="str">
        <f>"7/2022"</f>
        <v>7/2022</v>
      </c>
      <c r="R88" t="str">
        <f>"6/2022"</f>
        <v>6/2022</v>
      </c>
      <c r="S88" t="str">
        <f>"5/2022"</f>
        <v>5/2022</v>
      </c>
      <c r="T88" t="str">
        <f>"4/2022"</f>
        <v>4/2022</v>
      </c>
      <c r="U88" t="str">
        <f>"3/2022"</f>
        <v>3/2022</v>
      </c>
      <c r="V88" t="str">
        <f>"2/2022"</f>
        <v>2/2022</v>
      </c>
      <c r="W88" t="str">
        <f>"1/2022"</f>
        <v>1/2022</v>
      </c>
      <c r="X88" t="str">
        <f>"12/2021"</f>
        <v>12/2021</v>
      </c>
      <c r="Y88" t="str">
        <f>"11/2021"</f>
        <v>11/2021</v>
      </c>
      <c r="Z88" t="str">
        <f>"10/2021"</f>
        <v>10/2021</v>
      </c>
      <c r="AA88" t="str">
        <f>"9/2021"</f>
        <v>9/2021</v>
      </c>
      <c r="AB88" t="str">
        <f>"8/2021"</f>
        <v>8/2021</v>
      </c>
      <c r="AC88" t="str">
        <f>"7/2021"</f>
        <v>7/2021</v>
      </c>
      <c r="AD88" t="str">
        <f>"6/2021"</f>
        <v>6/2021</v>
      </c>
      <c r="AE88" t="str">
        <f>"5/2021"</f>
        <v>5/2021</v>
      </c>
      <c r="AF88" t="str">
        <f>"4/2021"</f>
        <v>4/2021</v>
      </c>
      <c r="AG88" t="str">
        <f>"3/2021"</f>
        <v>3/2021</v>
      </c>
      <c r="AH88" t="str">
        <f>"2/2021"</f>
        <v>2/2021</v>
      </c>
      <c r="AI88" t="str">
        <f>"1/2021"</f>
        <v>1/2021</v>
      </c>
      <c r="AJ88" t="str">
        <f>"12/2020"</f>
        <v>12/2020</v>
      </c>
      <c r="AK88" t="str">
        <f>"11/2020"</f>
        <v>11/2020</v>
      </c>
      <c r="AL88" t="str">
        <f>"10/2020"</f>
        <v>10/2020</v>
      </c>
      <c r="AM88" t="str">
        <f>"9/2020"</f>
        <v>9/2020</v>
      </c>
      <c r="AN88" t="str">
        <f>"8/2020"</f>
        <v>8/2020</v>
      </c>
      <c r="AO88" t="str">
        <f>"7/2020"</f>
        <v>7/2020</v>
      </c>
      <c r="AP88" t="str">
        <f>"6/2020"</f>
        <v>6/2020</v>
      </c>
      <c r="AQ88" t="str">
        <f>"5/2020"</f>
        <v>5/2020</v>
      </c>
      <c r="AR88" t="str">
        <f>"4/2020"</f>
        <v>4/2020</v>
      </c>
      <c r="AS88" t="str">
        <f>"3/2020"</f>
        <v>3/2020</v>
      </c>
      <c r="AT88" t="str">
        <f>"2/2020"</f>
        <v>2/2020</v>
      </c>
      <c r="AU88" t="str">
        <f>"1/2020"</f>
        <v>1/2020</v>
      </c>
      <c r="AV88" t="str">
        <f>"12/2019"</f>
        <v>12/2019</v>
      </c>
      <c r="AW88" t="str">
        <f>"11/2019"</f>
        <v>11/2019</v>
      </c>
      <c r="AX88" t="str">
        <f>"10/2019"</f>
        <v>10/2019</v>
      </c>
      <c r="AY88" t="str">
        <f>"9/2019"</f>
        <v>9/2019</v>
      </c>
      <c r="AZ88" t="str">
        <f>"8/2019"</f>
        <v>8/2019</v>
      </c>
      <c r="BA88" t="str">
        <f>"7/2019"</f>
        <v>7/2019</v>
      </c>
      <c r="BB88" t="str">
        <f>"6/2019"</f>
        <v>6/2019</v>
      </c>
      <c r="BC88" t="str">
        <f>"5/2019"</f>
        <v>5/2019</v>
      </c>
      <c r="BD88" t="str">
        <f>"4/2019"</f>
        <v>4/2019</v>
      </c>
      <c r="BE88" t="str">
        <f>"3/2019"</f>
        <v>3/2019</v>
      </c>
      <c r="BF88" t="str">
        <f>"2/2019"</f>
        <v>2/2019</v>
      </c>
      <c r="BG88" t="str">
        <f>"1/2019"</f>
        <v>1/2019</v>
      </c>
      <c r="BH88" t="str">
        <f>"12/2018"</f>
        <v>12/2018</v>
      </c>
      <c r="BI88" t="str">
        <f>"11/2018"</f>
        <v>11/2018</v>
      </c>
      <c r="BJ88" t="str">
        <f>"10/2018"</f>
        <v>10/2018</v>
      </c>
      <c r="BK88" t="str">
        <f>"9/2018"</f>
        <v>9/2018</v>
      </c>
      <c r="BL88" t="str">
        <f>"8/2018"</f>
        <v>8/2018</v>
      </c>
      <c r="BM88" t="str">
        <f>"7/2018"</f>
        <v>7/2018</v>
      </c>
      <c r="BN88" t="str">
        <f>"6/2018"</f>
        <v>6/2018</v>
      </c>
      <c r="BO88" t="str">
        <f>"5/2018"</f>
        <v>5/2018</v>
      </c>
      <c r="BP88" t="str">
        <f>"4/2018"</f>
        <v>4/2018</v>
      </c>
      <c r="BQ88" t="str">
        <f>"3/2018"</f>
        <v>3/2018</v>
      </c>
      <c r="BR88" t="str">
        <f>"2/2018"</f>
        <v>2/2018</v>
      </c>
      <c r="BS88" t="str">
        <f>"1/2018"</f>
        <v>1/2018</v>
      </c>
      <c r="BT88" t="str">
        <f>"12/2017"</f>
        <v>12/2017</v>
      </c>
      <c r="BU88" t="str">
        <f>"11/2017"</f>
        <v>11/2017</v>
      </c>
      <c r="BV88" t="str">
        <f>"10/2017"</f>
        <v>10/2017</v>
      </c>
      <c r="BW88" t="str">
        <f>"9/2017"</f>
        <v>9/2017</v>
      </c>
      <c r="BX88" t="str">
        <f>"8/2017"</f>
        <v>8/2017</v>
      </c>
      <c r="BY88" t="str">
        <f>"7/2017"</f>
        <v>7/2017</v>
      </c>
      <c r="BZ88" t="str">
        <f>"6/2017"</f>
        <v>6/2017</v>
      </c>
      <c r="CA88" t="str">
        <f>"5/2017"</f>
        <v>5/2017</v>
      </c>
      <c r="CB88" t="str">
        <f>"4/2017"</f>
        <v>4/2017</v>
      </c>
      <c r="CC88" t="str">
        <f>"3/2017"</f>
        <v>3/2017</v>
      </c>
      <c r="CD88" t="str">
        <f>"2/2017"</f>
        <v>2/2017</v>
      </c>
      <c r="CE88" t="str">
        <f>"1/2017"</f>
        <v>1/2017</v>
      </c>
      <c r="CF88" t="str">
        <f>"12/2016"</f>
        <v>12/2016</v>
      </c>
      <c r="CG88" t="str">
        <f>"11/2016"</f>
        <v>11/2016</v>
      </c>
      <c r="CH88" t="str">
        <f>"10/2016"</f>
        <v>10/2016</v>
      </c>
      <c r="CL88" t="str">
        <f>""</f>
        <v/>
      </c>
      <c r="CM88" t="str">
        <f>""</f>
        <v/>
      </c>
      <c r="CN88" t="str">
        <f>""</f>
        <v/>
      </c>
      <c r="CO88" t="str">
        <f>""</f>
        <v/>
      </c>
      <c r="CP88" t="str">
        <f>""</f>
        <v/>
      </c>
      <c r="CQ88" t="str">
        <f>""</f>
        <v/>
      </c>
      <c r="CR88" t="str">
        <f>""</f>
        <v/>
      </c>
      <c r="CS88" t="str">
        <f>""</f>
        <v/>
      </c>
      <c r="CT88" t="str">
        <f>""</f>
        <v/>
      </c>
      <c r="CU88" t="str">
        <f>""</f>
        <v/>
      </c>
      <c r="CV88" t="str">
        <f>""</f>
        <v/>
      </c>
      <c r="CW88" t="str">
        <f>""</f>
        <v/>
      </c>
      <c r="CX88" t="str">
        <f>""</f>
        <v/>
      </c>
      <c r="CY88" t="str">
        <f>""</f>
        <v/>
      </c>
      <c r="CZ88" t="str">
        <f>""</f>
        <v/>
      </c>
      <c r="DA88" t="str">
        <f>""</f>
        <v/>
      </c>
      <c r="DB88" t="str">
        <f>""</f>
        <v/>
      </c>
      <c r="DC88" t="str">
        <f>""</f>
        <v/>
      </c>
      <c r="DD88" t="str">
        <f>""</f>
        <v/>
      </c>
      <c r="DE88" t="str">
        <f>""</f>
        <v/>
      </c>
      <c r="DF88" t="str">
        <f>""</f>
        <v/>
      </c>
      <c r="DG88" t="str">
        <f>""</f>
        <v/>
      </c>
      <c r="DH88" t="str">
        <f>""</f>
        <v/>
      </c>
      <c r="DI88" t="str">
        <f>""</f>
        <v/>
      </c>
      <c r="DJ88" t="str">
        <f>""</f>
        <v/>
      </c>
      <c r="DK88" t="str">
        <f>""</f>
        <v/>
      </c>
      <c r="DL88" t="str">
        <f>""</f>
        <v/>
      </c>
      <c r="DM88" t="str">
        <f>""</f>
        <v/>
      </c>
      <c r="DN88" t="str">
        <f>""</f>
        <v/>
      </c>
      <c r="DO88" t="str">
        <f>""</f>
        <v/>
      </c>
      <c r="DP88" t="str">
        <f>""</f>
        <v/>
      </c>
      <c r="DQ88" t="str">
        <f>""</f>
        <v/>
      </c>
      <c r="DR88" t="str">
        <f>""</f>
        <v/>
      </c>
      <c r="DS88" t="str">
        <f>""</f>
        <v/>
      </c>
      <c r="DT88" t="str">
        <f>""</f>
        <v/>
      </c>
      <c r="DU88" t="str">
        <f>""</f>
        <v/>
      </c>
      <c r="DV88" t="str">
        <f>""</f>
        <v/>
      </c>
      <c r="DW88" t="str">
        <f>""</f>
        <v/>
      </c>
      <c r="DX88" t="str">
        <f>""</f>
        <v/>
      </c>
      <c r="DY88" t="str">
        <f>""</f>
        <v/>
      </c>
      <c r="DZ88" t="str">
        <f>""</f>
        <v/>
      </c>
      <c r="EA88" t="str">
        <f>""</f>
        <v/>
      </c>
      <c r="EB88" t="str">
        <f>""</f>
        <v/>
      </c>
      <c r="EC88" t="str">
        <f>""</f>
        <v/>
      </c>
      <c r="ED88" t="str">
        <f>""</f>
        <v/>
      </c>
      <c r="EE88" t="str">
        <f>""</f>
        <v/>
      </c>
      <c r="EF88" t="str">
        <f>""</f>
        <v/>
      </c>
      <c r="EG88" t="str">
        <f>""</f>
        <v/>
      </c>
      <c r="EH88" t="str">
        <f>""</f>
        <v/>
      </c>
      <c r="EI88" t="str">
        <f>""</f>
        <v/>
      </c>
      <c r="EJ88" t="str">
        <f>""</f>
        <v/>
      </c>
      <c r="EK88" t="str">
        <f>""</f>
        <v/>
      </c>
      <c r="EL88" t="str">
        <f>""</f>
        <v/>
      </c>
      <c r="EM88" t="str">
        <f>""</f>
        <v/>
      </c>
      <c r="EN88" t="str">
        <f>""</f>
        <v/>
      </c>
      <c r="EO88" t="str">
        <f>""</f>
        <v/>
      </c>
      <c r="EP88" t="str">
        <f>""</f>
        <v/>
      </c>
      <c r="EQ88" t="str">
        <f>""</f>
        <v/>
      </c>
      <c r="ER88" t="str">
        <f>""</f>
        <v/>
      </c>
      <c r="ES88" t="str">
        <f>""</f>
        <v/>
      </c>
      <c r="ET88" t="str">
        <f>""</f>
        <v/>
      </c>
      <c r="EU88" t="str">
        <f>""</f>
        <v/>
      </c>
      <c r="EV88" t="str">
        <f>""</f>
        <v/>
      </c>
      <c r="EW88" t="str">
        <f>""</f>
        <v/>
      </c>
      <c r="EX88" t="str">
        <f>""</f>
        <v/>
      </c>
      <c r="EY88" t="str">
        <f>""</f>
        <v/>
      </c>
      <c r="EZ88" t="str">
        <f>""</f>
        <v/>
      </c>
      <c r="FA88" t="str">
        <f>""</f>
        <v/>
      </c>
      <c r="FB88" t="str">
        <f>""</f>
        <v/>
      </c>
      <c r="FC88" t="str">
        <f>""</f>
        <v/>
      </c>
      <c r="FD88" t="str">
        <f>""</f>
        <v/>
      </c>
      <c r="FE88" t="str">
        <f>""</f>
        <v/>
      </c>
      <c r="FF88" t="str">
        <f>""</f>
        <v/>
      </c>
      <c r="FG88" t="str">
        <f>""</f>
        <v/>
      </c>
      <c r="FH88" t="str">
        <f>""</f>
        <v/>
      </c>
      <c r="FI88" t="str">
        <f>""</f>
        <v/>
      </c>
      <c r="FJ88" t="str">
        <f>""</f>
        <v/>
      </c>
      <c r="FK88" t="str">
        <f>""</f>
        <v/>
      </c>
      <c r="FL88" t="str">
        <f>""</f>
        <v/>
      </c>
      <c r="FM88" t="str">
        <f>""</f>
        <v/>
      </c>
      <c r="FN88" t="str">
        <f>""</f>
        <v/>
      </c>
      <c r="FO88" t="str">
        <f>""</f>
        <v/>
      </c>
      <c r="FP88" t="str">
        <f>""</f>
        <v/>
      </c>
      <c r="FQ88" t="str">
        <f>""</f>
        <v/>
      </c>
    </row>
    <row r="89" spans="1:173" x14ac:dyDescent="0.25">
      <c r="A89" t="str">
        <f>"BDH snapshot header0"</f>
        <v>BDH snapshot header0</v>
      </c>
      <c r="B89">
        <f>IF(OR(ISERROR($C$89),ISBLANK($C$89),ISNUMBER(SEARCH("N/A",$C$89) ),ISERROR($C$90),ISBLANK($C$90)),0,1)</f>
        <v>0</v>
      </c>
      <c r="C89" t="str">
        <f>_xll.BDH($B$15,$C$15,$B$49,$B$87,"PER=CM","Dts=S","DtFmt=FI", "rows=2","Dir=H","Points=84","Sort=R","Days=A","Fill=B","FX=USD" )</f>
        <v>#N/A Invalid Parameter: Invalid override field id specified</v>
      </c>
      <c r="CL89" t="str">
        <f>""</f>
        <v/>
      </c>
      <c r="CM89" t="str">
        <f>""</f>
        <v/>
      </c>
      <c r="CN89" t="str">
        <f>""</f>
        <v/>
      </c>
      <c r="CO89" t="str">
        <f>""</f>
        <v/>
      </c>
      <c r="CP89" t="str">
        <f>""</f>
        <v/>
      </c>
      <c r="CQ89" t="str">
        <f>""</f>
        <v/>
      </c>
      <c r="CR89" t="str">
        <f>""</f>
        <v/>
      </c>
      <c r="CS89" t="str">
        <f>""</f>
        <v/>
      </c>
      <c r="CT89" t="str">
        <f>""</f>
        <v/>
      </c>
      <c r="CU89" t="str">
        <f>""</f>
        <v/>
      </c>
      <c r="CV89" t="str">
        <f>""</f>
        <v/>
      </c>
      <c r="CW89" t="str">
        <f>""</f>
        <v/>
      </c>
      <c r="CX89" t="str">
        <f>""</f>
        <v/>
      </c>
      <c r="CY89" t="str">
        <f>""</f>
        <v/>
      </c>
      <c r="CZ89" t="str">
        <f>""</f>
        <v/>
      </c>
      <c r="DA89" t="str">
        <f>""</f>
        <v/>
      </c>
      <c r="DB89" t="str">
        <f>""</f>
        <v/>
      </c>
      <c r="DC89" t="str">
        <f>""</f>
        <v/>
      </c>
      <c r="DD89" t="str">
        <f>""</f>
        <v/>
      </c>
      <c r="DE89" t="str">
        <f>""</f>
        <v/>
      </c>
      <c r="DF89" t="str">
        <f>""</f>
        <v/>
      </c>
      <c r="DG89" t="str">
        <f>""</f>
        <v/>
      </c>
      <c r="DH89" t="str">
        <f>""</f>
        <v/>
      </c>
      <c r="DI89" t="str">
        <f>""</f>
        <v/>
      </c>
      <c r="DJ89" t="str">
        <f>""</f>
        <v/>
      </c>
      <c r="DK89" t="str">
        <f>""</f>
        <v/>
      </c>
      <c r="DL89" t="str">
        <f>""</f>
        <v/>
      </c>
      <c r="DM89" t="str">
        <f>""</f>
        <v/>
      </c>
      <c r="DN89" t="str">
        <f>""</f>
        <v/>
      </c>
      <c r="DO89" t="str">
        <f>""</f>
        <v/>
      </c>
      <c r="DP89" t="str">
        <f>""</f>
        <v/>
      </c>
      <c r="DQ89" t="str">
        <f>""</f>
        <v/>
      </c>
      <c r="DR89" t="str">
        <f>""</f>
        <v/>
      </c>
      <c r="DS89" t="str">
        <f>""</f>
        <v/>
      </c>
      <c r="DT89" t="str">
        <f>""</f>
        <v/>
      </c>
      <c r="DU89" t="str">
        <f>""</f>
        <v/>
      </c>
      <c r="DV89" t="str">
        <f>""</f>
        <v/>
      </c>
      <c r="DW89" t="str">
        <f>""</f>
        <v/>
      </c>
      <c r="DX89" t="str">
        <f>""</f>
        <v/>
      </c>
      <c r="DY89" t="str">
        <f>""</f>
        <v/>
      </c>
      <c r="DZ89" t="str">
        <f>""</f>
        <v/>
      </c>
      <c r="EA89" t="str">
        <f>""</f>
        <v/>
      </c>
      <c r="EB89" t="str">
        <f>""</f>
        <v/>
      </c>
      <c r="EC89" t="str">
        <f>""</f>
        <v/>
      </c>
      <c r="ED89" t="str">
        <f>""</f>
        <v/>
      </c>
      <c r="EE89" t="str">
        <f>""</f>
        <v/>
      </c>
      <c r="EF89" t="str">
        <f>""</f>
        <v/>
      </c>
      <c r="EG89" t="str">
        <f>""</f>
        <v/>
      </c>
      <c r="EH89" t="str">
        <f>""</f>
        <v/>
      </c>
      <c r="EI89" t="str">
        <f>""</f>
        <v/>
      </c>
      <c r="EJ89" t="str">
        <f>""</f>
        <v/>
      </c>
      <c r="EK89" t="str">
        <f>""</f>
        <v/>
      </c>
      <c r="EL89" t="str">
        <f>""</f>
        <v/>
      </c>
      <c r="EM89" t="str">
        <f>""</f>
        <v/>
      </c>
      <c r="EN89" t="str">
        <f>""</f>
        <v/>
      </c>
      <c r="EO89" t="str">
        <f>""</f>
        <v/>
      </c>
      <c r="EP89" t="str">
        <f>""</f>
        <v/>
      </c>
      <c r="EQ89" t="str">
        <f>""</f>
        <v/>
      </c>
      <c r="ER89" t="str">
        <f>""</f>
        <v/>
      </c>
      <c r="ES89" t="str">
        <f>""</f>
        <v/>
      </c>
      <c r="ET89" t="str">
        <f>""</f>
        <v/>
      </c>
      <c r="EU89" t="str">
        <f>""</f>
        <v/>
      </c>
      <c r="EV89" t="str">
        <f>""</f>
        <v/>
      </c>
      <c r="EW89" t="str">
        <f>""</f>
        <v/>
      </c>
      <c r="EX89" t="str">
        <f>""</f>
        <v/>
      </c>
      <c r="EY89" t="str">
        <f>""</f>
        <v/>
      </c>
      <c r="EZ89" t="str">
        <f>""</f>
        <v/>
      </c>
      <c r="FA89" t="str">
        <f>""</f>
        <v/>
      </c>
      <c r="FB89" t="str">
        <f>""</f>
        <v/>
      </c>
      <c r="FC89" t="str">
        <f>""</f>
        <v/>
      </c>
      <c r="FD89" t="str">
        <f>""</f>
        <v/>
      </c>
      <c r="FE89" t="str">
        <f>""</f>
        <v/>
      </c>
      <c r="FF89" t="str">
        <f>""</f>
        <v/>
      </c>
      <c r="FG89" t="str">
        <f>""</f>
        <v/>
      </c>
      <c r="FH89" t="str">
        <f>""</f>
        <v/>
      </c>
      <c r="FI89" t="str">
        <f>""</f>
        <v/>
      </c>
      <c r="FJ89" t="str">
        <f>""</f>
        <v/>
      </c>
      <c r="FK89" t="str">
        <f>""</f>
        <v/>
      </c>
      <c r="FL89" t="str">
        <f>""</f>
        <v/>
      </c>
      <c r="FM89" t="str">
        <f>""</f>
        <v/>
      </c>
      <c r="FN89" t="str">
        <f>""</f>
        <v/>
      </c>
      <c r="FO89" t="str">
        <f>""</f>
        <v/>
      </c>
      <c r="FP89" t="str">
        <f>""</f>
        <v/>
      </c>
      <c r="FQ89" t="str">
        <f>""</f>
        <v/>
      </c>
    </row>
    <row r="90" spans="1:173" x14ac:dyDescent="0.25">
      <c r="A90" t="str">
        <f>"BDH snapshot result0"</f>
        <v>BDH snapshot result0</v>
      </c>
      <c r="CL90" t="str">
        <f>""</f>
        <v/>
      </c>
      <c r="CM90" t="str">
        <f>""</f>
        <v/>
      </c>
      <c r="CN90" t="str">
        <f>""</f>
        <v/>
      </c>
      <c r="CO90" t="str">
        <f>""</f>
        <v/>
      </c>
      <c r="CP90" t="str">
        <f>""</f>
        <v/>
      </c>
      <c r="CQ90" t="str">
        <f>""</f>
        <v/>
      </c>
      <c r="CR90" t="str">
        <f>""</f>
        <v/>
      </c>
      <c r="CS90" t="str">
        <f>""</f>
        <v/>
      </c>
      <c r="CT90" t="str">
        <f>""</f>
        <v/>
      </c>
      <c r="CU90" t="str">
        <f>""</f>
        <v/>
      </c>
      <c r="CV90" t="str">
        <f>""</f>
        <v/>
      </c>
      <c r="CW90" t="str">
        <f>""</f>
        <v/>
      </c>
      <c r="CX90" t="str">
        <f>""</f>
        <v/>
      </c>
      <c r="CY90" t="str">
        <f>""</f>
        <v/>
      </c>
      <c r="CZ90" t="str">
        <f>""</f>
        <v/>
      </c>
      <c r="DA90" t="str">
        <f>""</f>
        <v/>
      </c>
      <c r="DB90" t="str">
        <f>""</f>
        <v/>
      </c>
      <c r="DC90" t="str">
        <f>""</f>
        <v/>
      </c>
      <c r="DD90" t="str">
        <f>""</f>
        <v/>
      </c>
      <c r="DE90" t="str">
        <f>""</f>
        <v/>
      </c>
      <c r="DF90" t="str">
        <f>""</f>
        <v/>
      </c>
      <c r="DG90" t="str">
        <f>""</f>
        <v/>
      </c>
      <c r="DH90" t="str">
        <f>""</f>
        <v/>
      </c>
      <c r="DI90" t="str">
        <f>""</f>
        <v/>
      </c>
      <c r="DJ90" t="str">
        <f>""</f>
        <v/>
      </c>
      <c r="DK90" t="str">
        <f>""</f>
        <v/>
      </c>
      <c r="DL90" t="str">
        <f>""</f>
        <v/>
      </c>
      <c r="DM90" t="str">
        <f>""</f>
        <v/>
      </c>
      <c r="DN90" t="str">
        <f>""</f>
        <v/>
      </c>
      <c r="DO90" t="str">
        <f>""</f>
        <v/>
      </c>
      <c r="DP90" t="str">
        <f>""</f>
        <v/>
      </c>
      <c r="DQ90" t="str">
        <f>""</f>
        <v/>
      </c>
      <c r="DR90" t="str">
        <f>""</f>
        <v/>
      </c>
      <c r="DS90" t="str">
        <f>""</f>
        <v/>
      </c>
      <c r="DT90" t="str">
        <f>""</f>
        <v/>
      </c>
      <c r="DU90" t="str">
        <f>""</f>
        <v/>
      </c>
      <c r="DV90" t="str">
        <f>""</f>
        <v/>
      </c>
      <c r="DW90" t="str">
        <f>""</f>
        <v/>
      </c>
      <c r="DX90" t="str">
        <f>""</f>
        <v/>
      </c>
      <c r="DY90" t="str">
        <f>""</f>
        <v/>
      </c>
      <c r="DZ90" t="str">
        <f>""</f>
        <v/>
      </c>
      <c r="EA90" t="str">
        <f>""</f>
        <v/>
      </c>
      <c r="EB90" t="str">
        <f>""</f>
        <v/>
      </c>
      <c r="EC90" t="str">
        <f>""</f>
        <v/>
      </c>
      <c r="ED90" t="str">
        <f>""</f>
        <v/>
      </c>
      <c r="EE90" t="str">
        <f>""</f>
        <v/>
      </c>
      <c r="EF90" t="str">
        <f>""</f>
        <v/>
      </c>
      <c r="EG90" t="str">
        <f>""</f>
        <v/>
      </c>
      <c r="EH90" t="str">
        <f>""</f>
        <v/>
      </c>
      <c r="EI90" t="str">
        <f>""</f>
        <v/>
      </c>
      <c r="EJ90" t="str">
        <f>""</f>
        <v/>
      </c>
      <c r="EK90" t="str">
        <f>""</f>
        <v/>
      </c>
      <c r="EL90" t="str">
        <f>""</f>
        <v/>
      </c>
      <c r="EM90" t="str">
        <f>""</f>
        <v/>
      </c>
      <c r="EN90" t="str">
        <f>""</f>
        <v/>
      </c>
      <c r="EO90" t="str">
        <f>""</f>
        <v/>
      </c>
      <c r="EP90" t="str">
        <f>""</f>
        <v/>
      </c>
      <c r="EQ90" t="str">
        <f>""</f>
        <v/>
      </c>
      <c r="ER90" t="str">
        <f>""</f>
        <v/>
      </c>
      <c r="ES90" t="str">
        <f>""</f>
        <v/>
      </c>
      <c r="ET90" t="str">
        <f>""</f>
        <v/>
      </c>
      <c r="EU90" t="str">
        <f>""</f>
        <v/>
      </c>
      <c r="EV90" t="str">
        <f>""</f>
        <v/>
      </c>
      <c r="EW90" t="str">
        <f>""</f>
        <v/>
      </c>
      <c r="EX90" t="str">
        <f>""</f>
        <v/>
      </c>
      <c r="EY90" t="str">
        <f>""</f>
        <v/>
      </c>
      <c r="EZ90" t="str">
        <f>""</f>
        <v/>
      </c>
      <c r="FA90" t="str">
        <f>""</f>
        <v/>
      </c>
      <c r="FB90" t="str">
        <f>""</f>
        <v/>
      </c>
      <c r="FC90" t="str">
        <f>""</f>
        <v/>
      </c>
      <c r="FD90" t="str">
        <f>""</f>
        <v/>
      </c>
      <c r="FE90" t="str">
        <f>""</f>
        <v/>
      </c>
      <c r="FF90" t="str">
        <f>""</f>
        <v/>
      </c>
      <c r="FG90" t="str">
        <f>""</f>
        <v/>
      </c>
      <c r="FH90" t="str">
        <f>""</f>
        <v/>
      </c>
      <c r="FI90" t="str">
        <f>""</f>
        <v/>
      </c>
      <c r="FJ90" t="str">
        <f>""</f>
        <v/>
      </c>
      <c r="FK90" t="str">
        <f>""</f>
        <v/>
      </c>
      <c r="FL90" t="str">
        <f>""</f>
        <v/>
      </c>
      <c r="FM90" t="str">
        <f>""</f>
        <v/>
      </c>
      <c r="FN90" t="str">
        <f>""</f>
        <v/>
      </c>
      <c r="FO90" t="str">
        <f>""</f>
        <v/>
      </c>
      <c r="FP90" t="str">
        <f>""</f>
        <v/>
      </c>
      <c r="FQ90" t="str">
        <f>""</f>
        <v/>
      </c>
    </row>
    <row r="91" spans="1:173" x14ac:dyDescent="0.25">
      <c r="A91" t="str">
        <f>"BDH snapshot"</f>
        <v>BDH snapshot</v>
      </c>
      <c r="B91">
        <f>IF($B$89&gt;=1,$B$89,$B$88)</f>
        <v>2</v>
      </c>
      <c r="C91" t="str">
        <f>IF($B$89&gt;=1,$C$89,$C$88)</f>
        <v>9/2023</v>
      </c>
      <c r="D91" t="str">
        <f>IF($B$89&gt;=1,$D$89,$D$88)</f>
        <v>8/2023</v>
      </c>
      <c r="E91" t="str">
        <f>IF($B$89&gt;=1,$E$89,$E$88)</f>
        <v>7/2023</v>
      </c>
      <c r="F91" t="str">
        <f>IF($B$89&gt;=1,$F$89,$F$88)</f>
        <v>6/2023</v>
      </c>
      <c r="G91" t="str">
        <f>IF($B$89&gt;=1,$G$89,$G$88)</f>
        <v>5/2023</v>
      </c>
      <c r="H91" t="str">
        <f>IF($B$89&gt;=1,$H$89,$H$88)</f>
        <v>4/2023</v>
      </c>
      <c r="I91" t="str">
        <f>IF($B$89&gt;=1,$I$89,$I$88)</f>
        <v>3/2023</v>
      </c>
      <c r="J91" t="str">
        <f>IF($B$89&gt;=1,$J$89,$J$88)</f>
        <v>2/2023</v>
      </c>
      <c r="K91" t="str">
        <f>IF($B$89&gt;=1,$K$89,$K$88)</f>
        <v>1/2023</v>
      </c>
      <c r="L91" t="str">
        <f>IF($B$89&gt;=1,$L$89,$L$88)</f>
        <v>12/2022</v>
      </c>
      <c r="M91" t="str">
        <f>IF($B$89&gt;=1,$M$89,$M$88)</f>
        <v>11/2022</v>
      </c>
      <c r="N91" t="str">
        <f>IF($B$89&gt;=1,$N$89,$N$88)</f>
        <v>10/2022</v>
      </c>
      <c r="O91" t="str">
        <f>IF($B$89&gt;=1,$O$89,$O$88)</f>
        <v>9/2022</v>
      </c>
      <c r="P91" t="str">
        <f>IF($B$89&gt;=1,$P$89,$P$88)</f>
        <v>8/2022</v>
      </c>
      <c r="Q91" t="str">
        <f>IF($B$89&gt;=1,$Q$89,$Q$88)</f>
        <v>7/2022</v>
      </c>
      <c r="R91" t="str">
        <f>IF($B$89&gt;=1,$R$89,$R$88)</f>
        <v>6/2022</v>
      </c>
      <c r="S91" t="str">
        <f>IF($B$89&gt;=1,$S$89,$S$88)</f>
        <v>5/2022</v>
      </c>
      <c r="T91" t="str">
        <f>IF($B$89&gt;=1,$T$89,$T$88)</f>
        <v>4/2022</v>
      </c>
      <c r="U91" t="str">
        <f>IF($B$89&gt;=1,$U$89,$U$88)</f>
        <v>3/2022</v>
      </c>
      <c r="V91" t="str">
        <f>IF($B$89&gt;=1,$V$89,$V$88)</f>
        <v>2/2022</v>
      </c>
      <c r="W91" t="str">
        <f>IF($B$89&gt;=1,$W$89,$W$88)</f>
        <v>1/2022</v>
      </c>
      <c r="X91" t="str">
        <f>IF($B$89&gt;=1,$X$89,$X$88)</f>
        <v>12/2021</v>
      </c>
      <c r="Y91" t="str">
        <f>IF($B$89&gt;=1,$Y$89,$Y$88)</f>
        <v>11/2021</v>
      </c>
      <c r="Z91" t="str">
        <f>IF($B$89&gt;=1,$Z$89,$Z$88)</f>
        <v>10/2021</v>
      </c>
      <c r="AA91" t="str">
        <f>IF($B$89&gt;=1,$AA$89,$AA$88)</f>
        <v>9/2021</v>
      </c>
      <c r="AB91" t="str">
        <f>IF($B$89&gt;=1,$AB$89,$AB$88)</f>
        <v>8/2021</v>
      </c>
      <c r="AC91" t="str">
        <f>IF($B$89&gt;=1,$AC$89,$AC$88)</f>
        <v>7/2021</v>
      </c>
      <c r="AD91" t="str">
        <f>IF($B$89&gt;=1,$AD$89,$AD$88)</f>
        <v>6/2021</v>
      </c>
      <c r="AE91" t="str">
        <f>IF($B$89&gt;=1,$AE$89,$AE$88)</f>
        <v>5/2021</v>
      </c>
      <c r="AF91" t="str">
        <f>IF($B$89&gt;=1,$AF$89,$AF$88)</f>
        <v>4/2021</v>
      </c>
      <c r="AG91" t="str">
        <f>IF($B$89&gt;=1,$AG$89,$AG$88)</f>
        <v>3/2021</v>
      </c>
      <c r="AH91" t="str">
        <f>IF($B$89&gt;=1,$AH$89,$AH$88)</f>
        <v>2/2021</v>
      </c>
      <c r="AI91" t="str">
        <f>IF($B$89&gt;=1,$AI$89,$AI$88)</f>
        <v>1/2021</v>
      </c>
      <c r="AJ91" t="str">
        <f>IF($B$89&gt;=1,$AJ$89,$AJ$88)</f>
        <v>12/2020</v>
      </c>
      <c r="AK91" t="str">
        <f>IF($B$89&gt;=1,$AK$89,$AK$88)</f>
        <v>11/2020</v>
      </c>
      <c r="AL91" t="str">
        <f>IF($B$89&gt;=1,$AL$89,$AL$88)</f>
        <v>10/2020</v>
      </c>
      <c r="AM91" t="str">
        <f>IF($B$89&gt;=1,$AM$89,$AM$88)</f>
        <v>9/2020</v>
      </c>
      <c r="AN91" t="str">
        <f>IF($B$89&gt;=1,$AN$89,$AN$88)</f>
        <v>8/2020</v>
      </c>
      <c r="AO91" t="str">
        <f>IF($B$89&gt;=1,$AO$89,$AO$88)</f>
        <v>7/2020</v>
      </c>
      <c r="AP91" t="str">
        <f>IF($B$89&gt;=1,$AP$89,$AP$88)</f>
        <v>6/2020</v>
      </c>
      <c r="AQ91" t="str">
        <f>IF($B$89&gt;=1,$AQ$89,$AQ$88)</f>
        <v>5/2020</v>
      </c>
      <c r="AR91" t="str">
        <f>IF($B$89&gt;=1,$AR$89,$AR$88)</f>
        <v>4/2020</v>
      </c>
      <c r="AS91" t="str">
        <f>IF($B$89&gt;=1,$AS$89,$AS$88)</f>
        <v>3/2020</v>
      </c>
      <c r="AT91" t="str">
        <f>IF($B$89&gt;=1,$AT$89,$AT$88)</f>
        <v>2/2020</v>
      </c>
      <c r="AU91" t="str">
        <f>IF($B$89&gt;=1,$AU$89,$AU$88)</f>
        <v>1/2020</v>
      </c>
      <c r="AV91" t="str">
        <f>IF($B$89&gt;=1,$AV$89,$AV$88)</f>
        <v>12/2019</v>
      </c>
      <c r="AW91" t="str">
        <f>IF($B$89&gt;=1,$AW$89,$AW$88)</f>
        <v>11/2019</v>
      </c>
      <c r="AX91" t="str">
        <f>IF($B$89&gt;=1,$AX$89,$AX$88)</f>
        <v>10/2019</v>
      </c>
      <c r="AY91" t="str">
        <f>IF($B$89&gt;=1,$AY$89,$AY$88)</f>
        <v>9/2019</v>
      </c>
      <c r="AZ91" t="str">
        <f>IF($B$89&gt;=1,$AZ$89,$AZ$88)</f>
        <v>8/2019</v>
      </c>
      <c r="BA91" t="str">
        <f>IF($B$89&gt;=1,$BA$89,$BA$88)</f>
        <v>7/2019</v>
      </c>
      <c r="BB91" t="str">
        <f>IF($B$89&gt;=1,$BB$89,$BB$88)</f>
        <v>6/2019</v>
      </c>
      <c r="BC91" t="str">
        <f>IF($B$89&gt;=1,$BC$89,$BC$88)</f>
        <v>5/2019</v>
      </c>
      <c r="BD91" t="str">
        <f>IF($B$89&gt;=1,$BD$89,$BD$88)</f>
        <v>4/2019</v>
      </c>
      <c r="BE91" t="str">
        <f>IF($B$89&gt;=1,$BE$89,$BE$88)</f>
        <v>3/2019</v>
      </c>
      <c r="BF91" t="str">
        <f>IF($B$89&gt;=1,$BF$89,$BF$88)</f>
        <v>2/2019</v>
      </c>
      <c r="BG91" t="str">
        <f>IF($B$89&gt;=1,$BG$89,$BG$88)</f>
        <v>1/2019</v>
      </c>
      <c r="BH91" t="str">
        <f>IF($B$89&gt;=1,$BH$89,$BH$88)</f>
        <v>12/2018</v>
      </c>
      <c r="BI91" t="str">
        <f>IF($B$89&gt;=1,$BI$89,$BI$88)</f>
        <v>11/2018</v>
      </c>
      <c r="BJ91" t="str">
        <f>IF($B$89&gt;=1,$BJ$89,$BJ$88)</f>
        <v>10/2018</v>
      </c>
      <c r="BK91" t="str">
        <f>IF($B$89&gt;=1,$BK$89,$BK$88)</f>
        <v>9/2018</v>
      </c>
      <c r="BL91" t="str">
        <f>IF($B$89&gt;=1,$BL$89,$BL$88)</f>
        <v>8/2018</v>
      </c>
      <c r="BM91" t="str">
        <f>IF($B$89&gt;=1,$BM$89,$BM$88)</f>
        <v>7/2018</v>
      </c>
      <c r="BN91" t="str">
        <f>IF($B$89&gt;=1,$BN$89,$BN$88)</f>
        <v>6/2018</v>
      </c>
      <c r="BO91" t="str">
        <f>IF($B$89&gt;=1,$BO$89,$BO$88)</f>
        <v>5/2018</v>
      </c>
      <c r="BP91" t="str">
        <f>IF($B$89&gt;=1,$BP$89,$BP$88)</f>
        <v>4/2018</v>
      </c>
      <c r="BQ91" t="str">
        <f>IF($B$89&gt;=1,$BQ$89,$BQ$88)</f>
        <v>3/2018</v>
      </c>
      <c r="BR91" t="str">
        <f>IF($B$89&gt;=1,$BR$89,$BR$88)</f>
        <v>2/2018</v>
      </c>
      <c r="BS91" t="str">
        <f>IF($B$89&gt;=1,$BS$89,$BS$88)</f>
        <v>1/2018</v>
      </c>
      <c r="BT91" t="str">
        <f>IF($B$89&gt;=1,$BT$89,$BT$88)</f>
        <v>12/2017</v>
      </c>
      <c r="BU91" t="str">
        <f>IF($B$89&gt;=1,$BU$89,$BU$88)</f>
        <v>11/2017</v>
      </c>
      <c r="BV91" t="str">
        <f>IF($B$89&gt;=1,$BV$89,$BV$88)</f>
        <v>10/2017</v>
      </c>
      <c r="BW91" t="str">
        <f>IF($B$89&gt;=1,$BW$89,$BW$88)</f>
        <v>9/2017</v>
      </c>
      <c r="BX91" t="str">
        <f>IF($B$89&gt;=1,$BX$89,$BX$88)</f>
        <v>8/2017</v>
      </c>
      <c r="BY91" t="str">
        <f>IF($B$89&gt;=1,$BY$89,$BY$88)</f>
        <v>7/2017</v>
      </c>
      <c r="BZ91" t="str">
        <f>IF($B$89&gt;=1,$BZ$89,$BZ$88)</f>
        <v>6/2017</v>
      </c>
      <c r="CA91" t="str">
        <f>IF($B$89&gt;=1,$CA$89,$CA$88)</f>
        <v>5/2017</v>
      </c>
      <c r="CB91" t="str">
        <f>IF($B$89&gt;=1,$CB$89,$CB$88)</f>
        <v>4/2017</v>
      </c>
      <c r="CC91" t="str">
        <f>IF($B$89&gt;=1,$CC$89,$CC$88)</f>
        <v>3/2017</v>
      </c>
      <c r="CD91" t="str">
        <f>IF($B$89&gt;=1,$CD$89,$CD$88)</f>
        <v>2/2017</v>
      </c>
      <c r="CE91" t="str">
        <f>IF($B$89&gt;=1,$CE$89,$CE$88)</f>
        <v>1/2017</v>
      </c>
      <c r="CF91" t="str">
        <f>IF($B$89&gt;=1,$CF$89,$CF$88)</f>
        <v>12/2016</v>
      </c>
      <c r="CG91" t="str">
        <f>IF($B$89&gt;=1,$CG$89,$CG$88)</f>
        <v>11/2016</v>
      </c>
      <c r="CH91" t="str">
        <f>IF($B$89&gt;=1,$CH$89,$CH$88)</f>
        <v>10/2016</v>
      </c>
      <c r="CL91" t="str">
        <f>""</f>
        <v/>
      </c>
      <c r="CM91" t="str">
        <f>""</f>
        <v/>
      </c>
      <c r="CN91" t="str">
        <f>""</f>
        <v/>
      </c>
      <c r="CO91" t="str">
        <f>""</f>
        <v/>
      </c>
      <c r="CP91" t="str">
        <f>""</f>
        <v/>
      </c>
      <c r="CQ91" t="str">
        <f>""</f>
        <v/>
      </c>
      <c r="CR91" t="str">
        <f>""</f>
        <v/>
      </c>
      <c r="CS91" t="str">
        <f>""</f>
        <v/>
      </c>
      <c r="CT91" t="str">
        <f>""</f>
        <v/>
      </c>
      <c r="CU91" t="str">
        <f>""</f>
        <v/>
      </c>
      <c r="CV91" t="str">
        <f>""</f>
        <v/>
      </c>
      <c r="CW91" t="str">
        <f>""</f>
        <v/>
      </c>
      <c r="CX91" t="str">
        <f>""</f>
        <v/>
      </c>
      <c r="CY91" t="str">
        <f>""</f>
        <v/>
      </c>
      <c r="CZ91" t="str">
        <f>""</f>
        <v/>
      </c>
      <c r="DA91" t="str">
        <f>""</f>
        <v/>
      </c>
      <c r="DB91" t="str">
        <f>""</f>
        <v/>
      </c>
      <c r="DC91" t="str">
        <f>""</f>
        <v/>
      </c>
      <c r="DD91" t="str">
        <f>""</f>
        <v/>
      </c>
      <c r="DE91" t="str">
        <f>""</f>
        <v/>
      </c>
      <c r="DF91" t="str">
        <f>""</f>
        <v/>
      </c>
      <c r="DG91" t="str">
        <f>""</f>
        <v/>
      </c>
      <c r="DH91" t="str">
        <f>""</f>
        <v/>
      </c>
      <c r="DI91" t="str">
        <f>""</f>
        <v/>
      </c>
      <c r="DJ91" t="str">
        <f>""</f>
        <v/>
      </c>
      <c r="DK91" t="str">
        <f>""</f>
        <v/>
      </c>
      <c r="DL91" t="str">
        <f>""</f>
        <v/>
      </c>
      <c r="DM91" t="str">
        <f>""</f>
        <v/>
      </c>
      <c r="DN91" t="str">
        <f>""</f>
        <v/>
      </c>
      <c r="DO91" t="str">
        <f>""</f>
        <v/>
      </c>
      <c r="DP91" t="str">
        <f>""</f>
        <v/>
      </c>
      <c r="DQ91" t="str">
        <f>""</f>
        <v/>
      </c>
      <c r="DR91" t="str">
        <f>""</f>
        <v/>
      </c>
      <c r="DS91" t="str">
        <f>""</f>
        <v/>
      </c>
      <c r="DT91" t="str">
        <f>""</f>
        <v/>
      </c>
      <c r="DU91" t="str">
        <f>""</f>
        <v/>
      </c>
      <c r="DV91" t="str">
        <f>""</f>
        <v/>
      </c>
      <c r="DW91" t="str">
        <f>""</f>
        <v/>
      </c>
      <c r="DX91" t="str">
        <f>""</f>
        <v/>
      </c>
      <c r="DY91" t="str">
        <f>""</f>
        <v/>
      </c>
      <c r="DZ91" t="str">
        <f>""</f>
        <v/>
      </c>
      <c r="EA91" t="str">
        <f>""</f>
        <v/>
      </c>
      <c r="EB91" t="str">
        <f>""</f>
        <v/>
      </c>
      <c r="EC91" t="str">
        <f>""</f>
        <v/>
      </c>
      <c r="ED91" t="str">
        <f>""</f>
        <v/>
      </c>
      <c r="EE91" t="str">
        <f>""</f>
        <v/>
      </c>
      <c r="EF91" t="str">
        <f>""</f>
        <v/>
      </c>
      <c r="EG91" t="str">
        <f>""</f>
        <v/>
      </c>
      <c r="EH91" t="str">
        <f>""</f>
        <v/>
      </c>
      <c r="EI91" t="str">
        <f>""</f>
        <v/>
      </c>
      <c r="EJ91" t="str">
        <f>""</f>
        <v/>
      </c>
      <c r="EK91" t="str">
        <f>""</f>
        <v/>
      </c>
      <c r="EL91" t="str">
        <f>""</f>
        <v/>
      </c>
      <c r="EM91" t="str">
        <f>""</f>
        <v/>
      </c>
      <c r="EN91" t="str">
        <f>""</f>
        <v/>
      </c>
      <c r="EO91" t="str">
        <f>""</f>
        <v/>
      </c>
      <c r="EP91" t="str">
        <f>""</f>
        <v/>
      </c>
      <c r="EQ91" t="str">
        <f>""</f>
        <v/>
      </c>
      <c r="ER91" t="str">
        <f>""</f>
        <v/>
      </c>
      <c r="ES91" t="str">
        <f>""</f>
        <v/>
      </c>
      <c r="ET91" t="str">
        <f>""</f>
        <v/>
      </c>
      <c r="EU91" t="str">
        <f>""</f>
        <v/>
      </c>
      <c r="EV91" t="str">
        <f>""</f>
        <v/>
      </c>
      <c r="EW91" t="str">
        <f>""</f>
        <v/>
      </c>
      <c r="EX91" t="str">
        <f>""</f>
        <v/>
      </c>
      <c r="EY91" t="str">
        <f>""</f>
        <v/>
      </c>
      <c r="EZ91" t="str">
        <f>""</f>
        <v/>
      </c>
      <c r="FA91" t="str">
        <f>""</f>
        <v/>
      </c>
      <c r="FB91" t="str">
        <f>""</f>
        <v/>
      </c>
      <c r="FC91" t="str">
        <f>""</f>
        <v/>
      </c>
      <c r="FD91" t="str">
        <f>""</f>
        <v/>
      </c>
      <c r="FE91" t="str">
        <f>""</f>
        <v/>
      </c>
      <c r="FF91" t="str">
        <f>""</f>
        <v/>
      </c>
      <c r="FG91" t="str">
        <f>""</f>
        <v/>
      </c>
      <c r="FH91" t="str">
        <f>""</f>
        <v/>
      </c>
      <c r="FI91" t="str">
        <f>""</f>
        <v/>
      </c>
      <c r="FJ91" t="str">
        <f>""</f>
        <v/>
      </c>
      <c r="FK91" t="str">
        <f>""</f>
        <v/>
      </c>
      <c r="FL91" t="str">
        <f>""</f>
        <v/>
      </c>
      <c r="FM91" t="str">
        <f>""</f>
        <v/>
      </c>
      <c r="FN91" t="str">
        <f>""</f>
        <v/>
      </c>
      <c r="FO91" t="str">
        <f>""</f>
        <v/>
      </c>
      <c r="FP91" t="str">
        <f>""</f>
        <v/>
      </c>
      <c r="FQ91" t="str">
        <f>""</f>
        <v/>
      </c>
    </row>
    <row r="92" spans="1:173" x14ac:dyDescent="0.25">
      <c r="A92" t="str">
        <f>"BDH snapshot title"</f>
        <v>BDH snapshot title</v>
      </c>
      <c r="B92">
        <f>$B$91</f>
        <v>2</v>
      </c>
      <c r="C92" t="str">
        <f>$C$91</f>
        <v>9/2023</v>
      </c>
      <c r="D92" t="str">
        <f>$D$91</f>
        <v>8/2023</v>
      </c>
      <c r="E92" t="str">
        <f>$E$91</f>
        <v>7/2023</v>
      </c>
      <c r="F92" t="str">
        <f>$F$91</f>
        <v>6/2023</v>
      </c>
      <c r="G92" t="str">
        <f>$G$91</f>
        <v>5/2023</v>
      </c>
      <c r="H92" t="str">
        <f>$H$91</f>
        <v>4/2023</v>
      </c>
      <c r="I92" t="str">
        <f>$I$91</f>
        <v>3/2023</v>
      </c>
      <c r="J92" t="str">
        <f>$J$91</f>
        <v>2/2023</v>
      </c>
      <c r="K92" t="str">
        <f>$K$91</f>
        <v>1/2023</v>
      </c>
      <c r="L92" t="str">
        <f>$L$91</f>
        <v>12/2022</v>
      </c>
      <c r="M92" t="str">
        <f>$M$91</f>
        <v>11/2022</v>
      </c>
      <c r="N92" t="str">
        <f>$N$91</f>
        <v>10/2022</v>
      </c>
      <c r="O92" t="str">
        <f>$O$91</f>
        <v>9/2022</v>
      </c>
      <c r="P92" t="str">
        <f>$P$91</f>
        <v>8/2022</v>
      </c>
      <c r="Q92" t="str">
        <f>$Q$91</f>
        <v>7/2022</v>
      </c>
      <c r="R92" t="str">
        <f>$R$91</f>
        <v>6/2022</v>
      </c>
      <c r="S92" t="str">
        <f>$S$91</f>
        <v>5/2022</v>
      </c>
      <c r="T92" t="str">
        <f>$T$91</f>
        <v>4/2022</v>
      </c>
      <c r="U92" t="str">
        <f>$U$91</f>
        <v>3/2022</v>
      </c>
      <c r="V92" t="str">
        <f>$V$91</f>
        <v>2/2022</v>
      </c>
      <c r="W92" t="str">
        <f>$W$91</f>
        <v>1/2022</v>
      </c>
      <c r="X92" t="str">
        <f>$X$91</f>
        <v>12/2021</v>
      </c>
      <c r="Y92" t="str">
        <f>$Y$91</f>
        <v>11/2021</v>
      </c>
      <c r="Z92" t="str">
        <f>$Z$91</f>
        <v>10/2021</v>
      </c>
      <c r="AA92" t="str">
        <f>$AA$91</f>
        <v>9/2021</v>
      </c>
      <c r="AB92" t="str">
        <f>$AB$91</f>
        <v>8/2021</v>
      </c>
      <c r="AC92" t="str">
        <f>$AC$91</f>
        <v>7/2021</v>
      </c>
      <c r="AD92" t="str">
        <f>$AD$91</f>
        <v>6/2021</v>
      </c>
      <c r="AE92" t="str">
        <f>$AE$91</f>
        <v>5/2021</v>
      </c>
      <c r="AF92" t="str">
        <f>$AF$91</f>
        <v>4/2021</v>
      </c>
      <c r="AG92" t="str">
        <f>$AG$91</f>
        <v>3/2021</v>
      </c>
      <c r="AH92" t="str">
        <f>$AH$91</f>
        <v>2/2021</v>
      </c>
      <c r="AI92" t="str">
        <f>$AI$91</f>
        <v>1/2021</v>
      </c>
      <c r="AJ92" t="str">
        <f>$AJ$91</f>
        <v>12/2020</v>
      </c>
      <c r="AK92" t="str">
        <f>$AK$91</f>
        <v>11/2020</v>
      </c>
      <c r="AL92" t="str">
        <f>$AL$91</f>
        <v>10/2020</v>
      </c>
      <c r="AM92" t="str">
        <f>$AM$91</f>
        <v>9/2020</v>
      </c>
      <c r="AN92" t="str">
        <f>$AN$91</f>
        <v>8/2020</v>
      </c>
      <c r="AO92" t="str">
        <f>$AO$91</f>
        <v>7/2020</v>
      </c>
      <c r="AP92" t="str">
        <f>$AP$91</f>
        <v>6/2020</v>
      </c>
      <c r="AQ92" t="str">
        <f>$AQ$91</f>
        <v>5/2020</v>
      </c>
      <c r="AR92" t="str">
        <f>$AR$91</f>
        <v>4/2020</v>
      </c>
      <c r="AS92" t="str">
        <f>$AS$91</f>
        <v>3/2020</v>
      </c>
      <c r="AT92" t="str">
        <f>$AT$91</f>
        <v>2/2020</v>
      </c>
      <c r="AU92" t="str">
        <f>$AU$91</f>
        <v>1/2020</v>
      </c>
      <c r="AV92" t="str">
        <f>$AV$91</f>
        <v>12/2019</v>
      </c>
      <c r="AW92" t="str">
        <f>$AW$91</f>
        <v>11/2019</v>
      </c>
      <c r="AX92" t="str">
        <f>$AX$91</f>
        <v>10/2019</v>
      </c>
      <c r="AY92" t="str">
        <f>$AY$91</f>
        <v>9/2019</v>
      </c>
      <c r="AZ92" t="str">
        <f>$AZ$91</f>
        <v>8/2019</v>
      </c>
      <c r="BA92" t="str">
        <f>$BA$91</f>
        <v>7/2019</v>
      </c>
      <c r="BB92" t="str">
        <f>$BB$91</f>
        <v>6/2019</v>
      </c>
      <c r="BC92" t="str">
        <f>$BC$91</f>
        <v>5/2019</v>
      </c>
      <c r="BD92" t="str">
        <f>$BD$91</f>
        <v>4/2019</v>
      </c>
      <c r="BE92" t="str">
        <f>$BE$91</f>
        <v>3/2019</v>
      </c>
      <c r="BF92" t="str">
        <f>$BF$91</f>
        <v>2/2019</v>
      </c>
      <c r="BG92" t="str">
        <f>$BG$91</f>
        <v>1/2019</v>
      </c>
      <c r="BH92" t="str">
        <f>$BH$91</f>
        <v>12/2018</v>
      </c>
      <c r="BI92" t="str">
        <f>$BI$91</f>
        <v>11/2018</v>
      </c>
      <c r="BJ92" t="str">
        <f>$BJ$91</f>
        <v>10/2018</v>
      </c>
      <c r="BK92" t="str">
        <f>$BK$91</f>
        <v>9/2018</v>
      </c>
      <c r="BL92" t="str">
        <f>$BL$91</f>
        <v>8/2018</v>
      </c>
      <c r="BM92" t="str">
        <f>$BM$91</f>
        <v>7/2018</v>
      </c>
      <c r="BN92" t="str">
        <f>$BN$91</f>
        <v>6/2018</v>
      </c>
      <c r="BO92" t="str">
        <f>$BO$91</f>
        <v>5/2018</v>
      </c>
      <c r="BP92" t="str">
        <f>$BP$91</f>
        <v>4/2018</v>
      </c>
      <c r="BQ92" t="str">
        <f>$BQ$91</f>
        <v>3/2018</v>
      </c>
      <c r="BR92" t="str">
        <f>$BR$91</f>
        <v>2/2018</v>
      </c>
      <c r="BS92" t="str">
        <f>$BS$91</f>
        <v>1/2018</v>
      </c>
      <c r="BT92" t="str">
        <f>$BT$91</f>
        <v>12/2017</v>
      </c>
      <c r="BU92" t="str">
        <f>$BU$91</f>
        <v>11/2017</v>
      </c>
      <c r="BV92" t="str">
        <f>$BV$91</f>
        <v>10/2017</v>
      </c>
      <c r="BW92" t="str">
        <f>$BW$91</f>
        <v>9/2017</v>
      </c>
      <c r="BX92" t="str">
        <f>$BX$91</f>
        <v>8/2017</v>
      </c>
      <c r="BY92" t="str">
        <f>$BY$91</f>
        <v>7/2017</v>
      </c>
      <c r="BZ92" t="str">
        <f>$BZ$91</f>
        <v>6/2017</v>
      </c>
      <c r="CA92" t="str">
        <f>$CA$91</f>
        <v>5/2017</v>
      </c>
      <c r="CB92" t="str">
        <f>$CB$91</f>
        <v>4/2017</v>
      </c>
      <c r="CC92" t="str">
        <f>$CC$91</f>
        <v>3/2017</v>
      </c>
      <c r="CD92" t="str">
        <f>$CD$91</f>
        <v>2/2017</v>
      </c>
      <c r="CE92" t="str">
        <f>$CE$91</f>
        <v>1/2017</v>
      </c>
      <c r="CF92" t="str">
        <f>$CF$91</f>
        <v>12/2016</v>
      </c>
      <c r="CG92" t="str">
        <f>$CG$91</f>
        <v>11/2016</v>
      </c>
      <c r="CH92" t="str">
        <f>$CH$91</f>
        <v>10/2016</v>
      </c>
      <c r="CL92" t="str">
        <f>""</f>
        <v/>
      </c>
      <c r="CM92" t="str">
        <f>""</f>
        <v/>
      </c>
      <c r="CN92" t="str">
        <f>""</f>
        <v/>
      </c>
      <c r="CO92" t="str">
        <f>""</f>
        <v/>
      </c>
      <c r="CP92" t="str">
        <f>""</f>
        <v/>
      </c>
      <c r="CQ92" t="str">
        <f>""</f>
        <v/>
      </c>
      <c r="CR92" t="str">
        <f>""</f>
        <v/>
      </c>
      <c r="CS92" t="str">
        <f>""</f>
        <v/>
      </c>
      <c r="CT92" t="str">
        <f>""</f>
        <v/>
      </c>
      <c r="CU92" t="str">
        <f>""</f>
        <v/>
      </c>
      <c r="CV92" t="str">
        <f>""</f>
        <v/>
      </c>
      <c r="CW92" t="str">
        <f>""</f>
        <v/>
      </c>
      <c r="CX92" t="str">
        <f>""</f>
        <v/>
      </c>
      <c r="CY92" t="str">
        <f>""</f>
        <v/>
      </c>
      <c r="CZ92" t="str">
        <f>""</f>
        <v/>
      </c>
      <c r="DA92" t="str">
        <f>""</f>
        <v/>
      </c>
      <c r="DB92" t="str">
        <f>""</f>
        <v/>
      </c>
      <c r="DC92" t="str">
        <f>""</f>
        <v/>
      </c>
      <c r="DD92" t="str">
        <f>""</f>
        <v/>
      </c>
      <c r="DE92" t="str">
        <f>""</f>
        <v/>
      </c>
      <c r="DF92" t="str">
        <f>""</f>
        <v/>
      </c>
      <c r="DG92" t="str">
        <f>""</f>
        <v/>
      </c>
      <c r="DH92" t="str">
        <f>""</f>
        <v/>
      </c>
      <c r="DI92" t="str">
        <f>""</f>
        <v/>
      </c>
      <c r="DJ92" t="str">
        <f>""</f>
        <v/>
      </c>
      <c r="DK92" t="str">
        <f>""</f>
        <v/>
      </c>
      <c r="DL92" t="str">
        <f>""</f>
        <v/>
      </c>
      <c r="DM92" t="str">
        <f>""</f>
        <v/>
      </c>
      <c r="DN92" t="str">
        <f>""</f>
        <v/>
      </c>
      <c r="DO92" t="str">
        <f>""</f>
        <v/>
      </c>
      <c r="DP92" t="str">
        <f>""</f>
        <v/>
      </c>
      <c r="DQ92" t="str">
        <f>""</f>
        <v/>
      </c>
      <c r="DR92" t="str">
        <f>""</f>
        <v/>
      </c>
      <c r="DS92" t="str">
        <f>""</f>
        <v/>
      </c>
      <c r="DT92" t="str">
        <f>""</f>
        <v/>
      </c>
      <c r="DU92" t="str">
        <f>""</f>
        <v/>
      </c>
      <c r="DV92" t="str">
        <f>""</f>
        <v/>
      </c>
      <c r="DW92" t="str">
        <f>""</f>
        <v/>
      </c>
      <c r="DX92" t="str">
        <f>""</f>
        <v/>
      </c>
      <c r="DY92" t="str">
        <f>""</f>
        <v/>
      </c>
      <c r="DZ92" t="str">
        <f>""</f>
        <v/>
      </c>
      <c r="EA92" t="str">
        <f>""</f>
        <v/>
      </c>
      <c r="EB92" t="str">
        <f>""</f>
        <v/>
      </c>
      <c r="EC92" t="str">
        <f>""</f>
        <v/>
      </c>
      <c r="ED92" t="str">
        <f>""</f>
        <v/>
      </c>
      <c r="EE92" t="str">
        <f>""</f>
        <v/>
      </c>
      <c r="EF92" t="str">
        <f>""</f>
        <v/>
      </c>
      <c r="EG92" t="str">
        <f>""</f>
        <v/>
      </c>
      <c r="EH92" t="str">
        <f>""</f>
        <v/>
      </c>
      <c r="EI92" t="str">
        <f>""</f>
        <v/>
      </c>
      <c r="EJ92" t="str">
        <f>""</f>
        <v/>
      </c>
      <c r="EK92" t="str">
        <f>""</f>
        <v/>
      </c>
      <c r="EL92" t="str">
        <f>""</f>
        <v/>
      </c>
      <c r="EM92" t="str">
        <f>""</f>
        <v/>
      </c>
      <c r="EN92" t="str">
        <f>""</f>
        <v/>
      </c>
      <c r="EO92" t="str">
        <f>""</f>
        <v/>
      </c>
      <c r="EP92" t="str">
        <f>""</f>
        <v/>
      </c>
      <c r="EQ92" t="str">
        <f>""</f>
        <v/>
      </c>
      <c r="ER92" t="str">
        <f>""</f>
        <v/>
      </c>
      <c r="ES92" t="str">
        <f>""</f>
        <v/>
      </c>
      <c r="ET92" t="str">
        <f>""</f>
        <v/>
      </c>
      <c r="EU92" t="str">
        <f>""</f>
        <v/>
      </c>
      <c r="EV92" t="str">
        <f>""</f>
        <v/>
      </c>
      <c r="EW92" t="str">
        <f>""</f>
        <v/>
      </c>
      <c r="EX92" t="str">
        <f>""</f>
        <v/>
      </c>
      <c r="EY92" t="str">
        <f>""</f>
        <v/>
      </c>
      <c r="EZ92" t="str">
        <f>""</f>
        <v/>
      </c>
      <c r="FA92" t="str">
        <f>""</f>
        <v/>
      </c>
      <c r="FB92" t="str">
        <f>""</f>
        <v/>
      </c>
      <c r="FC92" t="str">
        <f>""</f>
        <v/>
      </c>
      <c r="FD92" t="str">
        <f>""</f>
        <v/>
      </c>
      <c r="FE92" t="str">
        <f>""</f>
        <v/>
      </c>
      <c r="FF92" t="str">
        <f>""</f>
        <v/>
      </c>
      <c r="FG92" t="str">
        <f>""</f>
        <v/>
      </c>
      <c r="FH92" t="str">
        <f>""</f>
        <v/>
      </c>
      <c r="FI92" t="str">
        <f>""</f>
        <v/>
      </c>
      <c r="FJ92" t="str">
        <f>""</f>
        <v/>
      </c>
      <c r="FK92" t="str">
        <f>""</f>
        <v/>
      </c>
      <c r="FL92" t="str">
        <f>""</f>
        <v/>
      </c>
      <c r="FM92" t="str">
        <f>""</f>
        <v/>
      </c>
      <c r="FN92" t="str">
        <f>""</f>
        <v/>
      </c>
      <c r="FO92" t="str">
        <f>""</f>
        <v/>
      </c>
      <c r="FP92" t="str">
        <f>""</f>
        <v/>
      </c>
      <c r="FQ92" t="str">
        <f>""</f>
        <v/>
      </c>
    </row>
    <row r="93" spans="1:173" x14ac:dyDescent="0.25">
      <c r="A93" t="str">
        <f>"BDH dynamic header0"</f>
        <v>BDH dynamic header0</v>
      </c>
      <c r="B93">
        <f ca="1">IF(OR(ISERROR($C$93),ISBLANK($C$93),ISNUMBER(SEARCH("N/A",$C$93) ),ISERROR($C$94),ISBLANK($C$94)),0,1)</f>
        <v>0</v>
      </c>
      <c r="C93" t="str">
        <f ca="1">_xll.BDH($B$15,$C$15,$B$49,$B$50,"PER=CM","Dts=S","DtFmt=FI", "rows=2","Dir=H","Points=84","Sort=R","Days=A","Fill=B","FX=USD" )</f>
        <v>#N/A Invalid Parameter: Invalid override field id specified</v>
      </c>
      <c r="CL93" t="str">
        <f>""</f>
        <v/>
      </c>
      <c r="CM93" t="str">
        <f>""</f>
        <v/>
      </c>
      <c r="CN93" t="str">
        <f>""</f>
        <v/>
      </c>
      <c r="CO93" t="str">
        <f>""</f>
        <v/>
      </c>
      <c r="CP93" t="str">
        <f>""</f>
        <v/>
      </c>
      <c r="CQ93" t="str">
        <f>""</f>
        <v/>
      </c>
      <c r="CR93" t="str">
        <f>""</f>
        <v/>
      </c>
      <c r="CS93" t="str">
        <f>""</f>
        <v/>
      </c>
      <c r="CT93" t="str">
        <f>""</f>
        <v/>
      </c>
      <c r="CU93" t="str">
        <f>""</f>
        <v/>
      </c>
      <c r="CV93" t="str">
        <f>""</f>
        <v/>
      </c>
      <c r="CW93" t="str">
        <f>""</f>
        <v/>
      </c>
      <c r="CX93" t="str">
        <f>""</f>
        <v/>
      </c>
      <c r="CY93" t="str">
        <f>""</f>
        <v/>
      </c>
      <c r="CZ93" t="str">
        <f>""</f>
        <v/>
      </c>
      <c r="DA93" t="str">
        <f>""</f>
        <v/>
      </c>
      <c r="DB93" t="str">
        <f>""</f>
        <v/>
      </c>
      <c r="DC93" t="str">
        <f>""</f>
        <v/>
      </c>
      <c r="DD93" t="str">
        <f>""</f>
        <v/>
      </c>
      <c r="DE93" t="str">
        <f>""</f>
        <v/>
      </c>
      <c r="DF93" t="str">
        <f>""</f>
        <v/>
      </c>
      <c r="DG93" t="str">
        <f>""</f>
        <v/>
      </c>
      <c r="DH93" t="str">
        <f>""</f>
        <v/>
      </c>
      <c r="DI93" t="str">
        <f>""</f>
        <v/>
      </c>
      <c r="DJ93" t="str">
        <f>""</f>
        <v/>
      </c>
      <c r="DK93" t="str">
        <f>""</f>
        <v/>
      </c>
      <c r="DL93" t="str">
        <f>""</f>
        <v/>
      </c>
      <c r="DM93" t="str">
        <f>""</f>
        <v/>
      </c>
      <c r="DN93" t="str">
        <f>""</f>
        <v/>
      </c>
      <c r="DO93" t="str">
        <f>""</f>
        <v/>
      </c>
      <c r="DP93" t="str">
        <f>""</f>
        <v/>
      </c>
      <c r="DQ93" t="str">
        <f>""</f>
        <v/>
      </c>
      <c r="DR93" t="str">
        <f>""</f>
        <v/>
      </c>
      <c r="DS93" t="str">
        <f>""</f>
        <v/>
      </c>
      <c r="DT93" t="str">
        <f>""</f>
        <v/>
      </c>
      <c r="DU93" t="str">
        <f>""</f>
        <v/>
      </c>
      <c r="DV93" t="str">
        <f>""</f>
        <v/>
      </c>
      <c r="DW93" t="str">
        <f>""</f>
        <v/>
      </c>
      <c r="DX93" t="str">
        <f>""</f>
        <v/>
      </c>
      <c r="DY93" t="str">
        <f>""</f>
        <v/>
      </c>
      <c r="DZ93" t="str">
        <f>""</f>
        <v/>
      </c>
      <c r="EA93" t="str">
        <f>""</f>
        <v/>
      </c>
      <c r="EB93" t="str">
        <f>""</f>
        <v/>
      </c>
      <c r="EC93" t="str">
        <f>""</f>
        <v/>
      </c>
      <c r="ED93" t="str">
        <f>""</f>
        <v/>
      </c>
      <c r="EE93" t="str">
        <f>""</f>
        <v/>
      </c>
      <c r="EF93" t="str">
        <f>""</f>
        <v/>
      </c>
      <c r="EG93" t="str">
        <f>""</f>
        <v/>
      </c>
      <c r="EH93" t="str">
        <f>""</f>
        <v/>
      </c>
      <c r="EI93" t="str">
        <f>""</f>
        <v/>
      </c>
      <c r="EJ93" t="str">
        <f>""</f>
        <v/>
      </c>
      <c r="EK93" t="str">
        <f>""</f>
        <v/>
      </c>
      <c r="EL93" t="str">
        <f>""</f>
        <v/>
      </c>
      <c r="EM93" t="str">
        <f>""</f>
        <v/>
      </c>
      <c r="EN93" t="str">
        <f>""</f>
        <v/>
      </c>
      <c r="EO93" t="str">
        <f>""</f>
        <v/>
      </c>
      <c r="EP93" t="str">
        <f>""</f>
        <v/>
      </c>
      <c r="EQ93" t="str">
        <f>""</f>
        <v/>
      </c>
      <c r="ER93" t="str">
        <f>""</f>
        <v/>
      </c>
      <c r="ES93" t="str">
        <f>""</f>
        <v/>
      </c>
      <c r="ET93" t="str">
        <f>""</f>
        <v/>
      </c>
      <c r="EU93" t="str">
        <f>""</f>
        <v/>
      </c>
      <c r="EV93" t="str">
        <f>""</f>
        <v/>
      </c>
      <c r="EW93" t="str">
        <f>""</f>
        <v/>
      </c>
      <c r="EX93" t="str">
        <f>""</f>
        <v/>
      </c>
      <c r="EY93" t="str">
        <f>""</f>
        <v/>
      </c>
      <c r="EZ93" t="str">
        <f>""</f>
        <v/>
      </c>
      <c r="FA93" t="str">
        <f>""</f>
        <v/>
      </c>
      <c r="FB93" t="str">
        <f>""</f>
        <v/>
      </c>
      <c r="FC93" t="str">
        <f>""</f>
        <v/>
      </c>
      <c r="FD93" t="str">
        <f>""</f>
        <v/>
      </c>
      <c r="FE93" t="str">
        <f>""</f>
        <v/>
      </c>
      <c r="FF93" t="str">
        <f>""</f>
        <v/>
      </c>
      <c r="FG93" t="str">
        <f>""</f>
        <v/>
      </c>
      <c r="FH93" t="str">
        <f>""</f>
        <v/>
      </c>
      <c r="FI93" t="str">
        <f>""</f>
        <v/>
      </c>
      <c r="FJ93" t="str">
        <f>""</f>
        <v/>
      </c>
      <c r="FK93" t="str">
        <f>""</f>
        <v/>
      </c>
      <c r="FL93" t="str">
        <f>""</f>
        <v/>
      </c>
      <c r="FM93" t="str">
        <f>""</f>
        <v/>
      </c>
      <c r="FN93" t="str">
        <f>""</f>
        <v/>
      </c>
      <c r="FO93" t="str">
        <f>""</f>
        <v/>
      </c>
      <c r="FP93" t="str">
        <f>""</f>
        <v/>
      </c>
      <c r="FQ93" t="str">
        <f>""</f>
        <v/>
      </c>
    </row>
    <row r="94" spans="1:173" x14ac:dyDescent="0.25">
      <c r="A94" t="str">
        <f>"BDH dynamic result0"</f>
        <v>BDH dynamic result0</v>
      </c>
      <c r="CL94" t="str">
        <f>""</f>
        <v/>
      </c>
      <c r="CM94" t="str">
        <f>""</f>
        <v/>
      </c>
      <c r="CN94" t="str">
        <f>""</f>
        <v/>
      </c>
      <c r="CO94" t="str">
        <f>""</f>
        <v/>
      </c>
      <c r="CP94" t="str">
        <f>""</f>
        <v/>
      </c>
      <c r="CQ94" t="str">
        <f>""</f>
        <v/>
      </c>
      <c r="CR94" t="str">
        <f>""</f>
        <v/>
      </c>
      <c r="CS94" t="str">
        <f>""</f>
        <v/>
      </c>
      <c r="CT94" t="str">
        <f>""</f>
        <v/>
      </c>
      <c r="CU94" t="str">
        <f>""</f>
        <v/>
      </c>
      <c r="CV94" t="str">
        <f>""</f>
        <v/>
      </c>
      <c r="CW94" t="str">
        <f>""</f>
        <v/>
      </c>
      <c r="CX94" t="str">
        <f>""</f>
        <v/>
      </c>
      <c r="CY94" t="str">
        <f>""</f>
        <v/>
      </c>
      <c r="CZ94" t="str">
        <f>""</f>
        <v/>
      </c>
      <c r="DA94" t="str">
        <f>""</f>
        <v/>
      </c>
      <c r="DB94" t="str">
        <f>""</f>
        <v/>
      </c>
      <c r="DC94" t="str">
        <f>""</f>
        <v/>
      </c>
      <c r="DD94" t="str">
        <f>""</f>
        <v/>
      </c>
      <c r="DE94" t="str">
        <f>""</f>
        <v/>
      </c>
      <c r="DF94" t="str">
        <f>""</f>
        <v/>
      </c>
      <c r="DG94" t="str">
        <f>""</f>
        <v/>
      </c>
      <c r="DH94" t="str">
        <f>""</f>
        <v/>
      </c>
      <c r="DI94" t="str">
        <f>""</f>
        <v/>
      </c>
      <c r="DJ94" t="str">
        <f>""</f>
        <v/>
      </c>
      <c r="DK94" t="str">
        <f>""</f>
        <v/>
      </c>
      <c r="DL94" t="str">
        <f>""</f>
        <v/>
      </c>
      <c r="DM94" t="str">
        <f>""</f>
        <v/>
      </c>
      <c r="DN94" t="str">
        <f>""</f>
        <v/>
      </c>
      <c r="DO94" t="str">
        <f>""</f>
        <v/>
      </c>
      <c r="DP94" t="str">
        <f>""</f>
        <v/>
      </c>
      <c r="DQ94" t="str">
        <f>""</f>
        <v/>
      </c>
      <c r="DR94" t="str">
        <f>""</f>
        <v/>
      </c>
      <c r="DS94" t="str">
        <f>""</f>
        <v/>
      </c>
      <c r="DT94" t="str">
        <f>""</f>
        <v/>
      </c>
      <c r="DU94" t="str">
        <f>""</f>
        <v/>
      </c>
      <c r="DV94" t="str">
        <f>""</f>
        <v/>
      </c>
      <c r="DW94" t="str">
        <f>""</f>
        <v/>
      </c>
      <c r="DX94" t="str">
        <f>""</f>
        <v/>
      </c>
      <c r="DY94" t="str">
        <f>""</f>
        <v/>
      </c>
      <c r="DZ94" t="str">
        <f>""</f>
        <v/>
      </c>
      <c r="EA94" t="str">
        <f>""</f>
        <v/>
      </c>
      <c r="EB94" t="str">
        <f>""</f>
        <v/>
      </c>
      <c r="EC94" t="str">
        <f>""</f>
        <v/>
      </c>
      <c r="ED94" t="str">
        <f>""</f>
        <v/>
      </c>
      <c r="EE94" t="str">
        <f>""</f>
        <v/>
      </c>
      <c r="EF94" t="str">
        <f>""</f>
        <v/>
      </c>
      <c r="EG94" t="str">
        <f>""</f>
        <v/>
      </c>
      <c r="EH94" t="str">
        <f>""</f>
        <v/>
      </c>
      <c r="EI94" t="str">
        <f>""</f>
        <v/>
      </c>
      <c r="EJ94" t="str">
        <f>""</f>
        <v/>
      </c>
      <c r="EK94" t="str">
        <f>""</f>
        <v/>
      </c>
      <c r="EL94" t="str">
        <f>""</f>
        <v/>
      </c>
      <c r="EM94" t="str">
        <f>""</f>
        <v/>
      </c>
      <c r="EN94" t="str">
        <f>""</f>
        <v/>
      </c>
      <c r="EO94" t="str">
        <f>""</f>
        <v/>
      </c>
      <c r="EP94" t="str">
        <f>""</f>
        <v/>
      </c>
      <c r="EQ94" t="str">
        <f>""</f>
        <v/>
      </c>
      <c r="ER94" t="str">
        <f>""</f>
        <v/>
      </c>
      <c r="ES94" t="str">
        <f>""</f>
        <v/>
      </c>
      <c r="ET94" t="str">
        <f>""</f>
        <v/>
      </c>
      <c r="EU94" t="str">
        <f>""</f>
        <v/>
      </c>
      <c r="EV94" t="str">
        <f>""</f>
        <v/>
      </c>
      <c r="EW94" t="str">
        <f>""</f>
        <v/>
      </c>
      <c r="EX94" t="str">
        <f>""</f>
        <v/>
      </c>
      <c r="EY94" t="str">
        <f>""</f>
        <v/>
      </c>
      <c r="EZ94" t="str">
        <f>""</f>
        <v/>
      </c>
      <c r="FA94" t="str">
        <f>""</f>
        <v/>
      </c>
      <c r="FB94" t="str">
        <f>""</f>
        <v/>
      </c>
      <c r="FC94" t="str">
        <f>""</f>
        <v/>
      </c>
      <c r="FD94" t="str">
        <f>""</f>
        <v/>
      </c>
      <c r="FE94" t="str">
        <f>""</f>
        <v/>
      </c>
      <c r="FF94" t="str">
        <f>""</f>
        <v/>
      </c>
      <c r="FG94" t="str">
        <f>""</f>
        <v/>
      </c>
      <c r="FH94" t="str">
        <f>""</f>
        <v/>
      </c>
      <c r="FI94" t="str">
        <f>""</f>
        <v/>
      </c>
      <c r="FJ94" t="str">
        <f>""</f>
        <v/>
      </c>
      <c r="FK94" t="str">
        <f>""</f>
        <v/>
      </c>
      <c r="FL94" t="str">
        <f>""</f>
        <v/>
      </c>
      <c r="FM94" t="str">
        <f>""</f>
        <v/>
      </c>
      <c r="FN94" t="str">
        <f>""</f>
        <v/>
      </c>
      <c r="FO94" t="str">
        <f>""</f>
        <v/>
      </c>
      <c r="FP94" t="str">
        <f>""</f>
        <v/>
      </c>
      <c r="FQ94" t="str">
        <f>""</f>
        <v/>
      </c>
    </row>
    <row r="95" spans="1:173" x14ac:dyDescent="0.25">
      <c r="A95" t="str">
        <f>"BDH dynamic"</f>
        <v>BDH dynamic</v>
      </c>
      <c r="B95">
        <f ca="1">IF($B$93&gt;=1,$B$93,$B$88)</f>
        <v>2</v>
      </c>
      <c r="C95" t="str">
        <f ca="1">IF($B$93&gt;=1,$C$93,$C$88)</f>
        <v>9/2023</v>
      </c>
      <c r="D95" t="str">
        <f ca="1">IF($B$93&gt;=1,$D$93,$D$88)</f>
        <v>8/2023</v>
      </c>
      <c r="E95" t="str">
        <f ca="1">IF($B$93&gt;=1,$E$93,$E$88)</f>
        <v>7/2023</v>
      </c>
      <c r="F95" t="str">
        <f ca="1">IF($B$93&gt;=1,$F$93,$F$88)</f>
        <v>6/2023</v>
      </c>
      <c r="G95" t="str">
        <f ca="1">IF($B$93&gt;=1,$G$93,$G$88)</f>
        <v>5/2023</v>
      </c>
      <c r="H95" t="str">
        <f ca="1">IF($B$93&gt;=1,$H$93,$H$88)</f>
        <v>4/2023</v>
      </c>
      <c r="I95" t="str">
        <f ca="1">IF($B$93&gt;=1,$I$93,$I$88)</f>
        <v>3/2023</v>
      </c>
      <c r="J95" t="str">
        <f ca="1">IF($B$93&gt;=1,$J$93,$J$88)</f>
        <v>2/2023</v>
      </c>
      <c r="K95" t="str">
        <f ca="1">IF($B$93&gt;=1,$K$93,$K$88)</f>
        <v>1/2023</v>
      </c>
      <c r="L95" t="str">
        <f ca="1">IF($B$93&gt;=1,$L$93,$L$88)</f>
        <v>12/2022</v>
      </c>
      <c r="M95" t="str">
        <f ca="1">IF($B$93&gt;=1,$M$93,$M$88)</f>
        <v>11/2022</v>
      </c>
      <c r="N95" t="str">
        <f ca="1">IF($B$93&gt;=1,$N$93,$N$88)</f>
        <v>10/2022</v>
      </c>
      <c r="O95" t="str">
        <f ca="1">IF($B$93&gt;=1,$O$93,$O$88)</f>
        <v>9/2022</v>
      </c>
      <c r="P95" t="str">
        <f ca="1">IF($B$93&gt;=1,$P$93,$P$88)</f>
        <v>8/2022</v>
      </c>
      <c r="Q95" t="str">
        <f ca="1">IF($B$93&gt;=1,$Q$93,$Q$88)</f>
        <v>7/2022</v>
      </c>
      <c r="R95" t="str">
        <f ca="1">IF($B$93&gt;=1,$R$93,$R$88)</f>
        <v>6/2022</v>
      </c>
      <c r="S95" t="str">
        <f ca="1">IF($B$93&gt;=1,$S$93,$S$88)</f>
        <v>5/2022</v>
      </c>
      <c r="T95" t="str">
        <f ca="1">IF($B$93&gt;=1,$T$93,$T$88)</f>
        <v>4/2022</v>
      </c>
      <c r="U95" t="str">
        <f ca="1">IF($B$93&gt;=1,$U$93,$U$88)</f>
        <v>3/2022</v>
      </c>
      <c r="V95" t="str">
        <f ca="1">IF($B$93&gt;=1,$V$93,$V$88)</f>
        <v>2/2022</v>
      </c>
      <c r="W95" t="str">
        <f ca="1">IF($B$93&gt;=1,$W$93,$W$88)</f>
        <v>1/2022</v>
      </c>
      <c r="X95" t="str">
        <f ca="1">IF($B$93&gt;=1,$X$93,$X$88)</f>
        <v>12/2021</v>
      </c>
      <c r="Y95" t="str">
        <f ca="1">IF($B$93&gt;=1,$Y$93,$Y$88)</f>
        <v>11/2021</v>
      </c>
      <c r="Z95" t="str">
        <f ca="1">IF($B$93&gt;=1,$Z$93,$Z$88)</f>
        <v>10/2021</v>
      </c>
      <c r="AA95" t="str">
        <f ca="1">IF($B$93&gt;=1,$AA$93,$AA$88)</f>
        <v>9/2021</v>
      </c>
      <c r="AB95" t="str">
        <f ca="1">IF($B$93&gt;=1,$AB$93,$AB$88)</f>
        <v>8/2021</v>
      </c>
      <c r="AC95" t="str">
        <f ca="1">IF($B$93&gt;=1,$AC$93,$AC$88)</f>
        <v>7/2021</v>
      </c>
      <c r="AD95" t="str">
        <f ca="1">IF($B$93&gt;=1,$AD$93,$AD$88)</f>
        <v>6/2021</v>
      </c>
      <c r="AE95" t="str">
        <f ca="1">IF($B$93&gt;=1,$AE$93,$AE$88)</f>
        <v>5/2021</v>
      </c>
      <c r="AF95" t="str">
        <f ca="1">IF($B$93&gt;=1,$AF$93,$AF$88)</f>
        <v>4/2021</v>
      </c>
      <c r="AG95" t="str">
        <f ca="1">IF($B$93&gt;=1,$AG$93,$AG$88)</f>
        <v>3/2021</v>
      </c>
      <c r="AH95" t="str">
        <f ca="1">IF($B$93&gt;=1,$AH$93,$AH$88)</f>
        <v>2/2021</v>
      </c>
      <c r="AI95" t="str">
        <f ca="1">IF($B$93&gt;=1,$AI$93,$AI$88)</f>
        <v>1/2021</v>
      </c>
      <c r="AJ95" t="str">
        <f ca="1">IF($B$93&gt;=1,$AJ$93,$AJ$88)</f>
        <v>12/2020</v>
      </c>
      <c r="AK95" t="str">
        <f ca="1">IF($B$93&gt;=1,$AK$93,$AK$88)</f>
        <v>11/2020</v>
      </c>
      <c r="AL95" t="str">
        <f ca="1">IF($B$93&gt;=1,$AL$93,$AL$88)</f>
        <v>10/2020</v>
      </c>
      <c r="AM95" t="str">
        <f ca="1">IF($B$93&gt;=1,$AM$93,$AM$88)</f>
        <v>9/2020</v>
      </c>
      <c r="AN95" t="str">
        <f ca="1">IF($B$93&gt;=1,$AN$93,$AN$88)</f>
        <v>8/2020</v>
      </c>
      <c r="AO95" t="str">
        <f ca="1">IF($B$93&gt;=1,$AO$93,$AO$88)</f>
        <v>7/2020</v>
      </c>
      <c r="AP95" t="str">
        <f ca="1">IF($B$93&gt;=1,$AP$93,$AP$88)</f>
        <v>6/2020</v>
      </c>
      <c r="AQ95" t="str">
        <f ca="1">IF($B$93&gt;=1,$AQ$93,$AQ$88)</f>
        <v>5/2020</v>
      </c>
      <c r="AR95" t="str">
        <f ca="1">IF($B$93&gt;=1,$AR$93,$AR$88)</f>
        <v>4/2020</v>
      </c>
      <c r="AS95" t="str">
        <f ca="1">IF($B$93&gt;=1,$AS$93,$AS$88)</f>
        <v>3/2020</v>
      </c>
      <c r="AT95" t="str">
        <f ca="1">IF($B$93&gt;=1,$AT$93,$AT$88)</f>
        <v>2/2020</v>
      </c>
      <c r="AU95" t="str">
        <f ca="1">IF($B$93&gt;=1,$AU$93,$AU$88)</f>
        <v>1/2020</v>
      </c>
      <c r="AV95" t="str">
        <f ca="1">IF($B$93&gt;=1,$AV$93,$AV$88)</f>
        <v>12/2019</v>
      </c>
      <c r="AW95" t="str">
        <f ca="1">IF($B$93&gt;=1,$AW$93,$AW$88)</f>
        <v>11/2019</v>
      </c>
      <c r="AX95" t="str">
        <f ca="1">IF($B$93&gt;=1,$AX$93,$AX$88)</f>
        <v>10/2019</v>
      </c>
      <c r="AY95" t="str">
        <f ca="1">IF($B$93&gt;=1,$AY$93,$AY$88)</f>
        <v>9/2019</v>
      </c>
      <c r="AZ95" t="str">
        <f ca="1">IF($B$93&gt;=1,$AZ$93,$AZ$88)</f>
        <v>8/2019</v>
      </c>
      <c r="BA95" t="str">
        <f ca="1">IF($B$93&gt;=1,$BA$93,$BA$88)</f>
        <v>7/2019</v>
      </c>
      <c r="BB95" t="str">
        <f ca="1">IF($B$93&gt;=1,$BB$93,$BB$88)</f>
        <v>6/2019</v>
      </c>
      <c r="BC95" t="str">
        <f ca="1">IF($B$93&gt;=1,$BC$93,$BC$88)</f>
        <v>5/2019</v>
      </c>
      <c r="BD95" t="str">
        <f ca="1">IF($B$93&gt;=1,$BD$93,$BD$88)</f>
        <v>4/2019</v>
      </c>
      <c r="BE95" t="str">
        <f ca="1">IF($B$93&gt;=1,$BE$93,$BE$88)</f>
        <v>3/2019</v>
      </c>
      <c r="BF95" t="str">
        <f ca="1">IF($B$93&gt;=1,$BF$93,$BF$88)</f>
        <v>2/2019</v>
      </c>
      <c r="BG95" t="str">
        <f ca="1">IF($B$93&gt;=1,$BG$93,$BG$88)</f>
        <v>1/2019</v>
      </c>
      <c r="BH95" t="str">
        <f ca="1">IF($B$93&gt;=1,$BH$93,$BH$88)</f>
        <v>12/2018</v>
      </c>
      <c r="BI95" t="str">
        <f ca="1">IF($B$93&gt;=1,$BI$93,$BI$88)</f>
        <v>11/2018</v>
      </c>
      <c r="BJ95" t="str">
        <f ca="1">IF($B$93&gt;=1,$BJ$93,$BJ$88)</f>
        <v>10/2018</v>
      </c>
      <c r="BK95" t="str">
        <f ca="1">IF($B$93&gt;=1,$BK$93,$BK$88)</f>
        <v>9/2018</v>
      </c>
      <c r="BL95" t="str">
        <f ca="1">IF($B$93&gt;=1,$BL$93,$BL$88)</f>
        <v>8/2018</v>
      </c>
      <c r="BM95" t="str">
        <f ca="1">IF($B$93&gt;=1,$BM$93,$BM$88)</f>
        <v>7/2018</v>
      </c>
      <c r="BN95" t="str">
        <f ca="1">IF($B$93&gt;=1,$BN$93,$BN$88)</f>
        <v>6/2018</v>
      </c>
      <c r="BO95" t="str">
        <f ca="1">IF($B$93&gt;=1,$BO$93,$BO$88)</f>
        <v>5/2018</v>
      </c>
      <c r="BP95" t="str">
        <f ca="1">IF($B$93&gt;=1,$BP$93,$BP$88)</f>
        <v>4/2018</v>
      </c>
      <c r="BQ95" t="str">
        <f ca="1">IF($B$93&gt;=1,$BQ$93,$BQ$88)</f>
        <v>3/2018</v>
      </c>
      <c r="BR95" t="str">
        <f ca="1">IF($B$93&gt;=1,$BR$93,$BR$88)</f>
        <v>2/2018</v>
      </c>
      <c r="BS95" t="str">
        <f ca="1">IF($B$93&gt;=1,$BS$93,$BS$88)</f>
        <v>1/2018</v>
      </c>
      <c r="BT95" t="str">
        <f ca="1">IF($B$93&gt;=1,$BT$93,$BT$88)</f>
        <v>12/2017</v>
      </c>
      <c r="BU95" t="str">
        <f ca="1">IF($B$93&gt;=1,$BU$93,$BU$88)</f>
        <v>11/2017</v>
      </c>
      <c r="BV95" t="str">
        <f ca="1">IF($B$93&gt;=1,$BV$93,$BV$88)</f>
        <v>10/2017</v>
      </c>
      <c r="BW95" t="str">
        <f ca="1">IF($B$93&gt;=1,$BW$93,$BW$88)</f>
        <v>9/2017</v>
      </c>
      <c r="BX95" t="str">
        <f ca="1">IF($B$93&gt;=1,$BX$93,$BX$88)</f>
        <v>8/2017</v>
      </c>
      <c r="BY95" t="str">
        <f ca="1">IF($B$93&gt;=1,$BY$93,$BY$88)</f>
        <v>7/2017</v>
      </c>
      <c r="BZ95" t="str">
        <f ca="1">IF($B$93&gt;=1,$BZ$93,$BZ$88)</f>
        <v>6/2017</v>
      </c>
      <c r="CA95" t="str">
        <f ca="1">IF($B$93&gt;=1,$CA$93,$CA$88)</f>
        <v>5/2017</v>
      </c>
      <c r="CB95" t="str">
        <f ca="1">IF($B$93&gt;=1,$CB$93,$CB$88)</f>
        <v>4/2017</v>
      </c>
      <c r="CC95" t="str">
        <f ca="1">IF($B$93&gt;=1,$CC$93,$CC$88)</f>
        <v>3/2017</v>
      </c>
      <c r="CD95" t="str">
        <f ca="1">IF($B$93&gt;=1,$CD$93,$CD$88)</f>
        <v>2/2017</v>
      </c>
      <c r="CE95" t="str">
        <f ca="1">IF($B$93&gt;=1,$CE$93,$CE$88)</f>
        <v>1/2017</v>
      </c>
      <c r="CF95" t="str">
        <f ca="1">IF($B$93&gt;=1,$CF$93,$CF$88)</f>
        <v>12/2016</v>
      </c>
      <c r="CG95" t="str">
        <f ca="1">IF($B$93&gt;=1,$CG$93,$CG$88)</f>
        <v>11/2016</v>
      </c>
      <c r="CH95" t="str">
        <f ca="1">IF($B$93&gt;=1,$CH$93,$CH$88)</f>
        <v>10/2016</v>
      </c>
      <c r="CL95" t="str">
        <f>""</f>
        <v/>
      </c>
      <c r="CM95" t="str">
        <f>""</f>
        <v/>
      </c>
      <c r="CN95" t="str">
        <f>""</f>
        <v/>
      </c>
      <c r="CO95" t="str">
        <f>""</f>
        <v/>
      </c>
      <c r="CP95" t="str">
        <f>""</f>
        <v/>
      </c>
      <c r="CQ95" t="str">
        <f>""</f>
        <v/>
      </c>
      <c r="CR95" t="str">
        <f>""</f>
        <v/>
      </c>
      <c r="CS95" t="str">
        <f>""</f>
        <v/>
      </c>
      <c r="CT95" t="str">
        <f>""</f>
        <v/>
      </c>
      <c r="CU95" t="str">
        <f>""</f>
        <v/>
      </c>
      <c r="CV95" t="str">
        <f>""</f>
        <v/>
      </c>
      <c r="CW95" t="str">
        <f>""</f>
        <v/>
      </c>
      <c r="CX95" t="str">
        <f>""</f>
        <v/>
      </c>
      <c r="CY95" t="str">
        <f>""</f>
        <v/>
      </c>
      <c r="CZ95" t="str">
        <f>""</f>
        <v/>
      </c>
      <c r="DA95" t="str">
        <f>""</f>
        <v/>
      </c>
      <c r="DB95" t="str">
        <f>""</f>
        <v/>
      </c>
      <c r="DC95" t="str">
        <f>""</f>
        <v/>
      </c>
      <c r="DD95" t="str">
        <f>""</f>
        <v/>
      </c>
      <c r="DE95" t="str">
        <f>""</f>
        <v/>
      </c>
      <c r="DF95" t="str">
        <f>""</f>
        <v/>
      </c>
      <c r="DG95" t="str">
        <f>""</f>
        <v/>
      </c>
      <c r="DH95" t="str">
        <f>""</f>
        <v/>
      </c>
      <c r="DI95" t="str">
        <f>""</f>
        <v/>
      </c>
      <c r="DJ95" t="str">
        <f>""</f>
        <v/>
      </c>
      <c r="DK95" t="str">
        <f>""</f>
        <v/>
      </c>
      <c r="DL95" t="str">
        <f>""</f>
        <v/>
      </c>
      <c r="DM95" t="str">
        <f>""</f>
        <v/>
      </c>
      <c r="DN95" t="str">
        <f>""</f>
        <v/>
      </c>
      <c r="DO95" t="str">
        <f>""</f>
        <v/>
      </c>
      <c r="DP95" t="str">
        <f>""</f>
        <v/>
      </c>
      <c r="DQ95" t="str">
        <f>""</f>
        <v/>
      </c>
      <c r="DR95" t="str">
        <f>""</f>
        <v/>
      </c>
      <c r="DS95" t="str">
        <f>""</f>
        <v/>
      </c>
      <c r="DT95" t="str">
        <f>""</f>
        <v/>
      </c>
      <c r="DU95" t="str">
        <f>""</f>
        <v/>
      </c>
      <c r="DV95" t="str">
        <f>""</f>
        <v/>
      </c>
      <c r="DW95" t="str">
        <f>""</f>
        <v/>
      </c>
      <c r="DX95" t="str">
        <f>""</f>
        <v/>
      </c>
      <c r="DY95" t="str">
        <f>""</f>
        <v/>
      </c>
      <c r="DZ95" t="str">
        <f>""</f>
        <v/>
      </c>
      <c r="EA95" t="str">
        <f>""</f>
        <v/>
      </c>
      <c r="EB95" t="str">
        <f>""</f>
        <v/>
      </c>
      <c r="EC95" t="str">
        <f>""</f>
        <v/>
      </c>
      <c r="ED95" t="str">
        <f>""</f>
        <v/>
      </c>
      <c r="EE95" t="str">
        <f>""</f>
        <v/>
      </c>
      <c r="EF95" t="str">
        <f>""</f>
        <v/>
      </c>
      <c r="EG95" t="str">
        <f>""</f>
        <v/>
      </c>
      <c r="EH95" t="str">
        <f>""</f>
        <v/>
      </c>
      <c r="EI95" t="str">
        <f>""</f>
        <v/>
      </c>
      <c r="EJ95" t="str">
        <f>""</f>
        <v/>
      </c>
      <c r="EK95" t="str">
        <f>""</f>
        <v/>
      </c>
      <c r="EL95" t="str">
        <f>""</f>
        <v/>
      </c>
      <c r="EM95" t="str">
        <f>""</f>
        <v/>
      </c>
      <c r="EN95" t="str">
        <f>""</f>
        <v/>
      </c>
      <c r="EO95" t="str">
        <f>""</f>
        <v/>
      </c>
      <c r="EP95" t="str">
        <f>""</f>
        <v/>
      </c>
      <c r="EQ95" t="str">
        <f>""</f>
        <v/>
      </c>
      <c r="ER95" t="str">
        <f>""</f>
        <v/>
      </c>
      <c r="ES95" t="str">
        <f>""</f>
        <v/>
      </c>
      <c r="ET95" t="str">
        <f>""</f>
        <v/>
      </c>
      <c r="EU95" t="str">
        <f>""</f>
        <v/>
      </c>
      <c r="EV95" t="str">
        <f>""</f>
        <v/>
      </c>
      <c r="EW95" t="str">
        <f>""</f>
        <v/>
      </c>
      <c r="EX95" t="str">
        <f>""</f>
        <v/>
      </c>
      <c r="EY95" t="str">
        <f>""</f>
        <v/>
      </c>
      <c r="EZ95" t="str">
        <f>""</f>
        <v/>
      </c>
      <c r="FA95" t="str">
        <f>""</f>
        <v/>
      </c>
      <c r="FB95" t="str">
        <f>""</f>
        <v/>
      </c>
      <c r="FC95" t="str">
        <f>""</f>
        <v/>
      </c>
      <c r="FD95" t="str">
        <f>""</f>
        <v/>
      </c>
      <c r="FE95" t="str">
        <f>""</f>
        <v/>
      </c>
      <c r="FF95" t="str">
        <f>""</f>
        <v/>
      </c>
      <c r="FG95" t="str">
        <f>""</f>
        <v/>
      </c>
      <c r="FH95" t="str">
        <f>""</f>
        <v/>
      </c>
      <c r="FI95" t="str">
        <f>""</f>
        <v/>
      </c>
      <c r="FJ95" t="str">
        <f>""</f>
        <v/>
      </c>
      <c r="FK95" t="str">
        <f>""</f>
        <v/>
      </c>
      <c r="FL95" t="str">
        <f>""</f>
        <v/>
      </c>
      <c r="FM95" t="str">
        <f>""</f>
        <v/>
      </c>
      <c r="FN95" t="str">
        <f>""</f>
        <v/>
      </c>
      <c r="FO95" t="str">
        <f>""</f>
        <v/>
      </c>
      <c r="FP95" t="str">
        <f>""</f>
        <v/>
      </c>
      <c r="FQ95" t="str">
        <f>""</f>
        <v/>
      </c>
    </row>
    <row r="96" spans="1:173" x14ac:dyDescent="0.25">
      <c r="A96" t="str">
        <f>"BDH dynamic title"</f>
        <v>BDH dynamic title</v>
      </c>
      <c r="B96">
        <f ca="1">$B$95</f>
        <v>2</v>
      </c>
      <c r="C96" t="str">
        <f ca="1">$C$95</f>
        <v>9/2023</v>
      </c>
      <c r="D96" t="str">
        <f ca="1">$D$95</f>
        <v>8/2023</v>
      </c>
      <c r="E96" t="str">
        <f ca="1">$E$95</f>
        <v>7/2023</v>
      </c>
      <c r="F96" t="str">
        <f ca="1">$F$95</f>
        <v>6/2023</v>
      </c>
      <c r="G96" t="str">
        <f ca="1">$G$95</f>
        <v>5/2023</v>
      </c>
      <c r="H96" t="str">
        <f ca="1">$H$95</f>
        <v>4/2023</v>
      </c>
      <c r="I96" t="str">
        <f ca="1">$I$95</f>
        <v>3/2023</v>
      </c>
      <c r="J96" t="str">
        <f ca="1">$J$95</f>
        <v>2/2023</v>
      </c>
      <c r="K96" t="str">
        <f ca="1">$K$95</f>
        <v>1/2023</v>
      </c>
      <c r="L96" t="str">
        <f ca="1">$L$95</f>
        <v>12/2022</v>
      </c>
      <c r="M96" t="str">
        <f ca="1">$M$95</f>
        <v>11/2022</v>
      </c>
      <c r="N96" t="str">
        <f ca="1">$N$95</f>
        <v>10/2022</v>
      </c>
      <c r="O96" t="str">
        <f ca="1">$O$95</f>
        <v>9/2022</v>
      </c>
      <c r="P96" t="str">
        <f ca="1">$P$95</f>
        <v>8/2022</v>
      </c>
      <c r="Q96" t="str">
        <f ca="1">$Q$95</f>
        <v>7/2022</v>
      </c>
      <c r="R96" t="str">
        <f ca="1">$R$95</f>
        <v>6/2022</v>
      </c>
      <c r="S96" t="str">
        <f ca="1">$S$95</f>
        <v>5/2022</v>
      </c>
      <c r="T96" t="str">
        <f ca="1">$T$95</f>
        <v>4/2022</v>
      </c>
      <c r="U96" t="str">
        <f ca="1">$U$95</f>
        <v>3/2022</v>
      </c>
      <c r="V96" t="str">
        <f ca="1">$V$95</f>
        <v>2/2022</v>
      </c>
      <c r="W96" t="str">
        <f ca="1">$W$95</f>
        <v>1/2022</v>
      </c>
      <c r="X96" t="str">
        <f ca="1">$X$95</f>
        <v>12/2021</v>
      </c>
      <c r="Y96" t="str">
        <f ca="1">$Y$95</f>
        <v>11/2021</v>
      </c>
      <c r="Z96" t="str">
        <f ca="1">$Z$95</f>
        <v>10/2021</v>
      </c>
      <c r="AA96" t="str">
        <f ca="1">$AA$95</f>
        <v>9/2021</v>
      </c>
      <c r="AB96" t="str">
        <f ca="1">$AB$95</f>
        <v>8/2021</v>
      </c>
      <c r="AC96" t="str">
        <f ca="1">$AC$95</f>
        <v>7/2021</v>
      </c>
      <c r="AD96" t="str">
        <f ca="1">$AD$95</f>
        <v>6/2021</v>
      </c>
      <c r="AE96" t="str">
        <f ca="1">$AE$95</f>
        <v>5/2021</v>
      </c>
      <c r="AF96" t="str">
        <f ca="1">$AF$95</f>
        <v>4/2021</v>
      </c>
      <c r="AG96" t="str">
        <f ca="1">$AG$95</f>
        <v>3/2021</v>
      </c>
      <c r="AH96" t="str">
        <f ca="1">$AH$95</f>
        <v>2/2021</v>
      </c>
      <c r="AI96" t="str">
        <f ca="1">$AI$95</f>
        <v>1/2021</v>
      </c>
      <c r="AJ96" t="str">
        <f ca="1">$AJ$95</f>
        <v>12/2020</v>
      </c>
      <c r="AK96" t="str">
        <f ca="1">$AK$95</f>
        <v>11/2020</v>
      </c>
      <c r="AL96" t="str">
        <f ca="1">$AL$95</f>
        <v>10/2020</v>
      </c>
      <c r="AM96" t="str">
        <f ca="1">$AM$95</f>
        <v>9/2020</v>
      </c>
      <c r="AN96" t="str">
        <f ca="1">$AN$95</f>
        <v>8/2020</v>
      </c>
      <c r="AO96" t="str">
        <f ca="1">$AO$95</f>
        <v>7/2020</v>
      </c>
      <c r="AP96" t="str">
        <f ca="1">$AP$95</f>
        <v>6/2020</v>
      </c>
      <c r="AQ96" t="str">
        <f ca="1">$AQ$95</f>
        <v>5/2020</v>
      </c>
      <c r="AR96" t="str">
        <f ca="1">$AR$95</f>
        <v>4/2020</v>
      </c>
      <c r="AS96" t="str">
        <f ca="1">$AS$95</f>
        <v>3/2020</v>
      </c>
      <c r="AT96" t="str">
        <f ca="1">$AT$95</f>
        <v>2/2020</v>
      </c>
      <c r="AU96" t="str">
        <f ca="1">$AU$95</f>
        <v>1/2020</v>
      </c>
      <c r="AV96" t="str">
        <f ca="1">$AV$95</f>
        <v>12/2019</v>
      </c>
      <c r="AW96" t="str">
        <f ca="1">$AW$95</f>
        <v>11/2019</v>
      </c>
      <c r="AX96" t="str">
        <f ca="1">$AX$95</f>
        <v>10/2019</v>
      </c>
      <c r="AY96" t="str">
        <f ca="1">$AY$95</f>
        <v>9/2019</v>
      </c>
      <c r="AZ96" t="str">
        <f ca="1">$AZ$95</f>
        <v>8/2019</v>
      </c>
      <c r="BA96" t="str">
        <f ca="1">$BA$95</f>
        <v>7/2019</v>
      </c>
      <c r="BB96" t="str">
        <f ca="1">$BB$95</f>
        <v>6/2019</v>
      </c>
      <c r="BC96" t="str">
        <f ca="1">$BC$95</f>
        <v>5/2019</v>
      </c>
      <c r="BD96" t="str">
        <f ca="1">$BD$95</f>
        <v>4/2019</v>
      </c>
      <c r="BE96" t="str">
        <f ca="1">$BE$95</f>
        <v>3/2019</v>
      </c>
      <c r="BF96" t="str">
        <f ca="1">$BF$95</f>
        <v>2/2019</v>
      </c>
      <c r="BG96" t="str">
        <f ca="1">$BG$95</f>
        <v>1/2019</v>
      </c>
      <c r="BH96" t="str">
        <f ca="1">$BH$95</f>
        <v>12/2018</v>
      </c>
      <c r="BI96" t="str">
        <f ca="1">$BI$95</f>
        <v>11/2018</v>
      </c>
      <c r="BJ96" t="str">
        <f ca="1">$BJ$95</f>
        <v>10/2018</v>
      </c>
      <c r="BK96" t="str">
        <f ca="1">$BK$95</f>
        <v>9/2018</v>
      </c>
      <c r="BL96" t="str">
        <f ca="1">$BL$95</f>
        <v>8/2018</v>
      </c>
      <c r="BM96" t="str">
        <f ca="1">$BM$95</f>
        <v>7/2018</v>
      </c>
      <c r="BN96" t="str">
        <f ca="1">$BN$95</f>
        <v>6/2018</v>
      </c>
      <c r="BO96" t="str">
        <f ca="1">$BO$95</f>
        <v>5/2018</v>
      </c>
      <c r="BP96" t="str">
        <f ca="1">$BP$95</f>
        <v>4/2018</v>
      </c>
      <c r="BQ96" t="str">
        <f ca="1">$BQ$95</f>
        <v>3/2018</v>
      </c>
      <c r="BR96" t="str">
        <f ca="1">$BR$95</f>
        <v>2/2018</v>
      </c>
      <c r="BS96" t="str">
        <f ca="1">$BS$95</f>
        <v>1/2018</v>
      </c>
      <c r="BT96" t="str">
        <f ca="1">$BT$95</f>
        <v>12/2017</v>
      </c>
      <c r="BU96" t="str">
        <f ca="1">$BU$95</f>
        <v>11/2017</v>
      </c>
      <c r="BV96" t="str">
        <f ca="1">$BV$95</f>
        <v>10/2017</v>
      </c>
      <c r="BW96" t="str">
        <f ca="1">$BW$95</f>
        <v>9/2017</v>
      </c>
      <c r="BX96" t="str">
        <f ca="1">$BX$95</f>
        <v>8/2017</v>
      </c>
      <c r="BY96" t="str">
        <f ca="1">$BY$95</f>
        <v>7/2017</v>
      </c>
      <c r="BZ96" t="str">
        <f ca="1">$BZ$95</f>
        <v>6/2017</v>
      </c>
      <c r="CA96" t="str">
        <f ca="1">$CA$95</f>
        <v>5/2017</v>
      </c>
      <c r="CB96" t="str">
        <f ca="1">$CB$95</f>
        <v>4/2017</v>
      </c>
      <c r="CC96" t="str">
        <f ca="1">$CC$95</f>
        <v>3/2017</v>
      </c>
      <c r="CD96" t="str">
        <f ca="1">$CD$95</f>
        <v>2/2017</v>
      </c>
      <c r="CE96" t="str">
        <f ca="1">$CE$95</f>
        <v>1/2017</v>
      </c>
      <c r="CF96" t="str">
        <f ca="1">$CF$95</f>
        <v>12/2016</v>
      </c>
      <c r="CG96" t="str">
        <f ca="1">$CG$95</f>
        <v>11/2016</v>
      </c>
      <c r="CH96" t="str">
        <f ca="1">$CH$95</f>
        <v>10/2016</v>
      </c>
      <c r="CL96" t="str">
        <f>""</f>
        <v/>
      </c>
      <c r="CM96" t="str">
        <f>""</f>
        <v/>
      </c>
      <c r="CN96" t="str">
        <f>""</f>
        <v/>
      </c>
      <c r="CO96" t="str">
        <f>""</f>
        <v/>
      </c>
      <c r="CP96" t="str">
        <f>""</f>
        <v/>
      </c>
      <c r="CQ96" t="str">
        <f>""</f>
        <v/>
      </c>
      <c r="CR96" t="str">
        <f>""</f>
        <v/>
      </c>
      <c r="CS96" t="str">
        <f>""</f>
        <v/>
      </c>
      <c r="CT96" t="str">
        <f>""</f>
        <v/>
      </c>
      <c r="CU96" t="str">
        <f>""</f>
        <v/>
      </c>
      <c r="CV96" t="str">
        <f>""</f>
        <v/>
      </c>
      <c r="CW96" t="str">
        <f>""</f>
        <v/>
      </c>
      <c r="CX96" t="str">
        <f>""</f>
        <v/>
      </c>
      <c r="CY96" t="str">
        <f>""</f>
        <v/>
      </c>
      <c r="CZ96" t="str">
        <f>""</f>
        <v/>
      </c>
      <c r="DA96" t="str">
        <f>""</f>
        <v/>
      </c>
      <c r="DB96" t="str">
        <f>""</f>
        <v/>
      </c>
      <c r="DC96" t="str">
        <f>""</f>
        <v/>
      </c>
      <c r="DD96" t="str">
        <f>""</f>
        <v/>
      </c>
      <c r="DE96" t="str">
        <f>""</f>
        <v/>
      </c>
      <c r="DF96" t="str">
        <f>""</f>
        <v/>
      </c>
      <c r="DG96" t="str">
        <f>""</f>
        <v/>
      </c>
      <c r="DH96" t="str">
        <f>""</f>
        <v/>
      </c>
      <c r="DI96" t="str">
        <f>""</f>
        <v/>
      </c>
      <c r="DJ96" t="str">
        <f>""</f>
        <v/>
      </c>
      <c r="DK96" t="str">
        <f>""</f>
        <v/>
      </c>
      <c r="DL96" t="str">
        <f>""</f>
        <v/>
      </c>
      <c r="DM96" t="str">
        <f>""</f>
        <v/>
      </c>
      <c r="DN96" t="str">
        <f>""</f>
        <v/>
      </c>
      <c r="DO96" t="str">
        <f>""</f>
        <v/>
      </c>
      <c r="DP96" t="str">
        <f>""</f>
        <v/>
      </c>
      <c r="DQ96" t="str">
        <f>""</f>
        <v/>
      </c>
      <c r="DR96" t="str">
        <f>""</f>
        <v/>
      </c>
      <c r="DS96" t="str">
        <f>""</f>
        <v/>
      </c>
      <c r="DT96" t="str">
        <f>""</f>
        <v/>
      </c>
      <c r="DU96" t="str">
        <f>""</f>
        <v/>
      </c>
      <c r="DV96" t="str">
        <f>""</f>
        <v/>
      </c>
      <c r="DW96" t="str">
        <f>""</f>
        <v/>
      </c>
      <c r="DX96" t="str">
        <f>""</f>
        <v/>
      </c>
      <c r="DY96" t="str">
        <f>""</f>
        <v/>
      </c>
      <c r="DZ96" t="str">
        <f>""</f>
        <v/>
      </c>
      <c r="EA96" t="str">
        <f>""</f>
        <v/>
      </c>
      <c r="EB96" t="str">
        <f>""</f>
        <v/>
      </c>
      <c r="EC96" t="str">
        <f>""</f>
        <v/>
      </c>
      <c r="ED96" t="str">
        <f>""</f>
        <v/>
      </c>
      <c r="EE96" t="str">
        <f>""</f>
        <v/>
      </c>
      <c r="EF96" t="str">
        <f>""</f>
        <v/>
      </c>
      <c r="EG96" t="str">
        <f>""</f>
        <v/>
      </c>
      <c r="EH96" t="str">
        <f>""</f>
        <v/>
      </c>
      <c r="EI96" t="str">
        <f>""</f>
        <v/>
      </c>
      <c r="EJ96" t="str">
        <f>""</f>
        <v/>
      </c>
      <c r="EK96" t="str">
        <f>""</f>
        <v/>
      </c>
      <c r="EL96" t="str">
        <f>""</f>
        <v/>
      </c>
      <c r="EM96" t="str">
        <f>""</f>
        <v/>
      </c>
      <c r="EN96" t="str">
        <f>""</f>
        <v/>
      </c>
      <c r="EO96" t="str">
        <f>""</f>
        <v/>
      </c>
      <c r="EP96" t="str">
        <f>""</f>
        <v/>
      </c>
      <c r="EQ96" t="str">
        <f>""</f>
        <v/>
      </c>
      <c r="ER96" t="str">
        <f>""</f>
        <v/>
      </c>
      <c r="ES96" t="str">
        <f>""</f>
        <v/>
      </c>
      <c r="ET96" t="str">
        <f>""</f>
        <v/>
      </c>
      <c r="EU96" t="str">
        <f>""</f>
        <v/>
      </c>
      <c r="EV96" t="str">
        <f>""</f>
        <v/>
      </c>
      <c r="EW96" t="str">
        <f>""</f>
        <v/>
      </c>
      <c r="EX96" t="str">
        <f>""</f>
        <v/>
      </c>
      <c r="EY96" t="str">
        <f>""</f>
        <v/>
      </c>
      <c r="EZ96" t="str">
        <f>""</f>
        <v/>
      </c>
      <c r="FA96" t="str">
        <f>""</f>
        <v/>
      </c>
      <c r="FB96" t="str">
        <f>""</f>
        <v/>
      </c>
      <c r="FC96" t="str">
        <f>""</f>
        <v/>
      </c>
      <c r="FD96" t="str">
        <f>""</f>
        <v/>
      </c>
      <c r="FE96" t="str">
        <f>""</f>
        <v/>
      </c>
      <c r="FF96" t="str">
        <f>""</f>
        <v/>
      </c>
      <c r="FG96" t="str">
        <f>""</f>
        <v/>
      </c>
      <c r="FH96" t="str">
        <f>""</f>
        <v/>
      </c>
      <c r="FI96" t="str">
        <f>""</f>
        <v/>
      </c>
      <c r="FJ96" t="str">
        <f>""</f>
        <v/>
      </c>
      <c r="FK96" t="str">
        <f>""</f>
        <v/>
      </c>
      <c r="FL96" t="str">
        <f>""</f>
        <v/>
      </c>
      <c r="FM96" t="str">
        <f>""</f>
        <v/>
      </c>
      <c r="FN96" t="str">
        <f>""</f>
        <v/>
      </c>
      <c r="FO96" t="str">
        <f>""</f>
        <v/>
      </c>
      <c r="FP96" t="str">
        <f>""</f>
        <v/>
      </c>
      <c r="FQ96" t="str">
        <f>""</f>
        <v/>
      </c>
    </row>
    <row r="97" spans="1:173" x14ac:dyDescent="0.25">
      <c r="A97" t="str">
        <f>"No error found"</f>
        <v>No error found</v>
      </c>
      <c r="B97" t="str">
        <f>""</f>
        <v/>
      </c>
      <c r="C97" t="str">
        <f>""</f>
        <v/>
      </c>
      <c r="D97" t="str">
        <f>""</f>
        <v/>
      </c>
      <c r="E97" t="str">
        <f>""</f>
        <v/>
      </c>
      <c r="CL97" t="str">
        <f>""</f>
        <v/>
      </c>
      <c r="CM97" t="str">
        <f>""</f>
        <v/>
      </c>
      <c r="CN97" t="str">
        <f>""</f>
        <v/>
      </c>
      <c r="CO97" t="str">
        <f>""</f>
        <v/>
      </c>
      <c r="CP97" t="str">
        <f>""</f>
        <v/>
      </c>
      <c r="CQ97" t="str">
        <f>""</f>
        <v/>
      </c>
      <c r="CR97" t="str">
        <f>""</f>
        <v/>
      </c>
      <c r="CS97" t="str">
        <f>""</f>
        <v/>
      </c>
      <c r="CT97" t="str">
        <f>""</f>
        <v/>
      </c>
      <c r="CU97" t="str">
        <f>""</f>
        <v/>
      </c>
      <c r="CV97" t="str">
        <f>""</f>
        <v/>
      </c>
      <c r="CW97" t="str">
        <f>""</f>
        <v/>
      </c>
      <c r="CX97" t="str">
        <f>""</f>
        <v/>
      </c>
      <c r="CY97" t="str">
        <f>""</f>
        <v/>
      </c>
      <c r="CZ97" t="str">
        <f>""</f>
        <v/>
      </c>
      <c r="DA97" t="str">
        <f>""</f>
        <v/>
      </c>
      <c r="DB97" t="str">
        <f>""</f>
        <v/>
      </c>
      <c r="DC97" t="str">
        <f>""</f>
        <v/>
      </c>
      <c r="DD97" t="str">
        <f>""</f>
        <v/>
      </c>
      <c r="DE97" t="str">
        <f>""</f>
        <v/>
      </c>
      <c r="DF97" t="str">
        <f>""</f>
        <v/>
      </c>
      <c r="DG97" t="str">
        <f>""</f>
        <v/>
      </c>
      <c r="DH97" t="str">
        <f>""</f>
        <v/>
      </c>
      <c r="DI97" t="str">
        <f>""</f>
        <v/>
      </c>
      <c r="DJ97" t="str">
        <f>""</f>
        <v/>
      </c>
      <c r="DK97" t="str">
        <f>""</f>
        <v/>
      </c>
      <c r="DL97" t="str">
        <f>""</f>
        <v/>
      </c>
      <c r="DM97" t="str">
        <f>""</f>
        <v/>
      </c>
      <c r="DN97" t="str">
        <f>""</f>
        <v/>
      </c>
      <c r="DO97" t="str">
        <f>""</f>
        <v/>
      </c>
      <c r="DP97" t="str">
        <f>""</f>
        <v/>
      </c>
      <c r="DQ97" t="str">
        <f>""</f>
        <v/>
      </c>
      <c r="DR97" t="str">
        <f>""</f>
        <v/>
      </c>
      <c r="DS97" t="str">
        <f>""</f>
        <v/>
      </c>
      <c r="DT97" t="str">
        <f>""</f>
        <v/>
      </c>
      <c r="DU97" t="str">
        <f>""</f>
        <v/>
      </c>
      <c r="DV97" t="str">
        <f>""</f>
        <v/>
      </c>
      <c r="DW97" t="str">
        <f>""</f>
        <v/>
      </c>
      <c r="DX97" t="str">
        <f>""</f>
        <v/>
      </c>
      <c r="DY97" t="str">
        <f>""</f>
        <v/>
      </c>
      <c r="DZ97" t="str">
        <f>""</f>
        <v/>
      </c>
      <c r="EA97" t="str">
        <f>""</f>
        <v/>
      </c>
      <c r="EB97" t="str">
        <f>""</f>
        <v/>
      </c>
      <c r="EC97" t="str">
        <f>""</f>
        <v/>
      </c>
      <c r="ED97" t="str">
        <f>""</f>
        <v/>
      </c>
      <c r="EE97" t="str">
        <f>""</f>
        <v/>
      </c>
      <c r="EF97" t="str">
        <f>""</f>
        <v/>
      </c>
      <c r="EG97" t="str">
        <f>""</f>
        <v/>
      </c>
      <c r="EH97" t="str">
        <f>""</f>
        <v/>
      </c>
      <c r="EI97" t="str">
        <f>""</f>
        <v/>
      </c>
      <c r="EJ97" t="str">
        <f>""</f>
        <v/>
      </c>
      <c r="EK97" t="str">
        <f>""</f>
        <v/>
      </c>
      <c r="EL97" t="str">
        <f>""</f>
        <v/>
      </c>
      <c r="EM97" t="str">
        <f>""</f>
        <v/>
      </c>
      <c r="EN97" t="str">
        <f>""</f>
        <v/>
      </c>
      <c r="EO97" t="str">
        <f>""</f>
        <v/>
      </c>
      <c r="EP97" t="str">
        <f>""</f>
        <v/>
      </c>
      <c r="EQ97" t="str">
        <f>""</f>
        <v/>
      </c>
      <c r="ER97" t="str">
        <f>""</f>
        <v/>
      </c>
      <c r="ES97" t="str">
        <f>""</f>
        <v/>
      </c>
      <c r="ET97" t="str">
        <f>""</f>
        <v/>
      </c>
      <c r="EU97" t="str">
        <f>""</f>
        <v/>
      </c>
      <c r="EV97" t="str">
        <f>""</f>
        <v/>
      </c>
      <c r="EW97" t="str">
        <f>""</f>
        <v/>
      </c>
      <c r="EX97" t="str">
        <f>""</f>
        <v/>
      </c>
      <c r="EY97" t="str">
        <f>""</f>
        <v/>
      </c>
      <c r="EZ97" t="str">
        <f>""</f>
        <v/>
      </c>
      <c r="FA97" t="str">
        <f>""</f>
        <v/>
      </c>
      <c r="FB97" t="str">
        <f>""</f>
        <v/>
      </c>
      <c r="FC97" t="str">
        <f>""</f>
        <v/>
      </c>
      <c r="FD97" t="str">
        <f>""</f>
        <v/>
      </c>
      <c r="FE97" t="str">
        <f>""</f>
        <v/>
      </c>
      <c r="FF97" t="str">
        <f>""</f>
        <v/>
      </c>
      <c r="FG97" t="str">
        <f>""</f>
        <v/>
      </c>
      <c r="FH97" t="str">
        <f>""</f>
        <v/>
      </c>
      <c r="FI97" t="str">
        <f>""</f>
        <v/>
      </c>
      <c r="FJ97" t="str">
        <f>""</f>
        <v/>
      </c>
      <c r="FK97" t="str">
        <f>""</f>
        <v/>
      </c>
      <c r="FL97" t="str">
        <f>""</f>
        <v/>
      </c>
      <c r="FM97" t="str">
        <f>""</f>
        <v/>
      </c>
      <c r="FN97" t="str">
        <f>""</f>
        <v/>
      </c>
      <c r="FO97" t="str">
        <f>""</f>
        <v/>
      </c>
      <c r="FP97" t="str">
        <f>""</f>
        <v/>
      </c>
      <c r="FQ97" t="str">
        <f>""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workbookViewId="0"/>
  </sheetViews>
  <sheetFormatPr defaultRowHeight="15" x14ac:dyDescent="0.25"/>
  <cols>
    <col min="1" max="1" width="9.140625" bestFit="1" customWidth="1"/>
  </cols>
  <sheetData>
    <row r="1" spans="1:1" x14ac:dyDescent="0.25">
      <c r="A1" s="1"/>
    </row>
    <row r="2" spans="1:1" x14ac:dyDescent="0.25">
      <c r="A2" t="s">
        <v>0</v>
      </c>
    </row>
    <row r="3" spans="1:1" x14ac:dyDescent="0.25">
      <c r="A3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1" spans="1:1" x14ac:dyDescent="0.25">
      <c r="A11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10</v>
      </c>
    </row>
    <row r="15" spans="1:1" x14ac:dyDescent="0.25">
      <c r="A15" t="s">
        <v>11</v>
      </c>
    </row>
    <row r="16" spans="1:1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19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22</v>
      </c>
    </row>
    <row r="28" spans="1:1" x14ac:dyDescent="0.25">
      <c r="A28" t="s">
        <v>23</v>
      </c>
    </row>
    <row r="29" spans="1:1" x14ac:dyDescent="0.25">
      <c r="A29" t="s">
        <v>24</v>
      </c>
    </row>
    <row r="30" spans="1:1" x14ac:dyDescent="0.25">
      <c r="A30" t="s">
        <v>25</v>
      </c>
    </row>
    <row r="31" spans="1:1" x14ac:dyDescent="0.25">
      <c r="A31" t="s">
        <v>2</v>
      </c>
    </row>
    <row r="32" spans="1:1" x14ac:dyDescent="0.25">
      <c r="A32" t="s">
        <v>26</v>
      </c>
    </row>
    <row r="33" spans="1:1" x14ac:dyDescent="0.25">
      <c r="A3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BIData</vt:lpstr>
      <vt:lpstr>ReferenceData</vt:lpstr>
      <vt:lpstr>Help-Reference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Fredrik Lindau</cp:lastModifiedBy>
  <dcterms:created xsi:type="dcterms:W3CDTF">2013-04-03T15:49:21Z</dcterms:created>
  <dcterms:modified xsi:type="dcterms:W3CDTF">2023-11-12T14:13:00Z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{9F6576A2-1860-4A73-8E35-76D083C33071}</vt:lpwstr>
  </property>
</Properties>
</file>