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ndau.mam2024\Desktop\"/>
    </mc:Choice>
  </mc:AlternateContent>
  <bookViews>
    <workbookView xWindow="10395" yWindow="-105" windowWidth="14850" windowHeight="12735" activeTab="1"/>
  </bookViews>
  <sheets>
    <sheet name="BIData" sheetId="2" r:id="rId1"/>
    <sheet name="ReferenceData" sheetId="3" r:id="rId2"/>
    <sheet name="Help-Reference" sheetId="4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AE123" i="3" l="1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E123" i="3"/>
  <c r="D123" i="3"/>
  <c r="C123" i="3"/>
  <c r="B123" i="3"/>
  <c r="A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O122" i="3"/>
  <c r="AE2" i="3" s="1"/>
  <c r="N122" i="3"/>
  <c r="M122" i="3"/>
  <c r="L122" i="3"/>
  <c r="K122" i="3"/>
  <c r="AA2" i="3" s="1"/>
  <c r="J122" i="3"/>
  <c r="I122" i="3"/>
  <c r="H122" i="3"/>
  <c r="G122" i="3"/>
  <c r="W2" i="3" s="1"/>
  <c r="F122" i="3"/>
  <c r="E122" i="3"/>
  <c r="D122" i="3"/>
  <c r="C122" i="3"/>
  <c r="S2" i="3" s="1"/>
  <c r="B122" i="3"/>
  <c r="A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B73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E72" i="3"/>
  <c r="D72" i="3"/>
  <c r="C72" i="3"/>
  <c r="A72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E71" i="3"/>
  <c r="D71" i="3"/>
  <c r="C71" i="3"/>
  <c r="A71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A69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B68" i="3"/>
  <c r="O72" i="3" s="1"/>
  <c r="A68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A67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B66" i="3"/>
  <c r="B67" i="3" s="1"/>
  <c r="A66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C65" i="3"/>
  <c r="B65" i="3"/>
  <c r="A65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B64" i="3"/>
  <c r="A64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A62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E53" i="3"/>
  <c r="B53" i="3"/>
  <c r="A53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E52" i="3"/>
  <c r="E121" i="3" s="1"/>
  <c r="D52" i="3"/>
  <c r="D121" i="3" s="1"/>
  <c r="C52" i="3"/>
  <c r="C121" i="3" s="1"/>
  <c r="B52" i="3"/>
  <c r="B121" i="3" s="1"/>
  <c r="A52" i="3"/>
  <c r="A121" i="3" s="1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E51" i="3"/>
  <c r="E120" i="3" s="1"/>
  <c r="D51" i="3"/>
  <c r="D120" i="3" s="1"/>
  <c r="C51" i="3"/>
  <c r="C120" i="3" s="1"/>
  <c r="B51" i="3"/>
  <c r="B120" i="3" s="1"/>
  <c r="A51" i="3"/>
  <c r="A120" i="3" s="1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E50" i="3"/>
  <c r="E119" i="3" s="1"/>
  <c r="D50" i="3"/>
  <c r="D119" i="3" s="1"/>
  <c r="C50" i="3"/>
  <c r="C119" i="3" s="1"/>
  <c r="B50" i="3"/>
  <c r="B119" i="3" s="1"/>
  <c r="A50" i="3"/>
  <c r="A119" i="3" s="1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E49" i="3"/>
  <c r="E118" i="3" s="1"/>
  <c r="D49" i="3"/>
  <c r="D118" i="3" s="1"/>
  <c r="C49" i="3"/>
  <c r="C118" i="3" s="1"/>
  <c r="B49" i="3"/>
  <c r="B118" i="3" s="1"/>
  <c r="A49" i="3"/>
  <c r="A118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E48" i="3"/>
  <c r="E117" i="3" s="1"/>
  <c r="D48" i="3"/>
  <c r="C48" i="3"/>
  <c r="C117" i="3" s="1"/>
  <c r="B48" i="3"/>
  <c r="B117" i="3" s="1"/>
  <c r="A48" i="3"/>
  <c r="A117" i="3" s="1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E47" i="3"/>
  <c r="E116" i="3" s="1"/>
  <c r="D47" i="3"/>
  <c r="D116" i="3" s="1"/>
  <c r="C47" i="3"/>
  <c r="C116" i="3" s="1"/>
  <c r="B47" i="3"/>
  <c r="B116" i="3" s="1"/>
  <c r="A47" i="3"/>
  <c r="A116" i="3" s="1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E46" i="3"/>
  <c r="E115" i="3" s="1"/>
  <c r="D46" i="3"/>
  <c r="D115" i="3" s="1"/>
  <c r="C46" i="3"/>
  <c r="C115" i="3" s="1"/>
  <c r="B46" i="3"/>
  <c r="B115" i="3" s="1"/>
  <c r="A46" i="3"/>
  <c r="A115" i="3" s="1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E45" i="3"/>
  <c r="E114" i="3" s="1"/>
  <c r="D45" i="3"/>
  <c r="D114" i="3" s="1"/>
  <c r="C45" i="3"/>
  <c r="C114" i="3" s="1"/>
  <c r="B45" i="3"/>
  <c r="B114" i="3" s="1"/>
  <c r="A45" i="3"/>
  <c r="A114" i="3" s="1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E44" i="3"/>
  <c r="E113" i="3" s="1"/>
  <c r="D44" i="3"/>
  <c r="D113" i="3" s="1"/>
  <c r="C44" i="3"/>
  <c r="C113" i="3" s="1"/>
  <c r="B44" i="3"/>
  <c r="B113" i="3" s="1"/>
  <c r="A44" i="3"/>
  <c r="A113" i="3" s="1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E43" i="3"/>
  <c r="E112" i="3" s="1"/>
  <c r="D43" i="3"/>
  <c r="D112" i="3" s="1"/>
  <c r="C43" i="3"/>
  <c r="C112" i="3" s="1"/>
  <c r="B43" i="3"/>
  <c r="B112" i="3" s="1"/>
  <c r="A43" i="3"/>
  <c r="A112" i="3" s="1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E42" i="3"/>
  <c r="E111" i="3" s="1"/>
  <c r="D42" i="3"/>
  <c r="D111" i="3" s="1"/>
  <c r="C42" i="3"/>
  <c r="C111" i="3" s="1"/>
  <c r="B42" i="3"/>
  <c r="B111" i="3" s="1"/>
  <c r="A42" i="3"/>
  <c r="A111" i="3" s="1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E41" i="3"/>
  <c r="E110" i="3" s="1"/>
  <c r="D41" i="3"/>
  <c r="D110" i="3" s="1"/>
  <c r="C41" i="3"/>
  <c r="C110" i="3" s="1"/>
  <c r="B41" i="3"/>
  <c r="B110" i="3" s="1"/>
  <c r="A41" i="3"/>
  <c r="A110" i="3" s="1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E40" i="3"/>
  <c r="E109" i="3" s="1"/>
  <c r="D40" i="3"/>
  <c r="C40" i="3"/>
  <c r="C109" i="3" s="1"/>
  <c r="B40" i="3"/>
  <c r="B109" i="3" s="1"/>
  <c r="A40" i="3"/>
  <c r="A109" i="3" s="1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E39" i="3"/>
  <c r="E108" i="3" s="1"/>
  <c r="D39" i="3"/>
  <c r="D108" i="3" s="1"/>
  <c r="C39" i="3"/>
  <c r="C108" i="3" s="1"/>
  <c r="B39" i="3"/>
  <c r="B108" i="3" s="1"/>
  <c r="A39" i="3"/>
  <c r="A108" i="3" s="1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E38" i="3"/>
  <c r="E107" i="3" s="1"/>
  <c r="D38" i="3"/>
  <c r="D107" i="3" s="1"/>
  <c r="C38" i="3"/>
  <c r="C107" i="3" s="1"/>
  <c r="B38" i="3"/>
  <c r="B107" i="3" s="1"/>
  <c r="A38" i="3"/>
  <c r="A107" i="3" s="1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E37" i="3"/>
  <c r="E106" i="3" s="1"/>
  <c r="D37" i="3"/>
  <c r="D106" i="3" s="1"/>
  <c r="C37" i="3"/>
  <c r="C106" i="3" s="1"/>
  <c r="B37" i="3"/>
  <c r="B106" i="3" s="1"/>
  <c r="A37" i="3"/>
  <c r="A106" i="3" s="1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E36" i="3"/>
  <c r="E105" i="3" s="1"/>
  <c r="D36" i="3"/>
  <c r="D105" i="3" s="1"/>
  <c r="C36" i="3"/>
  <c r="C105" i="3" s="1"/>
  <c r="B36" i="3"/>
  <c r="B105" i="3" s="1"/>
  <c r="A36" i="3"/>
  <c r="A105" i="3" s="1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E35" i="3"/>
  <c r="E104" i="3" s="1"/>
  <c r="D35" i="3"/>
  <c r="D104" i="3" s="1"/>
  <c r="C35" i="3"/>
  <c r="C104" i="3" s="1"/>
  <c r="B35" i="3"/>
  <c r="B104" i="3" s="1"/>
  <c r="A35" i="3"/>
  <c r="A104" i="3" s="1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E34" i="3"/>
  <c r="E103" i="3" s="1"/>
  <c r="D34" i="3"/>
  <c r="D103" i="3" s="1"/>
  <c r="C34" i="3"/>
  <c r="C103" i="3" s="1"/>
  <c r="B34" i="3"/>
  <c r="B103" i="3" s="1"/>
  <c r="A34" i="3"/>
  <c r="A103" i="3" s="1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E33" i="3"/>
  <c r="E102" i="3" s="1"/>
  <c r="D33" i="3"/>
  <c r="D102" i="3" s="1"/>
  <c r="C33" i="3"/>
  <c r="C102" i="3" s="1"/>
  <c r="B33" i="3"/>
  <c r="B102" i="3" s="1"/>
  <c r="A33" i="3"/>
  <c r="A102" i="3" s="1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E32" i="3"/>
  <c r="E101" i="3" s="1"/>
  <c r="D32" i="3"/>
  <c r="C32" i="3"/>
  <c r="C101" i="3" s="1"/>
  <c r="B32" i="3"/>
  <c r="B101" i="3" s="1"/>
  <c r="A32" i="3"/>
  <c r="A101" i="3" s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E31" i="3"/>
  <c r="E100" i="3" s="1"/>
  <c r="D31" i="3"/>
  <c r="D100" i="3" s="1"/>
  <c r="C31" i="3"/>
  <c r="C100" i="3" s="1"/>
  <c r="B31" i="3"/>
  <c r="B100" i="3" s="1"/>
  <c r="A31" i="3"/>
  <c r="A100" i="3" s="1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E30" i="3"/>
  <c r="E99" i="3" s="1"/>
  <c r="D30" i="3"/>
  <c r="D99" i="3" s="1"/>
  <c r="C30" i="3"/>
  <c r="C99" i="3" s="1"/>
  <c r="B30" i="3"/>
  <c r="B99" i="3" s="1"/>
  <c r="A30" i="3"/>
  <c r="A99" i="3" s="1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E29" i="3"/>
  <c r="E98" i="3" s="1"/>
  <c r="D29" i="3"/>
  <c r="D98" i="3" s="1"/>
  <c r="C29" i="3"/>
  <c r="C98" i="3" s="1"/>
  <c r="B29" i="3"/>
  <c r="B98" i="3" s="1"/>
  <c r="A29" i="3"/>
  <c r="A98" i="3" s="1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E28" i="3"/>
  <c r="E97" i="3" s="1"/>
  <c r="D28" i="3"/>
  <c r="D97" i="3" s="1"/>
  <c r="C28" i="3"/>
  <c r="C97" i="3" s="1"/>
  <c r="B28" i="3"/>
  <c r="B97" i="3" s="1"/>
  <c r="A28" i="3"/>
  <c r="A97" i="3" s="1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E27" i="3"/>
  <c r="E96" i="3" s="1"/>
  <c r="D27" i="3"/>
  <c r="D96" i="3" s="1"/>
  <c r="C27" i="3"/>
  <c r="C96" i="3" s="1"/>
  <c r="B27" i="3"/>
  <c r="B96" i="3" s="1"/>
  <c r="A27" i="3"/>
  <c r="A96" i="3" s="1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E26" i="3"/>
  <c r="E95" i="3" s="1"/>
  <c r="D26" i="3"/>
  <c r="D95" i="3" s="1"/>
  <c r="C26" i="3"/>
  <c r="C95" i="3" s="1"/>
  <c r="B26" i="3"/>
  <c r="B95" i="3" s="1"/>
  <c r="A26" i="3"/>
  <c r="A95" i="3" s="1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E25" i="3"/>
  <c r="E94" i="3" s="1"/>
  <c r="D25" i="3"/>
  <c r="D94" i="3" s="1"/>
  <c r="C25" i="3"/>
  <c r="C94" i="3" s="1"/>
  <c r="B25" i="3"/>
  <c r="B94" i="3" s="1"/>
  <c r="A25" i="3"/>
  <c r="A94" i="3" s="1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E24" i="3"/>
  <c r="E93" i="3" s="1"/>
  <c r="D24" i="3"/>
  <c r="D93" i="3" s="1"/>
  <c r="C24" i="3"/>
  <c r="B24" i="3"/>
  <c r="B93" i="3" s="1"/>
  <c r="A24" i="3"/>
  <c r="A93" i="3" s="1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E23" i="3"/>
  <c r="E92" i="3" s="1"/>
  <c r="D23" i="3"/>
  <c r="D92" i="3" s="1"/>
  <c r="C23" i="3"/>
  <c r="C92" i="3" s="1"/>
  <c r="B23" i="3"/>
  <c r="B92" i="3" s="1"/>
  <c r="A23" i="3"/>
  <c r="A92" i="3" s="1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E22" i="3"/>
  <c r="E91" i="3" s="1"/>
  <c r="D22" i="3"/>
  <c r="D91" i="3" s="1"/>
  <c r="C22" i="3"/>
  <c r="B22" i="3"/>
  <c r="B91" i="3" s="1"/>
  <c r="A22" i="3"/>
  <c r="A91" i="3" s="1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E21" i="3"/>
  <c r="E90" i="3" s="1"/>
  <c r="D21" i="3"/>
  <c r="D90" i="3" s="1"/>
  <c r="C21" i="3"/>
  <c r="C90" i="3" s="1"/>
  <c r="B21" i="3"/>
  <c r="B90" i="3" s="1"/>
  <c r="A21" i="3"/>
  <c r="A90" i="3" s="1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E20" i="3"/>
  <c r="E89" i="3" s="1"/>
  <c r="D20" i="3"/>
  <c r="D89" i="3" s="1"/>
  <c r="C20" i="3"/>
  <c r="C89" i="3" s="1"/>
  <c r="B20" i="3"/>
  <c r="B89" i="3" s="1"/>
  <c r="A20" i="3"/>
  <c r="A89" i="3" s="1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E19" i="3"/>
  <c r="E88" i="3" s="1"/>
  <c r="D19" i="3"/>
  <c r="D88" i="3" s="1"/>
  <c r="C19" i="3"/>
  <c r="C88" i="3" s="1"/>
  <c r="B19" i="3"/>
  <c r="A19" i="3"/>
  <c r="A88" i="3" s="1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E18" i="3"/>
  <c r="E87" i="3" s="1"/>
  <c r="D18" i="3"/>
  <c r="D87" i="3" s="1"/>
  <c r="C18" i="3"/>
  <c r="C87" i="3" s="1"/>
  <c r="B18" i="3"/>
  <c r="B87" i="3" s="1"/>
  <c r="A18" i="3"/>
  <c r="A87" i="3" s="1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E17" i="3"/>
  <c r="E86" i="3" s="1"/>
  <c r="D17" i="3"/>
  <c r="D86" i="3" s="1"/>
  <c r="C17" i="3"/>
  <c r="C86" i="3" s="1"/>
  <c r="B17" i="3"/>
  <c r="A17" i="3"/>
  <c r="A86" i="3" s="1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E16" i="3"/>
  <c r="E85" i="3" s="1"/>
  <c r="D16" i="3"/>
  <c r="D85" i="3" s="1"/>
  <c r="C16" i="3"/>
  <c r="C85" i="3" s="1"/>
  <c r="B16" i="3"/>
  <c r="B85" i="3" s="1"/>
  <c r="A16" i="3"/>
  <c r="A85" i="3" s="1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E15" i="3"/>
  <c r="E84" i="3" s="1"/>
  <c r="D15" i="3"/>
  <c r="D84" i="3" s="1"/>
  <c r="C15" i="3"/>
  <c r="C84" i="3" s="1"/>
  <c r="B15" i="3"/>
  <c r="B84" i="3" s="1"/>
  <c r="A15" i="3"/>
  <c r="A84" i="3" s="1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E14" i="3"/>
  <c r="E83" i="3" s="1"/>
  <c r="D14" i="3"/>
  <c r="D83" i="3" s="1"/>
  <c r="C14" i="3"/>
  <c r="C83" i="3" s="1"/>
  <c r="B14" i="3"/>
  <c r="B83" i="3" s="1"/>
  <c r="A14" i="3"/>
  <c r="A83" i="3" s="1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E13" i="3"/>
  <c r="D13" i="3"/>
  <c r="D82" i="3" s="1"/>
  <c r="C13" i="3"/>
  <c r="C82" i="3" s="1"/>
  <c r="B13" i="3"/>
  <c r="B82" i="3" s="1"/>
  <c r="A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E12" i="3"/>
  <c r="E81" i="3" s="1"/>
  <c r="D12" i="3"/>
  <c r="C12" i="3"/>
  <c r="C81" i="3" s="1"/>
  <c r="B12" i="3"/>
  <c r="B81" i="3" s="1"/>
  <c r="A12" i="3"/>
  <c r="A81" i="3" s="1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E11" i="3"/>
  <c r="E80" i="3" s="1"/>
  <c r="D11" i="3"/>
  <c r="D80" i="3" s="1"/>
  <c r="C11" i="3"/>
  <c r="C80" i="3" s="1"/>
  <c r="B11" i="3"/>
  <c r="B80" i="3" s="1"/>
  <c r="A11" i="3"/>
  <c r="A80" i="3" s="1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E10" i="3"/>
  <c r="E79" i="3" s="1"/>
  <c r="D10" i="3"/>
  <c r="D79" i="3" s="1"/>
  <c r="C10" i="3"/>
  <c r="C79" i="3" s="1"/>
  <c r="B10" i="3"/>
  <c r="B79" i="3" s="1"/>
  <c r="A10" i="3"/>
  <c r="A79" i="3" s="1"/>
  <c r="AE9" i="3"/>
  <c r="AD9" i="3"/>
  <c r="AC9" i="3"/>
  <c r="AB9" i="3"/>
  <c r="AA9" i="3"/>
  <c r="Z9" i="3"/>
  <c r="Y9" i="3"/>
  <c r="X9" i="3"/>
  <c r="W9" i="3"/>
  <c r="V9" i="3"/>
  <c r="U9" i="3"/>
  <c r="T9" i="3"/>
  <c r="S9" i="3"/>
  <c r="E9" i="3"/>
  <c r="E78" i="3" s="1"/>
  <c r="D9" i="3"/>
  <c r="D78" i="3" s="1"/>
  <c r="C9" i="3"/>
  <c r="C78" i="3" s="1"/>
  <c r="B9" i="3"/>
  <c r="B78" i="3" s="1"/>
  <c r="A9" i="3"/>
  <c r="A78" i="3" s="1"/>
  <c r="AE8" i="3"/>
  <c r="AD8" i="3"/>
  <c r="AC8" i="3"/>
  <c r="AB8" i="3"/>
  <c r="AA8" i="3"/>
  <c r="Z8" i="3"/>
  <c r="Y8" i="3"/>
  <c r="X8" i="3"/>
  <c r="W8" i="3"/>
  <c r="V8" i="3"/>
  <c r="U8" i="3"/>
  <c r="T8" i="3"/>
  <c r="S8" i="3"/>
  <c r="E8" i="3"/>
  <c r="E77" i="3" s="1"/>
  <c r="D8" i="3"/>
  <c r="D77" i="3" s="1"/>
  <c r="C8" i="3"/>
  <c r="B8" i="3"/>
  <c r="B77" i="3" s="1"/>
  <c r="A8" i="3"/>
  <c r="A77" i="3" s="1"/>
  <c r="AE7" i="3"/>
  <c r="AD7" i="3"/>
  <c r="AC7" i="3"/>
  <c r="AB7" i="3"/>
  <c r="AA7" i="3"/>
  <c r="Z7" i="3"/>
  <c r="Y7" i="3"/>
  <c r="X7" i="3"/>
  <c r="W7" i="3"/>
  <c r="V7" i="3"/>
  <c r="U7" i="3"/>
  <c r="T7" i="3"/>
  <c r="S7" i="3"/>
  <c r="E7" i="3"/>
  <c r="E76" i="3" s="1"/>
  <c r="D7" i="3"/>
  <c r="D76" i="3" s="1"/>
  <c r="C7" i="3"/>
  <c r="C76" i="3" s="1"/>
  <c r="B7" i="3"/>
  <c r="B76" i="3" s="1"/>
  <c r="A7" i="3"/>
  <c r="A76" i="3" s="1"/>
  <c r="AE6" i="3"/>
  <c r="AD6" i="3"/>
  <c r="AC6" i="3"/>
  <c r="AB6" i="3"/>
  <c r="AA6" i="3"/>
  <c r="Z6" i="3"/>
  <c r="Y6" i="3"/>
  <c r="X6" i="3"/>
  <c r="W6" i="3"/>
  <c r="V6" i="3"/>
  <c r="U6" i="3"/>
  <c r="T6" i="3"/>
  <c r="S6" i="3"/>
  <c r="E6" i="3"/>
  <c r="E75" i="3" s="1"/>
  <c r="D6" i="3"/>
  <c r="D75" i="3" s="1"/>
  <c r="C6" i="3"/>
  <c r="B6" i="3"/>
  <c r="B75" i="3" s="1"/>
  <c r="A6" i="3"/>
  <c r="A75" i="3" s="1"/>
  <c r="AE5" i="3"/>
  <c r="AD5" i="3"/>
  <c r="AC5" i="3"/>
  <c r="AB5" i="3"/>
  <c r="AA5" i="3"/>
  <c r="Z5" i="3"/>
  <c r="Y5" i="3"/>
  <c r="X5" i="3"/>
  <c r="W5" i="3"/>
  <c r="V5" i="3"/>
  <c r="U5" i="3"/>
  <c r="T5" i="3"/>
  <c r="S5" i="3"/>
  <c r="E5" i="3"/>
  <c r="E74" i="3" s="1"/>
  <c r="D5" i="3"/>
  <c r="D74" i="3" s="1"/>
  <c r="C5" i="3"/>
  <c r="C74" i="3" s="1"/>
  <c r="B5" i="3"/>
  <c r="B74" i="3" s="1"/>
  <c r="A5" i="3"/>
  <c r="A74" i="3" s="1"/>
  <c r="AE4" i="3"/>
  <c r="AD4" i="3"/>
  <c r="AC4" i="3"/>
  <c r="AB4" i="3"/>
  <c r="AA4" i="3"/>
  <c r="Z4" i="3"/>
  <c r="Y4" i="3"/>
  <c r="X4" i="3"/>
  <c r="W4" i="3"/>
  <c r="V4" i="3"/>
  <c r="U4" i="3"/>
  <c r="T4" i="3"/>
  <c r="S4" i="3"/>
  <c r="E4" i="3"/>
  <c r="E73" i="3" s="1"/>
  <c r="D4" i="3"/>
  <c r="D73" i="3" s="1"/>
  <c r="C4" i="3"/>
  <c r="B4" i="3"/>
  <c r="A4" i="3"/>
  <c r="A73" i="3" s="1"/>
  <c r="AE3" i="3"/>
  <c r="AD3" i="3"/>
  <c r="AC3" i="3"/>
  <c r="AB3" i="3"/>
  <c r="AA3" i="3"/>
  <c r="Z3" i="3"/>
  <c r="Y3" i="3"/>
  <c r="X3" i="3"/>
  <c r="W3" i="3"/>
  <c r="V3" i="3"/>
  <c r="U3" i="3"/>
  <c r="T3" i="3"/>
  <c r="S3" i="3"/>
  <c r="E3" i="3"/>
  <c r="E3" i="2" s="1"/>
  <c r="B3" i="3"/>
  <c r="B3" i="2" s="1"/>
  <c r="A3" i="3"/>
  <c r="A3" i="2" s="1"/>
  <c r="AD2" i="3"/>
  <c r="AC2" i="3"/>
  <c r="AB2" i="3"/>
  <c r="Z2" i="3"/>
  <c r="Y2" i="3"/>
  <c r="X2" i="3"/>
  <c r="V2" i="3"/>
  <c r="U2" i="3"/>
  <c r="T2" i="3"/>
  <c r="Q2" i="3"/>
  <c r="P2" i="3"/>
  <c r="P2" i="2" s="1"/>
  <c r="O2" i="3"/>
  <c r="M2" i="3"/>
  <c r="L2" i="3"/>
  <c r="K2" i="3"/>
  <c r="I2" i="3"/>
  <c r="H2" i="3"/>
  <c r="H2" i="2" s="1"/>
  <c r="G2" i="3"/>
  <c r="E2" i="3"/>
  <c r="D2" i="3"/>
  <c r="D2" i="2" s="1"/>
  <c r="C2" i="3"/>
  <c r="B2" i="3"/>
  <c r="B2" i="2" s="1"/>
  <c r="A2" i="3"/>
  <c r="E53" i="2"/>
  <c r="D53" i="2"/>
  <c r="C53" i="2"/>
  <c r="B53" i="2"/>
  <c r="A53" i="2"/>
  <c r="D52" i="2"/>
  <c r="B52" i="2"/>
  <c r="A52" i="2"/>
  <c r="E51" i="2"/>
  <c r="D51" i="2"/>
  <c r="B51" i="2"/>
  <c r="A51" i="2"/>
  <c r="D50" i="2"/>
  <c r="C50" i="2"/>
  <c r="B50" i="2"/>
  <c r="D49" i="2"/>
  <c r="C49" i="2"/>
  <c r="B49" i="2"/>
  <c r="C48" i="2"/>
  <c r="B48" i="2"/>
  <c r="E47" i="2"/>
  <c r="D47" i="2"/>
  <c r="C47" i="2"/>
  <c r="A47" i="2"/>
  <c r="D46" i="2"/>
  <c r="C46" i="2"/>
  <c r="B46" i="2"/>
  <c r="E45" i="2"/>
  <c r="D45" i="2"/>
  <c r="B45" i="2"/>
  <c r="A45" i="2"/>
  <c r="E44" i="2"/>
  <c r="D44" i="2"/>
  <c r="B44" i="2"/>
  <c r="E43" i="2"/>
  <c r="D43" i="2"/>
  <c r="B43" i="2"/>
  <c r="A43" i="2"/>
  <c r="D42" i="2"/>
  <c r="C42" i="2"/>
  <c r="B42" i="2"/>
  <c r="D41" i="2"/>
  <c r="B41" i="2"/>
  <c r="C40" i="2"/>
  <c r="B40" i="2"/>
  <c r="A40" i="2"/>
  <c r="E39" i="2"/>
  <c r="D39" i="2"/>
  <c r="A39" i="2"/>
  <c r="D38" i="2"/>
  <c r="C38" i="2"/>
  <c r="A38" i="2"/>
  <c r="E37" i="2"/>
  <c r="D37" i="2"/>
  <c r="B37" i="2"/>
  <c r="A37" i="2"/>
  <c r="D36" i="2"/>
  <c r="B36" i="2"/>
  <c r="E35" i="2"/>
  <c r="D35" i="2"/>
  <c r="C35" i="2"/>
  <c r="B35" i="2"/>
  <c r="A35" i="2"/>
  <c r="D34" i="2"/>
  <c r="C34" i="2"/>
  <c r="B34" i="2"/>
  <c r="C33" i="2"/>
  <c r="B33" i="2"/>
  <c r="C32" i="2"/>
  <c r="B32" i="2"/>
  <c r="E31" i="2"/>
  <c r="D31" i="2"/>
  <c r="C31" i="2"/>
  <c r="A31" i="2"/>
  <c r="D30" i="2"/>
  <c r="C30" i="2"/>
  <c r="E29" i="2"/>
  <c r="D29" i="2"/>
  <c r="C29" i="2"/>
  <c r="B29" i="2"/>
  <c r="A29" i="2"/>
  <c r="D28" i="2"/>
  <c r="B28" i="2"/>
  <c r="E27" i="2"/>
  <c r="D27" i="2"/>
  <c r="B27" i="2"/>
  <c r="A27" i="2"/>
  <c r="D26" i="2"/>
  <c r="C26" i="2"/>
  <c r="B26" i="2"/>
  <c r="D25" i="2"/>
  <c r="B25" i="2"/>
  <c r="B24" i="2"/>
  <c r="E23" i="2"/>
  <c r="D23" i="2"/>
  <c r="B23" i="2"/>
  <c r="A23" i="2"/>
  <c r="D22" i="2"/>
  <c r="B22" i="2"/>
  <c r="E21" i="2"/>
  <c r="D21" i="2"/>
  <c r="C21" i="2"/>
  <c r="B21" i="2"/>
  <c r="A21" i="2"/>
  <c r="D20" i="2"/>
  <c r="B20" i="2"/>
  <c r="E19" i="2"/>
  <c r="D19" i="2"/>
  <c r="A19" i="2"/>
  <c r="D18" i="2"/>
  <c r="B18" i="2"/>
  <c r="E17" i="2"/>
  <c r="D17" i="2"/>
  <c r="A17" i="2"/>
  <c r="D16" i="2"/>
  <c r="C16" i="2"/>
  <c r="B16" i="2"/>
  <c r="E15" i="2"/>
  <c r="D15" i="2"/>
  <c r="C15" i="2"/>
  <c r="A15" i="2"/>
  <c r="D14" i="2"/>
  <c r="C14" i="2"/>
  <c r="B14" i="2"/>
  <c r="D13" i="2"/>
  <c r="C12" i="2"/>
  <c r="B12" i="2"/>
  <c r="E11" i="2"/>
  <c r="D11" i="2"/>
  <c r="B11" i="2"/>
  <c r="A11" i="2"/>
  <c r="E10" i="2"/>
  <c r="D10" i="2"/>
  <c r="C10" i="2"/>
  <c r="B10" i="2"/>
  <c r="A10" i="2"/>
  <c r="D9" i="2"/>
  <c r="B9" i="2"/>
  <c r="E8" i="2"/>
  <c r="B8" i="2"/>
  <c r="E7" i="2"/>
  <c r="D7" i="2"/>
  <c r="B7" i="2"/>
  <c r="A7" i="2"/>
  <c r="E6" i="2"/>
  <c r="D6" i="2"/>
  <c r="B6" i="2"/>
  <c r="E5" i="2"/>
  <c r="D5" i="2"/>
  <c r="B5" i="2"/>
  <c r="A5" i="2"/>
  <c r="D4" i="2"/>
  <c r="B4" i="2"/>
  <c r="A4" i="2"/>
  <c r="D3" i="2"/>
  <c r="C3" i="2"/>
  <c r="Q2" i="2"/>
  <c r="O2" i="2"/>
  <c r="M2" i="2"/>
  <c r="L2" i="2"/>
  <c r="K2" i="2"/>
  <c r="I2" i="2"/>
  <c r="G2" i="2"/>
  <c r="E2" i="2"/>
  <c r="C2" i="2"/>
  <c r="A2" i="2"/>
  <c r="O53" i="3"/>
  <c r="M53" i="3"/>
  <c r="I53" i="3"/>
  <c r="Q53" i="3"/>
  <c r="L53" i="3"/>
  <c r="H53" i="3"/>
  <c r="P53" i="3"/>
  <c r="G53" i="3"/>
  <c r="A63" i="3"/>
  <c r="K53" i="3"/>
  <c r="A6" i="2" l="1"/>
  <c r="E12" i="2"/>
  <c r="E18" i="2"/>
  <c r="E20" i="2"/>
  <c r="E24" i="2"/>
  <c r="A26" i="2"/>
  <c r="E26" i="2"/>
  <c r="E28" i="2"/>
  <c r="A34" i="2"/>
  <c r="E34" i="2"/>
  <c r="C37" i="2"/>
  <c r="C39" i="2"/>
  <c r="C41" i="2"/>
  <c r="A44" i="2"/>
  <c r="C51" i="2"/>
  <c r="C5" i="2"/>
  <c r="A8" i="2"/>
  <c r="C9" i="2"/>
  <c r="A12" i="2"/>
  <c r="C13" i="2"/>
  <c r="A18" i="2"/>
  <c r="A20" i="2"/>
  <c r="E22" i="2"/>
  <c r="A28" i="2"/>
  <c r="E30" i="2"/>
  <c r="E32" i="2"/>
  <c r="E36" i="2"/>
  <c r="C43" i="2"/>
  <c r="A46" i="2"/>
  <c r="E46" i="2"/>
  <c r="E48" i="2"/>
  <c r="A50" i="2"/>
  <c r="E50" i="2"/>
  <c r="F2" i="3"/>
  <c r="J2" i="3"/>
  <c r="N2" i="3"/>
  <c r="R2" i="3"/>
  <c r="E4" i="2"/>
  <c r="C7" i="2"/>
  <c r="C11" i="2"/>
  <c r="C17" i="2"/>
  <c r="C19" i="2"/>
  <c r="A22" i="2"/>
  <c r="A24" i="2"/>
  <c r="C25" i="2"/>
  <c r="A30" i="2"/>
  <c r="A32" i="2"/>
  <c r="A36" i="2"/>
  <c r="E38" i="2"/>
  <c r="E40" i="2"/>
  <c r="A42" i="2"/>
  <c r="E42" i="2"/>
  <c r="C45" i="2"/>
  <c r="A48" i="2"/>
  <c r="E52" i="2"/>
  <c r="C67" i="3"/>
  <c r="J72" i="3"/>
  <c r="H71" i="3"/>
  <c r="P72" i="3"/>
  <c r="N71" i="3"/>
  <c r="J71" i="3"/>
  <c r="O71" i="3"/>
  <c r="F72" i="3"/>
  <c r="L72" i="3"/>
  <c r="Q72" i="3"/>
  <c r="F71" i="3"/>
  <c r="K71" i="3"/>
  <c r="P71" i="3"/>
  <c r="H72" i="3"/>
  <c r="M72" i="3"/>
  <c r="R72" i="3"/>
  <c r="G71" i="3"/>
  <c r="L71" i="3"/>
  <c r="R71" i="3"/>
  <c r="I72" i="3"/>
  <c r="N72" i="3"/>
  <c r="K53" i="2"/>
  <c r="G53" i="2"/>
  <c r="P53" i="2"/>
  <c r="H53" i="2"/>
  <c r="L53" i="2"/>
  <c r="Q53" i="2"/>
  <c r="I53" i="2"/>
  <c r="M53" i="2"/>
  <c r="O53" i="2"/>
  <c r="E82" i="3"/>
  <c r="E13" i="2"/>
  <c r="E14" i="2"/>
  <c r="C23" i="2"/>
  <c r="D33" i="2"/>
  <c r="D101" i="3"/>
  <c r="D32" i="2"/>
  <c r="B38" i="2"/>
  <c r="C73" i="3"/>
  <c r="C4" i="2"/>
  <c r="C77" i="3"/>
  <c r="C8" i="2"/>
  <c r="D109" i="3"/>
  <c r="D40" i="2"/>
  <c r="C75" i="3"/>
  <c r="C6" i="2"/>
  <c r="A82" i="3"/>
  <c r="A13" i="2"/>
  <c r="A14" i="2"/>
  <c r="B86" i="3"/>
  <c r="B17" i="2"/>
  <c r="C93" i="3"/>
  <c r="C24" i="2"/>
  <c r="A16" i="2"/>
  <c r="E16" i="2"/>
  <c r="C27" i="2"/>
  <c r="B30" i="2"/>
  <c r="D81" i="3"/>
  <c r="D12" i="2"/>
  <c r="B88" i="3"/>
  <c r="B19" i="2"/>
  <c r="C91" i="3"/>
  <c r="C22" i="2"/>
  <c r="D117" i="3"/>
  <c r="D48" i="2"/>
  <c r="A9" i="2"/>
  <c r="E9" i="2"/>
  <c r="C18" i="2"/>
  <c r="C20" i="2"/>
  <c r="A25" i="2"/>
  <c r="E25" i="2"/>
  <c r="C28" i="2"/>
  <c r="A33" i="2"/>
  <c r="E33" i="2"/>
  <c r="C36" i="2"/>
  <c r="A41" i="2"/>
  <c r="E41" i="2"/>
  <c r="C44" i="2"/>
  <c r="A49" i="2"/>
  <c r="E49" i="2"/>
  <c r="C52" i="2"/>
  <c r="D8" i="2"/>
  <c r="B13" i="2"/>
  <c r="B15" i="2"/>
  <c r="D24" i="2"/>
  <c r="B31" i="2"/>
  <c r="B39" i="2"/>
  <c r="B47" i="2"/>
  <c r="I71" i="3"/>
  <c r="M71" i="3"/>
  <c r="Q71" i="3"/>
  <c r="G72" i="3"/>
  <c r="K72" i="3"/>
  <c r="R53" i="3"/>
  <c r="J53" i="3"/>
  <c r="F53" i="3"/>
  <c r="N53" i="3"/>
  <c r="P107" i="3"/>
  <c r="P120" i="3"/>
  <c r="P118" i="3"/>
  <c r="P90" i="3"/>
  <c r="P115" i="3"/>
  <c r="P111" i="3"/>
  <c r="P95" i="3"/>
  <c r="P78" i="3"/>
  <c r="P101" i="3"/>
  <c r="J94" i="3"/>
  <c r="J113" i="3"/>
  <c r="J115" i="3"/>
  <c r="J96" i="3"/>
  <c r="J110" i="3"/>
  <c r="J88" i="3"/>
  <c r="J76" i="3"/>
  <c r="J111" i="3"/>
  <c r="J120" i="3"/>
  <c r="J91" i="3"/>
  <c r="J107" i="3"/>
  <c r="J81" i="3"/>
  <c r="J98" i="3"/>
  <c r="J86" i="3"/>
  <c r="J102" i="3"/>
  <c r="J118" i="3"/>
  <c r="J105" i="3"/>
  <c r="J119" i="3"/>
  <c r="J92" i="3"/>
  <c r="F117" i="3"/>
  <c r="F73" i="3"/>
  <c r="F119" i="3"/>
  <c r="F103" i="3"/>
  <c r="F76" i="3"/>
  <c r="F114" i="3"/>
  <c r="F99" i="3"/>
  <c r="F115" i="3"/>
  <c r="F84" i="3"/>
  <c r="R82" i="3"/>
  <c r="R118" i="3"/>
  <c r="R100" i="3"/>
  <c r="R92" i="3"/>
  <c r="R93" i="3"/>
  <c r="R109" i="3"/>
  <c r="R107" i="3"/>
  <c r="R86" i="3"/>
  <c r="R87" i="3"/>
  <c r="N101" i="3"/>
  <c r="N92" i="3"/>
  <c r="N81" i="3"/>
  <c r="N97" i="3"/>
  <c r="N80" i="3"/>
  <c r="N117" i="3"/>
  <c r="N109" i="3"/>
  <c r="N88" i="3"/>
  <c r="N74" i="3"/>
  <c r="N118" i="3"/>
  <c r="N82" i="3"/>
  <c r="N106" i="3"/>
  <c r="N94" i="3"/>
  <c r="N75" i="3"/>
  <c r="N102" i="3"/>
  <c r="N87" i="3"/>
  <c r="N100" i="3"/>
  <c r="N98" i="3"/>
  <c r="N93" i="3"/>
  <c r="N112" i="3"/>
  <c r="P83" i="3"/>
  <c r="P106" i="3"/>
  <c r="P103" i="3"/>
  <c r="P100" i="3"/>
  <c r="P77" i="3"/>
  <c r="P116" i="3"/>
  <c r="P89" i="3"/>
  <c r="P85" i="3"/>
  <c r="P87" i="3"/>
  <c r="P91" i="3"/>
  <c r="J101" i="3"/>
  <c r="J87" i="3"/>
  <c r="J95" i="3"/>
  <c r="J121" i="3"/>
  <c r="J89" i="3"/>
  <c r="J116" i="3"/>
  <c r="J83" i="3"/>
  <c r="J100" i="3"/>
  <c r="J85" i="3"/>
  <c r="J104" i="3"/>
  <c r="J108" i="3"/>
  <c r="J99" i="3"/>
  <c r="J75" i="3"/>
  <c r="J114" i="3"/>
  <c r="J74" i="3"/>
  <c r="J103" i="3"/>
  <c r="J82" i="3"/>
  <c r="J109" i="3"/>
  <c r="J80" i="3"/>
  <c r="J84" i="3"/>
  <c r="J106" i="3"/>
  <c r="J97" i="3"/>
  <c r="J77" i="3"/>
  <c r="J79" i="3"/>
  <c r="J112" i="3"/>
  <c r="J73" i="3"/>
  <c r="J78" i="3"/>
  <c r="J117" i="3"/>
  <c r="J93" i="3"/>
  <c r="J90" i="3"/>
  <c r="L87" i="3"/>
  <c r="L84" i="3"/>
  <c r="L91" i="3"/>
  <c r="L106" i="3"/>
  <c r="L85" i="3"/>
  <c r="L100" i="3"/>
  <c r="L103" i="3"/>
  <c r="L81" i="3"/>
  <c r="L73" i="3"/>
  <c r="L114" i="3"/>
  <c r="L112" i="3"/>
  <c r="L99" i="3"/>
  <c r="L120" i="3"/>
  <c r="L94" i="3"/>
  <c r="L74" i="3"/>
  <c r="L101" i="3"/>
  <c r="L92" i="3"/>
  <c r="L118" i="3"/>
  <c r="L88" i="3"/>
  <c r="L115" i="3"/>
  <c r="L79" i="3"/>
  <c r="L107" i="3"/>
  <c r="L97" i="3"/>
  <c r="L80" i="3"/>
  <c r="L119" i="3"/>
  <c r="L96" i="3"/>
  <c r="L110" i="3"/>
  <c r="L116" i="3"/>
  <c r="L90" i="3"/>
  <c r="H100" i="3"/>
  <c r="H93" i="3"/>
  <c r="H112" i="3"/>
  <c r="H116" i="3"/>
  <c r="H111" i="3"/>
  <c r="H101" i="3"/>
  <c r="H94" i="3"/>
  <c r="H81" i="3"/>
  <c r="H102" i="3"/>
  <c r="H98" i="3"/>
  <c r="H79" i="3"/>
  <c r="H108" i="3"/>
  <c r="H89" i="3"/>
  <c r="H109" i="3"/>
  <c r="H119" i="3"/>
  <c r="H106" i="3"/>
  <c r="H92" i="3"/>
  <c r="H83" i="3"/>
  <c r="H120" i="3"/>
  <c r="H107" i="3"/>
  <c r="H78" i="3"/>
  <c r="H75" i="3"/>
  <c r="H91" i="3"/>
  <c r="H88" i="3"/>
  <c r="H117" i="3"/>
  <c r="H96" i="3"/>
  <c r="H121" i="3"/>
  <c r="H110" i="3"/>
  <c r="H115" i="3"/>
  <c r="H77" i="3"/>
  <c r="H85" i="3"/>
  <c r="H84" i="3"/>
  <c r="H87" i="3"/>
  <c r="H103" i="3"/>
  <c r="H74" i="3"/>
  <c r="H95" i="3"/>
  <c r="H114" i="3"/>
  <c r="H99" i="3"/>
  <c r="H86" i="3"/>
  <c r="H104" i="3"/>
  <c r="H113" i="3"/>
  <c r="H105" i="3"/>
  <c r="H82" i="3"/>
  <c r="H76" i="3"/>
  <c r="H80" i="3"/>
  <c r="H90" i="3"/>
  <c r="H118" i="3"/>
  <c r="H73" i="3"/>
  <c r="H97" i="3"/>
  <c r="F93" i="3"/>
  <c r="F96" i="3"/>
  <c r="F95" i="3"/>
  <c r="F102" i="3"/>
  <c r="F98" i="3"/>
  <c r="F90" i="3"/>
  <c r="F112" i="3"/>
  <c r="F121" i="3"/>
  <c r="F87" i="3"/>
  <c r="F81" i="3"/>
  <c r="F75" i="3"/>
  <c r="F94" i="3"/>
  <c r="F100" i="3"/>
  <c r="F85" i="3"/>
  <c r="F111" i="3"/>
  <c r="F101" i="3"/>
  <c r="F116" i="3"/>
  <c r="F74" i="3"/>
  <c r="F79" i="3"/>
  <c r="F91" i="3"/>
  <c r="F108" i="3"/>
  <c r="F106" i="3"/>
  <c r="F82" i="3"/>
  <c r="F105" i="3"/>
  <c r="F97" i="3"/>
  <c r="F78" i="3"/>
  <c r="F83" i="3"/>
  <c r="F89" i="3"/>
  <c r="F88" i="3"/>
  <c r="F80" i="3"/>
  <c r="F92" i="3"/>
  <c r="F118" i="3"/>
  <c r="F109" i="3"/>
  <c r="F120" i="3"/>
  <c r="F113" i="3"/>
  <c r="F77" i="3"/>
  <c r="F110" i="3"/>
  <c r="F86" i="3"/>
  <c r="F104" i="3"/>
  <c r="F107" i="3"/>
  <c r="R95" i="3"/>
  <c r="R119" i="3"/>
  <c r="R81" i="3"/>
  <c r="R73" i="3"/>
  <c r="R77" i="3"/>
  <c r="R106" i="3"/>
  <c r="R110" i="3"/>
  <c r="R121" i="3"/>
  <c r="R99" i="3"/>
  <c r="R98" i="3"/>
  <c r="R74" i="3"/>
  <c r="R84" i="3"/>
  <c r="R94" i="3"/>
  <c r="R88" i="3"/>
  <c r="R104" i="3"/>
  <c r="R111" i="3"/>
  <c r="R89" i="3"/>
  <c r="R91" i="3"/>
  <c r="R113" i="3"/>
  <c r="R103" i="3"/>
  <c r="R117" i="3"/>
  <c r="R108" i="3"/>
  <c r="R101" i="3"/>
  <c r="R90" i="3"/>
  <c r="R105" i="3"/>
  <c r="R76" i="3"/>
  <c r="R97" i="3"/>
  <c r="R75" i="3"/>
  <c r="R78" i="3"/>
  <c r="R114" i="3"/>
  <c r="R85" i="3"/>
  <c r="R116" i="3"/>
  <c r="R102" i="3"/>
  <c r="R112" i="3"/>
  <c r="R79" i="3"/>
  <c r="R83" i="3"/>
  <c r="R120" i="3"/>
  <c r="R80" i="3"/>
  <c r="R115" i="3"/>
  <c r="R96" i="3"/>
  <c r="N73" i="3"/>
  <c r="N85" i="3"/>
  <c r="N90" i="3"/>
  <c r="N110" i="3"/>
  <c r="N105" i="3"/>
  <c r="N84" i="3"/>
  <c r="N91" i="3"/>
  <c r="N104" i="3"/>
  <c r="N79" i="3"/>
  <c r="N77" i="3"/>
  <c r="N95" i="3"/>
  <c r="N120" i="3"/>
  <c r="N108" i="3"/>
  <c r="N86" i="3"/>
  <c r="N89" i="3"/>
  <c r="N96" i="3"/>
  <c r="N119" i="3"/>
  <c r="N115" i="3"/>
  <c r="N78" i="3"/>
  <c r="N113" i="3"/>
  <c r="N83" i="3"/>
  <c r="N99" i="3"/>
  <c r="N107" i="3"/>
  <c r="N111" i="3"/>
  <c r="N116" i="3"/>
  <c r="N103" i="3"/>
  <c r="N114" i="3"/>
  <c r="N121" i="3"/>
  <c r="N76" i="3"/>
  <c r="P121" i="3"/>
  <c r="P119" i="3"/>
  <c r="P113" i="3"/>
  <c r="P102" i="3"/>
  <c r="P110" i="3"/>
  <c r="P75" i="3"/>
  <c r="P80" i="3"/>
  <c r="P97" i="3"/>
  <c r="P74" i="3"/>
  <c r="P104" i="3"/>
  <c r="P79" i="3"/>
  <c r="P96" i="3"/>
  <c r="P109" i="3"/>
  <c r="P81" i="3"/>
  <c r="P105" i="3"/>
  <c r="P114" i="3"/>
  <c r="P73" i="3"/>
  <c r="P94" i="3"/>
  <c r="P117" i="3"/>
  <c r="P88" i="3"/>
  <c r="P92" i="3"/>
  <c r="P82" i="3"/>
  <c r="P108" i="3"/>
  <c r="P86" i="3"/>
  <c r="P76" i="3"/>
  <c r="P112" i="3"/>
  <c r="P99" i="3"/>
  <c r="P98" i="3"/>
  <c r="P93" i="3"/>
  <c r="P84" i="3"/>
  <c r="K88" i="3"/>
  <c r="K73" i="3"/>
  <c r="K77" i="3"/>
  <c r="K98" i="3"/>
  <c r="K116" i="3"/>
  <c r="K86" i="3"/>
  <c r="K100" i="3"/>
  <c r="K95" i="3"/>
  <c r="K112" i="3"/>
  <c r="K87" i="3"/>
  <c r="I97" i="3"/>
  <c r="I82" i="3"/>
  <c r="I112" i="3"/>
  <c r="I101" i="3"/>
  <c r="I90" i="3"/>
  <c r="I93" i="3"/>
  <c r="I102" i="3"/>
  <c r="I89" i="3"/>
  <c r="I109" i="3"/>
  <c r="L113" i="3"/>
  <c r="L105" i="3"/>
  <c r="L82" i="3"/>
  <c r="L104" i="3"/>
  <c r="L93" i="3"/>
  <c r="L78" i="3"/>
  <c r="L102" i="3"/>
  <c r="L77" i="3"/>
  <c r="L86" i="3"/>
  <c r="L83" i="3"/>
  <c r="L95" i="3"/>
  <c r="L76" i="3"/>
  <c r="L109" i="3"/>
  <c r="L111" i="3"/>
  <c r="L121" i="3"/>
  <c r="L117" i="3"/>
  <c r="L98" i="3"/>
  <c r="L89" i="3"/>
  <c r="L108" i="3"/>
  <c r="L75" i="3"/>
  <c r="M107" i="3"/>
  <c r="M84" i="3"/>
  <c r="M116" i="3"/>
  <c r="M101" i="3"/>
  <c r="M94" i="3"/>
  <c r="M91" i="3"/>
  <c r="M81" i="3"/>
  <c r="M73" i="3"/>
  <c r="M110" i="3"/>
  <c r="M96" i="3"/>
  <c r="M117" i="3"/>
  <c r="M82" i="3"/>
  <c r="M89" i="3"/>
  <c r="M120" i="3"/>
  <c r="M75" i="3"/>
  <c r="M79" i="3"/>
  <c r="M115" i="3"/>
  <c r="M76" i="3"/>
  <c r="M77" i="3"/>
  <c r="M92" i="3"/>
  <c r="M106" i="3"/>
  <c r="M98" i="3"/>
  <c r="M118" i="3"/>
  <c r="M88" i="3"/>
  <c r="M85" i="3"/>
  <c r="M83" i="3"/>
  <c r="M113" i="3"/>
  <c r="M90" i="3"/>
  <c r="M86" i="3"/>
  <c r="M97" i="3"/>
  <c r="M80" i="3"/>
  <c r="M104" i="3"/>
  <c r="M93" i="3"/>
  <c r="M114" i="3"/>
  <c r="M87" i="3"/>
  <c r="M111" i="3"/>
  <c r="M112" i="3"/>
  <c r="M105" i="3"/>
  <c r="M99" i="3"/>
  <c r="M119" i="3"/>
  <c r="M95" i="3"/>
  <c r="M74" i="3"/>
  <c r="M121" i="3"/>
  <c r="M103" i="3"/>
  <c r="M109" i="3"/>
  <c r="M102" i="3"/>
  <c r="M78" i="3"/>
  <c r="M100" i="3"/>
  <c r="M108" i="3"/>
  <c r="Q83" i="3"/>
  <c r="Q119" i="3"/>
  <c r="Q73" i="3"/>
  <c r="Q76" i="3"/>
  <c r="Q88" i="3"/>
  <c r="Q101" i="3"/>
  <c r="Q91" i="3"/>
  <c r="Q84" i="3"/>
  <c r="Q75" i="3"/>
  <c r="Q87" i="3"/>
  <c r="Q81" i="3"/>
  <c r="Q97" i="3"/>
  <c r="Q121" i="3"/>
  <c r="Q112" i="3"/>
  <c r="Q94" i="3"/>
  <c r="Q110" i="3"/>
  <c r="Q77" i="3"/>
  <c r="Q106" i="3"/>
  <c r="Q92" i="3"/>
  <c r="Q85" i="3"/>
  <c r="Q105" i="3"/>
  <c r="Q89" i="3"/>
  <c r="Q95" i="3"/>
  <c r="Q82" i="3"/>
  <c r="Q116" i="3"/>
  <c r="Q78" i="3"/>
  <c r="Q111" i="3"/>
  <c r="Q79" i="3"/>
  <c r="Q93" i="3"/>
  <c r="Q80" i="3"/>
  <c r="Q115" i="3"/>
  <c r="Q109" i="3"/>
  <c r="Q99" i="3"/>
  <c r="Q108" i="3"/>
  <c r="Q98" i="3"/>
  <c r="Q96" i="3"/>
  <c r="Q104" i="3"/>
  <c r="Q74" i="3"/>
  <c r="Q120" i="3"/>
  <c r="Q86" i="3"/>
  <c r="Q103" i="3"/>
  <c r="Q102" i="3"/>
  <c r="Q107" i="3"/>
  <c r="Q100" i="3"/>
  <c r="Q90" i="3"/>
  <c r="Q118" i="3"/>
  <c r="Q113" i="3"/>
  <c r="Q114" i="3"/>
  <c r="Q117" i="3"/>
  <c r="O106" i="3"/>
  <c r="O91" i="3"/>
  <c r="O95" i="3"/>
  <c r="O80" i="3"/>
  <c r="O113" i="3"/>
  <c r="O101" i="3"/>
  <c r="O102" i="3"/>
  <c r="O82" i="3"/>
  <c r="O94" i="3"/>
  <c r="O110" i="3"/>
  <c r="O105" i="3"/>
  <c r="O119" i="3"/>
  <c r="O78" i="3"/>
  <c r="O75" i="3"/>
  <c r="O84" i="3"/>
  <c r="O118" i="3"/>
  <c r="O77" i="3"/>
  <c r="O83" i="3"/>
  <c r="O121" i="3"/>
  <c r="O89" i="3"/>
  <c r="O81" i="3"/>
  <c r="O116" i="3"/>
  <c r="O76" i="3"/>
  <c r="O109" i="3"/>
  <c r="O115" i="3"/>
  <c r="O120" i="3"/>
  <c r="O90" i="3"/>
  <c r="O85" i="3"/>
  <c r="O103" i="3"/>
  <c r="O92" i="3"/>
  <c r="O88" i="3"/>
  <c r="O73" i="3"/>
  <c r="O111" i="3"/>
  <c r="O100" i="3"/>
  <c r="O107" i="3"/>
  <c r="O74" i="3"/>
  <c r="O99" i="3"/>
  <c r="O93" i="3"/>
  <c r="O97" i="3"/>
  <c r="O114" i="3"/>
  <c r="O87" i="3"/>
  <c r="O104" i="3"/>
  <c r="O112" i="3"/>
  <c r="O108" i="3"/>
  <c r="O117" i="3"/>
  <c r="O96" i="3"/>
  <c r="O79" i="3"/>
  <c r="O98" i="3"/>
  <c r="O86" i="3"/>
  <c r="K79" i="3"/>
  <c r="K96" i="3"/>
  <c r="K115" i="3"/>
  <c r="K75" i="3"/>
  <c r="K109" i="3"/>
  <c r="K80" i="3"/>
  <c r="K108" i="3"/>
  <c r="K120" i="3"/>
  <c r="K92" i="3"/>
  <c r="K101" i="3"/>
  <c r="K102" i="3"/>
  <c r="K76" i="3"/>
  <c r="K85" i="3"/>
  <c r="K81" i="3"/>
  <c r="K74" i="3"/>
  <c r="K83" i="3"/>
  <c r="K82" i="3"/>
  <c r="K94" i="3"/>
  <c r="K111" i="3"/>
  <c r="K107" i="3"/>
  <c r="K78" i="3"/>
  <c r="K121" i="3"/>
  <c r="K99" i="3"/>
  <c r="K117" i="3"/>
  <c r="K104" i="3"/>
  <c r="K93" i="3"/>
  <c r="K113" i="3"/>
  <c r="K110" i="3"/>
  <c r="K97" i="3"/>
  <c r="K103" i="3"/>
  <c r="K84" i="3"/>
  <c r="K106" i="3"/>
  <c r="K91" i="3"/>
  <c r="K90" i="3"/>
  <c r="K114" i="3"/>
  <c r="K119" i="3"/>
  <c r="K89" i="3"/>
  <c r="K118" i="3"/>
  <c r="K105" i="3"/>
  <c r="G103" i="3"/>
  <c r="G121" i="3"/>
  <c r="G115" i="3"/>
  <c r="G85" i="3"/>
  <c r="G73" i="3"/>
  <c r="G84" i="3"/>
  <c r="G106" i="3"/>
  <c r="G99" i="3"/>
  <c r="G108" i="3"/>
  <c r="G91" i="3"/>
  <c r="G83" i="3"/>
  <c r="G116" i="3"/>
  <c r="G119" i="3"/>
  <c r="G105" i="3"/>
  <c r="G109" i="3"/>
  <c r="G79" i="3"/>
  <c r="G107" i="3"/>
  <c r="G95" i="3"/>
  <c r="G88" i="3"/>
  <c r="G87" i="3"/>
  <c r="G120" i="3"/>
  <c r="G110" i="3"/>
  <c r="G74" i="3"/>
  <c r="G90" i="3"/>
  <c r="G77" i="3"/>
  <c r="G94" i="3"/>
  <c r="G98" i="3"/>
  <c r="G81" i="3"/>
  <c r="G117" i="3"/>
  <c r="G89" i="3"/>
  <c r="G118" i="3"/>
  <c r="G76" i="3"/>
  <c r="G80" i="3"/>
  <c r="G113" i="3"/>
  <c r="G93" i="3"/>
  <c r="G102" i="3"/>
  <c r="G101" i="3"/>
  <c r="G86" i="3"/>
  <c r="G114" i="3"/>
  <c r="G112" i="3"/>
  <c r="G75" i="3"/>
  <c r="G96" i="3"/>
  <c r="G82" i="3"/>
  <c r="G111" i="3"/>
  <c r="G78" i="3"/>
  <c r="G92" i="3"/>
  <c r="G97" i="3"/>
  <c r="G100" i="3"/>
  <c r="G104" i="3"/>
  <c r="I115" i="3"/>
  <c r="I86" i="3"/>
  <c r="I94" i="3"/>
  <c r="I116" i="3"/>
  <c r="I121" i="3"/>
  <c r="I87" i="3"/>
  <c r="I120" i="3"/>
  <c r="I73" i="3"/>
  <c r="I113" i="3"/>
  <c r="I88" i="3"/>
  <c r="I83" i="3"/>
  <c r="I81" i="3"/>
  <c r="I98" i="3"/>
  <c r="I106" i="3"/>
  <c r="I105" i="3"/>
  <c r="I119" i="3"/>
  <c r="I104" i="3"/>
  <c r="I92" i="3"/>
  <c r="I108" i="3"/>
  <c r="I99" i="3"/>
  <c r="I107" i="3"/>
  <c r="I80" i="3"/>
  <c r="I118" i="3"/>
  <c r="I111" i="3"/>
  <c r="I110" i="3"/>
  <c r="I114" i="3"/>
  <c r="I79" i="3"/>
  <c r="I96" i="3"/>
  <c r="I85" i="3"/>
  <c r="I77" i="3"/>
  <c r="I117" i="3"/>
  <c r="I84" i="3"/>
  <c r="I78" i="3"/>
  <c r="I76" i="3"/>
  <c r="I91" i="3"/>
  <c r="I100" i="3"/>
  <c r="I95" i="3"/>
  <c r="I74" i="3"/>
  <c r="I103" i="3"/>
  <c r="I75" i="3"/>
  <c r="N9" i="3"/>
  <c r="H7" i="3"/>
  <c r="R34" i="3"/>
  <c r="R39" i="3"/>
  <c r="R4" i="3"/>
  <c r="R9" i="3"/>
  <c r="R19" i="3"/>
  <c r="R30" i="3"/>
  <c r="N5" i="3"/>
  <c r="R52" i="3"/>
  <c r="P6" i="3"/>
  <c r="R7" i="3"/>
  <c r="R11" i="3"/>
  <c r="R48" i="3"/>
  <c r="R27" i="3"/>
  <c r="H5" i="3"/>
  <c r="N8" i="3"/>
  <c r="R51" i="3"/>
  <c r="H9" i="3"/>
  <c r="R33" i="3"/>
  <c r="R43" i="3"/>
  <c r="N53" i="2" l="1"/>
  <c r="F53" i="2"/>
  <c r="J53" i="2"/>
  <c r="R53" i="2"/>
  <c r="N2" i="2"/>
  <c r="F2" i="2"/>
  <c r="J2" i="2"/>
  <c r="R2" i="2"/>
  <c r="R43" i="2"/>
  <c r="R33" i="2"/>
  <c r="H9" i="2"/>
  <c r="R51" i="2"/>
  <c r="N8" i="2"/>
  <c r="H5" i="2"/>
  <c r="R27" i="2"/>
  <c r="R48" i="2"/>
  <c r="R11" i="2"/>
  <c r="R7" i="2"/>
  <c r="P6" i="2"/>
  <c r="R52" i="2"/>
  <c r="N5" i="2"/>
  <c r="R30" i="2"/>
  <c r="R19" i="2"/>
  <c r="R9" i="2"/>
  <c r="R4" i="2"/>
  <c r="R39" i="2"/>
  <c r="R34" i="2"/>
  <c r="H7" i="2"/>
  <c r="N9" i="2"/>
  <c r="K50" i="3"/>
  <c r="K12" i="3"/>
  <c r="L8" i="3"/>
  <c r="K39" i="3"/>
  <c r="P8" i="3"/>
  <c r="K9" i="3"/>
  <c r="F12" i="3"/>
  <c r="N46" i="3"/>
  <c r="N47" i="3"/>
  <c r="H14" i="3"/>
  <c r="O20" i="3"/>
  <c r="O52" i="3"/>
  <c r="J7" i="3"/>
  <c r="J34" i="3"/>
  <c r="F46" i="3"/>
  <c r="R35" i="3"/>
  <c r="L46" i="3"/>
  <c r="F8" i="3"/>
  <c r="P51" i="3"/>
  <c r="F31" i="3"/>
  <c r="P17" i="3"/>
  <c r="N48" i="3"/>
  <c r="H15" i="3"/>
  <c r="O31" i="3"/>
  <c r="O27" i="3"/>
  <c r="F39" i="3"/>
  <c r="J30" i="3"/>
  <c r="F14" i="3"/>
  <c r="R6" i="3"/>
  <c r="R46" i="3"/>
  <c r="L23" i="3"/>
  <c r="L35" i="3"/>
  <c r="R25" i="3"/>
  <c r="P23" i="3"/>
  <c r="P34" i="3"/>
  <c r="F25" i="3"/>
  <c r="F50" i="3"/>
  <c r="N26" i="3"/>
  <c r="N22" i="3"/>
  <c r="N24" i="3"/>
  <c r="H12" i="3"/>
  <c r="H24" i="3"/>
  <c r="H38" i="3"/>
  <c r="O36" i="3"/>
  <c r="O39" i="3"/>
  <c r="O13" i="3"/>
  <c r="L40" i="3"/>
  <c r="J8" i="3"/>
  <c r="J51" i="3"/>
  <c r="J12" i="3"/>
  <c r="R15" i="3"/>
  <c r="L17" i="3"/>
  <c r="L29" i="3"/>
  <c r="P10" i="3"/>
  <c r="K25" i="3"/>
  <c r="F28" i="3"/>
  <c r="N19" i="3"/>
  <c r="N45" i="3"/>
  <c r="H45" i="3"/>
  <c r="O4" i="3"/>
  <c r="O42" i="3"/>
  <c r="J48" i="3"/>
  <c r="J41" i="3"/>
  <c r="K16" i="3"/>
  <c r="R41" i="3"/>
  <c r="L52" i="3"/>
  <c r="F5" i="3"/>
  <c r="K31" i="3"/>
  <c r="F17" i="3"/>
  <c r="N17" i="3"/>
  <c r="N20" i="3"/>
  <c r="H49" i="3"/>
  <c r="O10" i="3"/>
  <c r="O9" i="3"/>
  <c r="J5" i="3"/>
  <c r="J44" i="3"/>
  <c r="P19" i="3"/>
  <c r="R36" i="3"/>
  <c r="R28" i="3"/>
  <c r="L15" i="3"/>
  <c r="L30" i="3"/>
  <c r="R13" i="3"/>
  <c r="P50" i="3"/>
  <c r="P43" i="3"/>
  <c r="F51" i="3"/>
  <c r="P13" i="3"/>
  <c r="N42" i="3"/>
  <c r="N51" i="3"/>
  <c r="N44" i="3"/>
  <c r="H48" i="3"/>
  <c r="H40" i="3"/>
  <c r="H35" i="3"/>
  <c r="O12" i="3"/>
  <c r="O11" i="3"/>
  <c r="O33" i="3"/>
  <c r="F27" i="3"/>
  <c r="J29" i="3"/>
  <c r="J6" i="3"/>
  <c r="J32" i="3"/>
  <c r="G11" i="3"/>
  <c r="R42" i="3"/>
  <c r="L28" i="3"/>
  <c r="F22" i="3"/>
  <c r="P26" i="3"/>
  <c r="K37" i="3"/>
  <c r="F43" i="3"/>
  <c r="N33" i="3"/>
  <c r="H21" i="3"/>
  <c r="H44" i="3"/>
  <c r="O48" i="3"/>
  <c r="L24" i="3"/>
  <c r="J43" i="3"/>
  <c r="F21" i="3"/>
  <c r="R38" i="3"/>
  <c r="L47" i="3"/>
  <c r="P31" i="3"/>
  <c r="K49" i="3"/>
  <c r="F42" i="3"/>
  <c r="N25" i="3"/>
  <c r="N36" i="3"/>
  <c r="H32" i="3"/>
  <c r="O26" i="3"/>
  <c r="O25" i="3"/>
  <c r="J18" i="3"/>
  <c r="J24" i="3"/>
  <c r="F10" i="3"/>
  <c r="R23" i="3"/>
  <c r="R45" i="3"/>
  <c r="L33" i="3"/>
  <c r="L51" i="3"/>
  <c r="L21" i="3"/>
  <c r="P33" i="3"/>
  <c r="P45" i="3"/>
  <c r="F47" i="3"/>
  <c r="F49" i="3"/>
  <c r="N40" i="3"/>
  <c r="N38" i="3"/>
  <c r="N39" i="3"/>
  <c r="H37" i="3"/>
  <c r="H34" i="3"/>
  <c r="H52" i="3"/>
  <c r="O8" i="3"/>
  <c r="O7" i="3"/>
  <c r="O29" i="3"/>
  <c r="L38" i="3"/>
  <c r="J21" i="3"/>
  <c r="J46" i="3"/>
  <c r="J28" i="3"/>
  <c r="P41" i="3"/>
  <c r="R16" i="3"/>
  <c r="L41" i="3"/>
  <c r="F15" i="3"/>
  <c r="P40" i="3"/>
  <c r="K48" i="3"/>
  <c r="F41" i="3"/>
  <c r="N30" i="3"/>
  <c r="H28" i="3"/>
  <c r="H30" i="3"/>
  <c r="O44" i="3"/>
  <c r="L11" i="3"/>
  <c r="J25" i="3"/>
  <c r="L7" i="3"/>
  <c r="L9" i="3"/>
  <c r="K27" i="3"/>
  <c r="P38" i="3"/>
  <c r="K13" i="3"/>
  <c r="F16" i="3"/>
  <c r="N4" i="3"/>
  <c r="N50" i="3"/>
  <c r="H4" i="3"/>
  <c r="O5" i="3"/>
  <c r="O51" i="3"/>
  <c r="J9" i="3"/>
  <c r="J42" i="3"/>
  <c r="R44" i="3"/>
  <c r="F13" i="3"/>
  <c r="R10" i="3"/>
  <c r="R50" i="3"/>
  <c r="L25" i="3"/>
  <c r="L39" i="3"/>
  <c r="P5" i="3"/>
  <c r="P22" i="3"/>
  <c r="F23" i="3"/>
  <c r="F24" i="3"/>
  <c r="P49" i="3"/>
  <c r="N15" i="3"/>
  <c r="N29" i="3"/>
  <c r="N41" i="3"/>
  <c r="H50" i="3"/>
  <c r="H10" i="3"/>
  <c r="H51" i="3"/>
  <c r="O41" i="3"/>
  <c r="O22" i="3"/>
  <c r="O38" i="3"/>
  <c r="F11" i="3"/>
  <c r="J31" i="3"/>
  <c r="J22" i="3"/>
  <c r="J37" i="3"/>
  <c r="L50" i="3"/>
  <c r="R31" i="3"/>
  <c r="L18" i="3"/>
  <c r="L13" i="3"/>
  <c r="P52" i="3"/>
  <c r="K42" i="3"/>
  <c r="P15" i="3"/>
  <c r="N6" i="3"/>
  <c r="H6" i="3"/>
  <c r="L44" i="3"/>
  <c r="O14" i="3"/>
  <c r="F29" i="3"/>
  <c r="J11" i="3"/>
  <c r="P11" i="3"/>
  <c r="L42" i="3"/>
  <c r="R21" i="3"/>
  <c r="P14" i="3"/>
  <c r="K29" i="3"/>
  <c r="F32" i="3"/>
  <c r="N10" i="3"/>
  <c r="N49" i="3"/>
  <c r="H18" i="3"/>
  <c r="O35" i="3"/>
  <c r="O46" i="3"/>
  <c r="J4" i="3"/>
  <c r="J45" i="3"/>
  <c r="L45" i="3"/>
  <c r="F7" i="3"/>
  <c r="R40" i="3"/>
  <c r="L48" i="3"/>
  <c r="L10" i="3"/>
  <c r="P46" i="3"/>
  <c r="R17" i="3"/>
  <c r="P44" i="3"/>
  <c r="P39" i="3"/>
  <c r="F20" i="3"/>
  <c r="P27" i="3"/>
  <c r="N11" i="3"/>
  <c r="N21" i="3"/>
  <c r="N37" i="3"/>
  <c r="H25" i="3"/>
  <c r="H8" i="3"/>
  <c r="H47" i="3"/>
  <c r="O23" i="3"/>
  <c r="O19" i="3"/>
  <c r="O34" i="3"/>
  <c r="F44" i="3"/>
  <c r="J17" i="3"/>
  <c r="J19" i="3"/>
  <c r="J50" i="3"/>
  <c r="F18" i="3"/>
  <c r="R32" i="3"/>
  <c r="L49" i="3"/>
  <c r="K8" i="3"/>
  <c r="P47" i="3"/>
  <c r="F26" i="3"/>
  <c r="P9" i="3"/>
  <c r="N43" i="3"/>
  <c r="H11" i="3"/>
  <c r="H39" i="3"/>
  <c r="O24" i="3"/>
  <c r="F19" i="3"/>
  <c r="J27" i="3"/>
  <c r="R18" i="3"/>
  <c r="L31" i="3"/>
  <c r="K18" i="3"/>
  <c r="P30" i="3"/>
  <c r="K40" i="3"/>
  <c r="F48" i="3"/>
  <c r="N35" i="3"/>
  <c r="H33" i="3"/>
  <c r="H36" i="3"/>
  <c r="O6" i="3"/>
  <c r="L34" i="3"/>
  <c r="J47" i="3"/>
  <c r="P32" i="3"/>
  <c r="R8" i="3"/>
  <c r="R26" i="3"/>
  <c r="R49" i="3"/>
  <c r="L36" i="3"/>
  <c r="P20" i="3"/>
  <c r="P25" i="3"/>
  <c r="P37" i="3"/>
  <c r="F6" i="3"/>
  <c r="F40" i="3"/>
  <c r="P36" i="3"/>
  <c r="N31" i="3"/>
  <c r="N12" i="3"/>
  <c r="H17" i="3"/>
  <c r="H23" i="3"/>
  <c r="H26" i="3"/>
  <c r="O18" i="3"/>
  <c r="O37" i="3"/>
  <c r="O32" i="3"/>
  <c r="L16" i="3"/>
  <c r="J23" i="3"/>
  <c r="J36" i="3"/>
  <c r="J39" i="3"/>
  <c r="P29" i="3"/>
  <c r="R37" i="3"/>
  <c r="L43" i="3"/>
  <c r="K5" i="3"/>
  <c r="K28" i="3"/>
  <c r="F9" i="3"/>
  <c r="N14" i="3"/>
  <c r="N16" i="3"/>
  <c r="H42" i="3"/>
  <c r="O47" i="3"/>
  <c r="O21" i="3"/>
  <c r="J38" i="3"/>
  <c r="J40" i="3"/>
  <c r="R47" i="3"/>
  <c r="L20" i="3"/>
  <c r="R14" i="3"/>
  <c r="P42" i="3"/>
  <c r="K51" i="3"/>
  <c r="F45" i="3"/>
  <c r="N34" i="3"/>
  <c r="H31" i="3"/>
  <c r="H46" i="3"/>
  <c r="O45" i="3"/>
  <c r="L19" i="3"/>
  <c r="J33" i="3"/>
  <c r="F34" i="3"/>
  <c r="R29" i="3"/>
  <c r="R24" i="3"/>
  <c r="L12" i="3"/>
  <c r="L26" i="3"/>
  <c r="L32" i="3"/>
  <c r="P7" i="3"/>
  <c r="P18" i="3"/>
  <c r="F38" i="3"/>
  <c r="F35" i="3"/>
  <c r="P24" i="3"/>
  <c r="N18" i="3"/>
  <c r="N52" i="3"/>
  <c r="H13" i="3"/>
  <c r="H19" i="3"/>
  <c r="H22" i="3"/>
  <c r="F4" i="3"/>
  <c r="O15" i="3"/>
  <c r="O30" i="3"/>
  <c r="O50" i="3"/>
  <c r="J15" i="3"/>
  <c r="J26" i="3"/>
  <c r="J35" i="3"/>
  <c r="J49" i="3"/>
  <c r="L5" i="3"/>
  <c r="L37" i="3"/>
  <c r="F52" i="3"/>
  <c r="P28" i="3"/>
  <c r="K47" i="3"/>
  <c r="F36" i="3"/>
  <c r="N23" i="3"/>
  <c r="N32" i="3"/>
  <c r="H29" i="3"/>
  <c r="O28" i="3"/>
  <c r="O49" i="3"/>
  <c r="J13" i="3"/>
  <c r="J20" i="3"/>
  <c r="L27" i="3"/>
  <c r="R20" i="3"/>
  <c r="L22" i="3"/>
  <c r="P12" i="3"/>
  <c r="P35" i="3"/>
  <c r="K46" i="3"/>
  <c r="P21" i="3"/>
  <c r="N13" i="3"/>
  <c r="H16" i="3"/>
  <c r="H43" i="3"/>
  <c r="O16" i="3"/>
  <c r="F30" i="3"/>
  <c r="J14" i="3"/>
  <c r="R22" i="3"/>
  <c r="R5" i="3"/>
  <c r="R12" i="3"/>
  <c r="L4" i="3"/>
  <c r="L14" i="3"/>
  <c r="P16" i="3"/>
  <c r="P4" i="3"/>
  <c r="P48" i="3"/>
  <c r="F33" i="3"/>
  <c r="F37" i="3"/>
  <c r="N7" i="3"/>
  <c r="N27" i="3"/>
  <c r="N28" i="3"/>
  <c r="H20" i="3"/>
  <c r="H27" i="3"/>
  <c r="H41" i="3"/>
  <c r="O43" i="3"/>
  <c r="O40" i="3"/>
  <c r="O17" i="3"/>
  <c r="L6" i="3"/>
  <c r="J10" i="3"/>
  <c r="J52" i="3"/>
  <c r="J16" i="3"/>
  <c r="J16" i="2" l="1"/>
  <c r="J52" i="2"/>
  <c r="J10" i="2"/>
  <c r="L6" i="2"/>
  <c r="O17" i="2"/>
  <c r="O40" i="2"/>
  <c r="O43" i="2"/>
  <c r="H41" i="2"/>
  <c r="H27" i="2"/>
  <c r="H20" i="2"/>
  <c r="N28" i="2"/>
  <c r="N27" i="2"/>
  <c r="N7" i="2"/>
  <c r="F37" i="2"/>
  <c r="F33" i="2"/>
  <c r="P48" i="2"/>
  <c r="P4" i="2"/>
  <c r="P3" i="3"/>
  <c r="P3" i="2" s="1"/>
  <c r="P16" i="2"/>
  <c r="L14" i="2"/>
  <c r="L4" i="2"/>
  <c r="L3" i="3"/>
  <c r="L3" i="2" s="1"/>
  <c r="R12" i="2"/>
  <c r="R5" i="2"/>
  <c r="R3" i="3"/>
  <c r="R3" i="2" s="1"/>
  <c r="R22" i="2"/>
  <c r="J14" i="2"/>
  <c r="F30" i="2"/>
  <c r="O16" i="2"/>
  <c r="H43" i="2"/>
  <c r="H16" i="2"/>
  <c r="N13" i="2"/>
  <c r="P21" i="2"/>
  <c r="K46" i="2"/>
  <c r="P35" i="2"/>
  <c r="P12" i="2"/>
  <c r="L22" i="2"/>
  <c r="R20" i="2"/>
  <c r="L27" i="2"/>
  <c r="J20" i="2"/>
  <c r="J13" i="2"/>
  <c r="O49" i="2"/>
  <c r="O28" i="2"/>
  <c r="H29" i="2"/>
  <c r="N32" i="2"/>
  <c r="N23" i="2"/>
  <c r="F36" i="2"/>
  <c r="K47" i="2"/>
  <c r="P28" i="2"/>
  <c r="F52" i="2"/>
  <c r="L37" i="2"/>
  <c r="L5" i="2"/>
  <c r="J49" i="2"/>
  <c r="J35" i="2"/>
  <c r="J26" i="2"/>
  <c r="J15" i="2"/>
  <c r="O50" i="2"/>
  <c r="O30" i="2"/>
  <c r="O15" i="2"/>
  <c r="F3" i="3"/>
  <c r="F3" i="2" s="1"/>
  <c r="F4" i="2"/>
  <c r="H22" i="2"/>
  <c r="H19" i="2"/>
  <c r="H13" i="2"/>
  <c r="N52" i="2"/>
  <c r="N18" i="2"/>
  <c r="P24" i="2"/>
  <c r="F35" i="2"/>
  <c r="F38" i="2"/>
  <c r="P18" i="2"/>
  <c r="P7" i="2"/>
  <c r="L32" i="2"/>
  <c r="L26" i="2"/>
  <c r="L12" i="2"/>
  <c r="R24" i="2"/>
  <c r="R29" i="2"/>
  <c r="F34" i="2"/>
  <c r="J33" i="2"/>
  <c r="L19" i="2"/>
  <c r="O45" i="2"/>
  <c r="H46" i="2"/>
  <c r="H31" i="2"/>
  <c r="N34" i="2"/>
  <c r="F45" i="2"/>
  <c r="K51" i="2"/>
  <c r="P42" i="2"/>
  <c r="R14" i="2"/>
  <c r="L20" i="2"/>
  <c r="R47" i="2"/>
  <c r="J40" i="2"/>
  <c r="J38" i="2"/>
  <c r="O21" i="2"/>
  <c r="O47" i="2"/>
  <c r="H42" i="2"/>
  <c r="N16" i="2"/>
  <c r="N14" i="2"/>
  <c r="F9" i="2"/>
  <c r="K28" i="2"/>
  <c r="K5" i="2"/>
  <c r="L43" i="2"/>
  <c r="R37" i="2"/>
  <c r="P29" i="2"/>
  <c r="J39" i="2"/>
  <c r="J36" i="2"/>
  <c r="J23" i="2"/>
  <c r="L16" i="2"/>
  <c r="O32" i="2"/>
  <c r="O37" i="2"/>
  <c r="O18" i="2"/>
  <c r="H26" i="2"/>
  <c r="H23" i="2"/>
  <c r="H17" i="2"/>
  <c r="N12" i="2"/>
  <c r="N31" i="2"/>
  <c r="P36" i="2"/>
  <c r="F40" i="2"/>
  <c r="F6" i="2"/>
  <c r="P37" i="2"/>
  <c r="P25" i="2"/>
  <c r="P20" i="2"/>
  <c r="L36" i="2"/>
  <c r="R49" i="2"/>
  <c r="R26" i="2"/>
  <c r="R8" i="2"/>
  <c r="P32" i="2"/>
  <c r="J47" i="2"/>
  <c r="L34" i="2"/>
  <c r="O6" i="2"/>
  <c r="H36" i="2"/>
  <c r="H33" i="2"/>
  <c r="N35" i="2"/>
  <c r="F48" i="2"/>
  <c r="K40" i="2"/>
  <c r="P30" i="2"/>
  <c r="K18" i="2"/>
  <c r="L31" i="2"/>
  <c r="R18" i="2"/>
  <c r="J27" i="2"/>
  <c r="F19" i="2"/>
  <c r="O24" i="2"/>
  <c r="H39" i="2"/>
  <c r="H11" i="2"/>
  <c r="N43" i="2"/>
  <c r="P9" i="2"/>
  <c r="F26" i="2"/>
  <c r="P47" i="2"/>
  <c r="K8" i="2"/>
  <c r="L49" i="2"/>
  <c r="R32" i="2"/>
  <c r="F18" i="2"/>
  <c r="J50" i="2"/>
  <c r="J19" i="2"/>
  <c r="J17" i="2"/>
  <c r="F44" i="2"/>
  <c r="O34" i="2"/>
  <c r="O19" i="2"/>
  <c r="O23" i="2"/>
  <c r="H47" i="2"/>
  <c r="H8" i="2"/>
  <c r="H25" i="2"/>
  <c r="N37" i="2"/>
  <c r="N21" i="2"/>
  <c r="N11" i="2"/>
  <c r="P27" i="2"/>
  <c r="F20" i="2"/>
  <c r="P39" i="2"/>
  <c r="P44" i="2"/>
  <c r="R17" i="2"/>
  <c r="P46" i="2"/>
  <c r="L10" i="2"/>
  <c r="L48" i="2"/>
  <c r="R40" i="2"/>
  <c r="F7" i="2"/>
  <c r="L45" i="2"/>
  <c r="J45" i="2"/>
  <c r="J3" i="3"/>
  <c r="J3" i="2" s="1"/>
  <c r="J4" i="2"/>
  <c r="O46" i="2"/>
  <c r="O35" i="2"/>
  <c r="H18" i="2"/>
  <c r="N49" i="2"/>
  <c r="N10" i="2"/>
  <c r="F32" i="2"/>
  <c r="K29" i="2"/>
  <c r="P14" i="2"/>
  <c r="R21" i="2"/>
  <c r="L42" i="2"/>
  <c r="P11" i="2"/>
  <c r="J11" i="2"/>
  <c r="F29" i="2"/>
  <c r="O14" i="2"/>
  <c r="L44" i="2"/>
  <c r="H6" i="2"/>
  <c r="N6" i="2"/>
  <c r="P15" i="2"/>
  <c r="K42" i="2"/>
  <c r="P52" i="2"/>
  <c r="L13" i="2"/>
  <c r="L18" i="2"/>
  <c r="R31" i="2"/>
  <c r="L50" i="2"/>
  <c r="J37" i="2"/>
  <c r="J22" i="2"/>
  <c r="J31" i="2"/>
  <c r="F11" i="2"/>
  <c r="O38" i="2"/>
  <c r="O22" i="2"/>
  <c r="O41" i="2"/>
  <c r="H51" i="2"/>
  <c r="H10" i="2"/>
  <c r="H50" i="2"/>
  <c r="N41" i="2"/>
  <c r="N29" i="2"/>
  <c r="N15" i="2"/>
  <c r="P49" i="2"/>
  <c r="F24" i="2"/>
  <c r="F23" i="2"/>
  <c r="P22" i="2"/>
  <c r="P5" i="2"/>
  <c r="L39" i="2"/>
  <c r="L25" i="2"/>
  <c r="R50" i="2"/>
  <c r="R10" i="2"/>
  <c r="F13" i="2"/>
  <c r="R44" i="2"/>
  <c r="J42" i="2"/>
  <c r="J9" i="2"/>
  <c r="O51" i="2"/>
  <c r="O5" i="2"/>
  <c r="H4" i="2"/>
  <c r="H3" i="3"/>
  <c r="H3" i="2" s="1"/>
  <c r="N50" i="2"/>
  <c r="N3" i="3"/>
  <c r="N3" i="2" s="1"/>
  <c r="N4" i="2"/>
  <c r="F16" i="2"/>
  <c r="K13" i="2"/>
  <c r="P38" i="2"/>
  <c r="K27" i="2"/>
  <c r="L9" i="2"/>
  <c r="L7" i="2"/>
  <c r="J25" i="2"/>
  <c r="L11" i="2"/>
  <c r="O44" i="2"/>
  <c r="H30" i="2"/>
  <c r="H28" i="2"/>
  <c r="N30" i="2"/>
  <c r="F41" i="2"/>
  <c r="K48" i="2"/>
  <c r="P40" i="2"/>
  <c r="F15" i="2"/>
  <c r="L41" i="2"/>
  <c r="R16" i="2"/>
  <c r="P41" i="2"/>
  <c r="J28" i="2"/>
  <c r="J46" i="2"/>
  <c r="J21" i="2"/>
  <c r="L38" i="2"/>
  <c r="O29" i="2"/>
  <c r="O7" i="2"/>
  <c r="O8" i="2"/>
  <c r="H52" i="2"/>
  <c r="H34" i="2"/>
  <c r="H37" i="2"/>
  <c r="N39" i="2"/>
  <c r="N38" i="2"/>
  <c r="N40" i="2"/>
  <c r="F49" i="2"/>
  <c r="F47" i="2"/>
  <c r="P45" i="2"/>
  <c r="P33" i="2"/>
  <c r="L21" i="2"/>
  <c r="L51" i="2"/>
  <c r="L33" i="2"/>
  <c r="R45" i="2"/>
  <c r="R23" i="2"/>
  <c r="F10" i="2"/>
  <c r="J24" i="2"/>
  <c r="J18" i="2"/>
  <c r="O25" i="2"/>
  <c r="O26" i="2"/>
  <c r="H32" i="2"/>
  <c r="N36" i="2"/>
  <c r="N25" i="2"/>
  <c r="F42" i="2"/>
  <c r="K49" i="2"/>
  <c r="P31" i="2"/>
  <c r="L47" i="2"/>
  <c r="R38" i="2"/>
  <c r="F21" i="2"/>
  <c r="J43" i="2"/>
  <c r="L24" i="2"/>
  <c r="O48" i="2"/>
  <c r="H44" i="2"/>
  <c r="H21" i="2"/>
  <c r="N33" i="2"/>
  <c r="F43" i="2"/>
  <c r="K37" i="2"/>
  <c r="P26" i="2"/>
  <c r="F22" i="2"/>
  <c r="L28" i="2"/>
  <c r="R42" i="2"/>
  <c r="G11" i="2"/>
  <c r="J32" i="2"/>
  <c r="J6" i="2"/>
  <c r="J29" i="2"/>
  <c r="F27" i="2"/>
  <c r="O33" i="2"/>
  <c r="O11" i="2"/>
  <c r="O12" i="2"/>
  <c r="H35" i="2"/>
  <c r="H40" i="2"/>
  <c r="H48" i="2"/>
  <c r="N44" i="2"/>
  <c r="N51" i="2"/>
  <c r="N42" i="2"/>
  <c r="P13" i="2"/>
  <c r="F51" i="2"/>
  <c r="P43" i="2"/>
  <c r="P50" i="2"/>
  <c r="R13" i="2"/>
  <c r="L30" i="2"/>
  <c r="L15" i="2"/>
  <c r="R28" i="2"/>
  <c r="R36" i="2"/>
  <c r="P19" i="2"/>
  <c r="J44" i="2"/>
  <c r="J5" i="2"/>
  <c r="O9" i="2"/>
  <c r="O10" i="2"/>
  <c r="H49" i="2"/>
  <c r="N20" i="2"/>
  <c r="N17" i="2"/>
  <c r="F17" i="2"/>
  <c r="K31" i="2"/>
  <c r="F5" i="2"/>
  <c r="L52" i="2"/>
  <c r="R41" i="2"/>
  <c r="K16" i="2"/>
  <c r="J41" i="2"/>
  <c r="J48" i="2"/>
  <c r="O42" i="2"/>
  <c r="O3" i="3"/>
  <c r="O3" i="2" s="1"/>
  <c r="O4" i="2"/>
  <c r="H45" i="2"/>
  <c r="N45" i="2"/>
  <c r="N19" i="2"/>
  <c r="F28" i="2"/>
  <c r="K25" i="2"/>
  <c r="P10" i="2"/>
  <c r="L29" i="2"/>
  <c r="L17" i="2"/>
  <c r="R15" i="2"/>
  <c r="J12" i="2"/>
  <c r="J51" i="2"/>
  <c r="J8" i="2"/>
  <c r="L40" i="2"/>
  <c r="O13" i="2"/>
  <c r="O39" i="2"/>
  <c r="O36" i="2"/>
  <c r="H38" i="2"/>
  <c r="H24" i="2"/>
  <c r="H12" i="2"/>
  <c r="N24" i="2"/>
  <c r="N22" i="2"/>
  <c r="N26" i="2"/>
  <c r="F50" i="2"/>
  <c r="F25" i="2"/>
  <c r="P34" i="2"/>
  <c r="P23" i="2"/>
  <c r="R25" i="2"/>
  <c r="L35" i="2"/>
  <c r="L23" i="2"/>
  <c r="R46" i="2"/>
  <c r="R6" i="2"/>
  <c r="F14" i="2"/>
  <c r="J30" i="2"/>
  <c r="F39" i="2"/>
  <c r="O27" i="2"/>
  <c r="O31" i="2"/>
  <c r="H15" i="2"/>
  <c r="N48" i="2"/>
  <c r="P17" i="2"/>
  <c r="F31" i="2"/>
  <c r="P51" i="2"/>
  <c r="F8" i="2"/>
  <c r="L46" i="2"/>
  <c r="R35" i="2"/>
  <c r="F46" i="2"/>
  <c r="J34" i="2"/>
  <c r="J7" i="2"/>
  <c r="O52" i="2"/>
  <c r="O20" i="2"/>
  <c r="H14" i="2"/>
  <c r="N47" i="2"/>
  <c r="N46" i="2"/>
  <c r="F12" i="2"/>
  <c r="K9" i="2"/>
  <c r="P8" i="2"/>
  <c r="K39" i="2"/>
  <c r="L8" i="2"/>
  <c r="K12" i="2"/>
  <c r="K50" i="2"/>
  <c r="K35" i="3"/>
  <c r="G39" i="3"/>
  <c r="I28" i="3"/>
  <c r="I34" i="3"/>
  <c r="I48" i="3"/>
  <c r="Q4" i="3"/>
  <c r="Q42" i="3"/>
  <c r="Q45" i="3"/>
  <c r="Q52" i="3"/>
  <c r="K33" i="3"/>
  <c r="M4" i="3"/>
  <c r="M21" i="3"/>
  <c r="M11" i="3"/>
  <c r="G36" i="3"/>
  <c r="G37" i="3"/>
  <c r="I12" i="3"/>
  <c r="I24" i="3"/>
  <c r="I36" i="3"/>
  <c r="G28" i="3"/>
  <c r="Q22" i="3"/>
  <c r="Q33" i="3"/>
  <c r="Q40" i="3"/>
  <c r="G35" i="3"/>
  <c r="K20" i="3"/>
  <c r="M13" i="3"/>
  <c r="M37" i="3"/>
  <c r="M44" i="3"/>
  <c r="K7" i="3"/>
  <c r="I8" i="3"/>
  <c r="I43" i="3"/>
  <c r="I45" i="3"/>
  <c r="K6" i="3"/>
  <c r="Q30" i="3"/>
  <c r="Q16" i="3"/>
  <c r="Q11" i="3"/>
  <c r="G43" i="3"/>
  <c r="K52" i="3"/>
  <c r="M20" i="3"/>
  <c r="M30" i="3"/>
  <c r="M19" i="3"/>
  <c r="G52" i="3"/>
  <c r="K45" i="3"/>
  <c r="G12" i="3"/>
  <c r="I26" i="3"/>
  <c r="I32" i="3"/>
  <c r="I44" i="3"/>
  <c r="G5" i="3"/>
  <c r="Q38" i="3"/>
  <c r="Q39" i="3"/>
  <c r="Q48" i="3"/>
  <c r="K43" i="3"/>
  <c r="M7" i="3"/>
  <c r="M17" i="3"/>
  <c r="M47" i="3"/>
  <c r="M52" i="3"/>
  <c r="I14" i="3"/>
  <c r="I31" i="3"/>
  <c r="Q14" i="3"/>
  <c r="Q35" i="3"/>
  <c r="G25" i="3"/>
  <c r="M50" i="3"/>
  <c r="G17" i="3"/>
  <c r="I46" i="3"/>
  <c r="I19" i="3"/>
  <c r="Q6" i="3"/>
  <c r="Q23" i="3"/>
  <c r="K14" i="3"/>
  <c r="M29" i="3"/>
  <c r="G40" i="3"/>
  <c r="I33" i="3"/>
  <c r="I47" i="3"/>
  <c r="Q21" i="3"/>
  <c r="Q20" i="3"/>
  <c r="G16" i="3"/>
  <c r="M35" i="3"/>
  <c r="M49" i="3"/>
  <c r="K30" i="3"/>
  <c r="I30" i="3"/>
  <c r="K15" i="3"/>
  <c r="Q9" i="3"/>
  <c r="G51" i="3"/>
  <c r="M43" i="3"/>
  <c r="G38" i="3"/>
  <c r="I4" i="3"/>
  <c r="I49" i="3"/>
  <c r="Q8" i="3"/>
  <c r="Q36" i="3"/>
  <c r="G10" i="3"/>
  <c r="M26" i="3"/>
  <c r="I17" i="3"/>
  <c r="I5" i="3"/>
  <c r="K44" i="3"/>
  <c r="Q17" i="3"/>
  <c r="G6" i="3"/>
  <c r="M33" i="3"/>
  <c r="M51" i="3"/>
  <c r="Q24" i="3"/>
  <c r="K34" i="3"/>
  <c r="M14" i="3"/>
  <c r="M48" i="3"/>
  <c r="G29" i="3"/>
  <c r="I16" i="3"/>
  <c r="G47" i="3"/>
  <c r="Q25" i="3"/>
  <c r="G27" i="3"/>
  <c r="M18" i="3"/>
  <c r="G22" i="3"/>
  <c r="K26" i="3"/>
  <c r="I42" i="3"/>
  <c r="I6" i="3"/>
  <c r="I15" i="3"/>
  <c r="K4" i="3"/>
  <c r="Q37" i="3"/>
  <c r="Q41" i="3"/>
  <c r="Q19" i="3"/>
  <c r="G44" i="3"/>
  <c r="K23" i="3"/>
  <c r="M45" i="3"/>
  <c r="M24" i="3"/>
  <c r="M27" i="3"/>
  <c r="G18" i="3"/>
  <c r="K21" i="3"/>
  <c r="I10" i="3"/>
  <c r="I37" i="3"/>
  <c r="I38" i="3"/>
  <c r="I52" i="3"/>
  <c r="Q29" i="3"/>
  <c r="Q7" i="3"/>
  <c r="Q51" i="3"/>
  <c r="G33" i="3"/>
  <c r="K17" i="3"/>
  <c r="M12" i="3"/>
  <c r="M28" i="3"/>
  <c r="M15" i="3"/>
  <c r="G42" i="3"/>
  <c r="G24" i="3"/>
  <c r="I7" i="3"/>
  <c r="I22" i="3"/>
  <c r="I23" i="3"/>
  <c r="K22" i="3"/>
  <c r="Q10" i="3"/>
  <c r="Q5" i="3"/>
  <c r="Q27" i="3"/>
  <c r="G14" i="3"/>
  <c r="G46" i="3"/>
  <c r="M22" i="3"/>
  <c r="M32" i="3"/>
  <c r="M38" i="3"/>
  <c r="G19" i="3"/>
  <c r="K41" i="3"/>
  <c r="I18" i="3"/>
  <c r="I51" i="3"/>
  <c r="I11" i="3"/>
  <c r="K11" i="3"/>
  <c r="Q32" i="3"/>
  <c r="Q26" i="3"/>
  <c r="Q15" i="3"/>
  <c r="G26" i="3"/>
  <c r="K36" i="3"/>
  <c r="M25" i="3"/>
  <c r="M39" i="3"/>
  <c r="M23" i="3"/>
  <c r="G48" i="3"/>
  <c r="G45" i="3"/>
  <c r="I35" i="3"/>
  <c r="K32" i="3"/>
  <c r="Q12" i="3"/>
  <c r="G41" i="3"/>
  <c r="M6" i="3"/>
  <c r="M46" i="3"/>
  <c r="K10" i="3"/>
  <c r="I25" i="3"/>
  <c r="K19" i="3"/>
  <c r="Q46" i="3"/>
  <c r="G4" i="3"/>
  <c r="M16" i="3"/>
  <c r="M31" i="3"/>
  <c r="G34" i="3"/>
  <c r="I13" i="3"/>
  <c r="G49" i="3"/>
  <c r="Q50" i="3"/>
  <c r="G31" i="3"/>
  <c r="M10" i="3"/>
  <c r="G8" i="3"/>
  <c r="I9" i="3"/>
  <c r="I27" i="3"/>
  <c r="Q13" i="3"/>
  <c r="Q31" i="3"/>
  <c r="G32" i="3"/>
  <c r="M34" i="3"/>
  <c r="M41" i="3"/>
  <c r="G13" i="3"/>
  <c r="I21" i="3"/>
  <c r="G21" i="3"/>
  <c r="Q28" i="3"/>
  <c r="G30" i="3"/>
  <c r="M9" i="3"/>
  <c r="M40" i="3"/>
  <c r="G50" i="3"/>
  <c r="I39" i="3"/>
  <c r="Q18" i="3"/>
  <c r="Q43" i="3"/>
  <c r="G9" i="3"/>
  <c r="M5" i="3"/>
  <c r="G15" i="3"/>
  <c r="K38" i="3"/>
  <c r="G23" i="3"/>
  <c r="I20" i="3"/>
  <c r="I29" i="3"/>
  <c r="I40" i="3"/>
  <c r="G7" i="3"/>
  <c r="Q34" i="3"/>
  <c r="Q44" i="3"/>
  <c r="K24" i="3"/>
  <c r="M42" i="3"/>
  <c r="I41" i="3"/>
  <c r="I50" i="3"/>
  <c r="Q47" i="3"/>
  <c r="Q49" i="3"/>
  <c r="G20" i="3"/>
  <c r="M8" i="3"/>
  <c r="M36" i="3"/>
  <c r="M36" i="2" l="1"/>
  <c r="M8" i="2"/>
  <c r="G20" i="2"/>
  <c r="Q49" i="2"/>
  <c r="Q47" i="2"/>
  <c r="I50" i="2"/>
  <c r="I41" i="2"/>
  <c r="M42" i="2"/>
  <c r="K24" i="2"/>
  <c r="Q44" i="2"/>
  <c r="Q34" i="2"/>
  <c r="G7" i="2"/>
  <c r="I40" i="2"/>
  <c r="I29" i="2"/>
  <c r="I20" i="2"/>
  <c r="G23" i="2"/>
  <c r="K38" i="2"/>
  <c r="G15" i="2"/>
  <c r="M5" i="2"/>
  <c r="G9" i="2"/>
  <c r="Q43" i="2"/>
  <c r="Q18" i="2"/>
  <c r="I39" i="2"/>
  <c r="G50" i="2"/>
  <c r="M40" i="2"/>
  <c r="M9" i="2"/>
  <c r="G30" i="2"/>
  <c r="Q28" i="2"/>
  <c r="G21" i="2"/>
  <c r="I21" i="2"/>
  <c r="G13" i="2"/>
  <c r="M41" i="2"/>
  <c r="M34" i="2"/>
  <c r="G32" i="2"/>
  <c r="Q31" i="2"/>
  <c r="Q13" i="2"/>
  <c r="I27" i="2"/>
  <c r="I9" i="2"/>
  <c r="G8" i="2"/>
  <c r="M10" i="2"/>
  <c r="G31" i="2"/>
  <c r="Q50" i="2"/>
  <c r="G49" i="2"/>
  <c r="I13" i="2"/>
  <c r="G34" i="2"/>
  <c r="M31" i="2"/>
  <c r="M16" i="2"/>
  <c r="G3" i="3"/>
  <c r="G3" i="2" s="1"/>
  <c r="G4" i="2"/>
  <c r="Q46" i="2"/>
  <c r="K19" i="2"/>
  <c r="I25" i="2"/>
  <c r="K10" i="2"/>
  <c r="M46" i="2"/>
  <c r="M6" i="2"/>
  <c r="G41" i="2"/>
  <c r="Q12" i="2"/>
  <c r="K32" i="2"/>
  <c r="I35" i="2"/>
  <c r="G45" i="2"/>
  <c r="G48" i="2"/>
  <c r="M23" i="2"/>
  <c r="M39" i="2"/>
  <c r="M25" i="2"/>
  <c r="K36" i="2"/>
  <c r="G26" i="2"/>
  <c r="Q15" i="2"/>
  <c r="Q26" i="2"/>
  <c r="Q32" i="2"/>
  <c r="K11" i="2"/>
  <c r="I11" i="2"/>
  <c r="I51" i="2"/>
  <c r="I18" i="2"/>
  <c r="K41" i="2"/>
  <c r="G19" i="2"/>
  <c r="M38" i="2"/>
  <c r="M32" i="2"/>
  <c r="M22" i="2"/>
  <c r="G46" i="2"/>
  <c r="G14" i="2"/>
  <c r="Q27" i="2"/>
  <c r="Q5" i="2"/>
  <c r="Q10" i="2"/>
  <c r="K22" i="2"/>
  <c r="I23" i="2"/>
  <c r="I22" i="2"/>
  <c r="I7" i="2"/>
  <c r="G24" i="2"/>
  <c r="G42" i="2"/>
  <c r="M15" i="2"/>
  <c r="M28" i="2"/>
  <c r="M12" i="2"/>
  <c r="K17" i="2"/>
  <c r="G33" i="2"/>
  <c r="Q51" i="2"/>
  <c r="Q7" i="2"/>
  <c r="Q29" i="2"/>
  <c r="I52" i="2"/>
  <c r="I38" i="2"/>
  <c r="I37" i="2"/>
  <c r="I10" i="2"/>
  <c r="K21" i="2"/>
  <c r="G18" i="2"/>
  <c r="M27" i="2"/>
  <c r="M24" i="2"/>
  <c r="M45" i="2"/>
  <c r="K23" i="2"/>
  <c r="G44" i="2"/>
  <c r="Q19" i="2"/>
  <c r="Q41" i="2"/>
  <c r="Q37" i="2"/>
  <c r="K3" i="3"/>
  <c r="K3" i="2" s="1"/>
  <c r="K4" i="2"/>
  <c r="I15" i="2"/>
  <c r="I6" i="2"/>
  <c r="I42" i="2"/>
  <c r="K26" i="2"/>
  <c r="G22" i="2"/>
  <c r="M18" i="2"/>
  <c r="G27" i="2"/>
  <c r="Q25" i="2"/>
  <c r="G47" i="2"/>
  <c r="I16" i="2"/>
  <c r="G29" i="2"/>
  <c r="M48" i="2"/>
  <c r="M14" i="2"/>
  <c r="K34" i="2"/>
  <c r="Q24" i="2"/>
  <c r="M51" i="2"/>
  <c r="M33" i="2"/>
  <c r="G6" i="2"/>
  <c r="Q17" i="2"/>
  <c r="K44" i="2"/>
  <c r="I5" i="2"/>
  <c r="I17" i="2"/>
  <c r="M26" i="2"/>
  <c r="G10" i="2"/>
  <c r="Q36" i="2"/>
  <c r="Q8" i="2"/>
  <c r="I49" i="2"/>
  <c r="I3" i="3"/>
  <c r="I3" i="2" s="1"/>
  <c r="I4" i="2"/>
  <c r="G38" i="2"/>
  <c r="M43" i="2"/>
  <c r="G51" i="2"/>
  <c r="Q9" i="2"/>
  <c r="K15" i="2"/>
  <c r="I30" i="2"/>
  <c r="K30" i="2"/>
  <c r="M49" i="2"/>
  <c r="M35" i="2"/>
  <c r="G16" i="2"/>
  <c r="Q20" i="2"/>
  <c r="Q21" i="2"/>
  <c r="I47" i="2"/>
  <c r="I33" i="2"/>
  <c r="G40" i="2"/>
  <c r="M29" i="2"/>
  <c r="K14" i="2"/>
  <c r="Q23" i="2"/>
  <c r="Q6" i="2"/>
  <c r="I19" i="2"/>
  <c r="I46" i="2"/>
  <c r="G17" i="2"/>
  <c r="M50" i="2"/>
  <c r="G25" i="2"/>
  <c r="Q35" i="2"/>
  <c r="Q14" i="2"/>
  <c r="I31" i="2"/>
  <c r="I14" i="2"/>
  <c r="M52" i="2"/>
  <c r="M47" i="2"/>
  <c r="M17" i="2"/>
  <c r="M7" i="2"/>
  <c r="K43" i="2"/>
  <c r="Q48" i="2"/>
  <c r="Q39" i="2"/>
  <c r="Q38" i="2"/>
  <c r="G5" i="2"/>
  <c r="I44" i="2"/>
  <c r="I32" i="2"/>
  <c r="I26" i="2"/>
  <c r="G12" i="2"/>
  <c r="K45" i="2"/>
  <c r="G52" i="2"/>
  <c r="M19" i="2"/>
  <c r="M30" i="2"/>
  <c r="M20" i="2"/>
  <c r="K52" i="2"/>
  <c r="G43" i="2"/>
  <c r="Q11" i="2"/>
  <c r="Q16" i="2"/>
  <c r="Q30" i="2"/>
  <c r="K6" i="2"/>
  <c r="I45" i="2"/>
  <c r="I43" i="2"/>
  <c r="I8" i="2"/>
  <c r="K7" i="2"/>
  <c r="M44" i="2"/>
  <c r="M37" i="2"/>
  <c r="M13" i="2"/>
  <c r="K20" i="2"/>
  <c r="G35" i="2"/>
  <c r="Q40" i="2"/>
  <c r="Q33" i="2"/>
  <c r="Q22" i="2"/>
  <c r="G28" i="2"/>
  <c r="I36" i="2"/>
  <c r="I24" i="2"/>
  <c r="I12" i="2"/>
  <c r="G37" i="2"/>
  <c r="G36" i="2"/>
  <c r="M11" i="2"/>
  <c r="M21" i="2"/>
  <c r="M4" i="2"/>
  <c r="M3" i="3"/>
  <c r="M3" i="2" s="1"/>
  <c r="K33" i="2"/>
  <c r="Q52" i="2"/>
  <c r="Q45" i="2"/>
  <c r="Q42" i="2"/>
  <c r="Q3" i="3"/>
  <c r="Q3" i="2" s="1"/>
  <c r="Q4" i="2"/>
  <c r="I48" i="2"/>
  <c r="I34" i="2"/>
  <c r="I28" i="2"/>
  <c r="G39" i="2"/>
  <c r="K35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<sst xmlns="http://schemas.openxmlformats.org/spreadsheetml/2006/main" count="29" uniqueCount="28">
  <si>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</si>
  <si>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FREDRIK LINDAU at LONDON BUSINESS SCHO.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</si>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</sst>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BDP|14088080294757208045</stp>
        <tr r="K79" s="3"/>
      </tp>
      <tp t="s">
        <v>#N/A N/A</v>
        <stp/>
        <stp>BDP|13998180719258557113</stp>
        <tr r="P93" s="3"/>
      </tp>
      <tp t="s">
        <v>#N/A N/A</v>
        <stp/>
        <stp>BDP|10547397256355536903</stp>
        <tr r="M116" s="3"/>
      </tp>
      <tp t="s">
        <v>#N/A N/A</v>
        <stp/>
        <stp>BDP|14794023108927900956</stp>
        <tr r="H80" s="3"/>
      </tp>
      <tp t="s">
        <v>#N/A N/A</v>
        <stp/>
        <stp>BDP|17118875479981808370</stp>
        <tr r="G78" s="3"/>
      </tp>
      <tp t="s">
        <v>#N/A N/A</v>
        <stp/>
        <stp>BDP|13615933710436074754</stp>
        <tr r="M106" s="3"/>
      </tp>
      <tp t="s">
        <v>#N/A N/A</v>
        <stp/>
        <stp>BDP|12410265423140435869</stp>
        <tr r="O100" s="3"/>
      </tp>
      <tp t="s">
        <v>#N/A N/A</v>
        <stp/>
        <stp>BDP|13596855251215533103</stp>
        <tr r="K96" s="3"/>
      </tp>
      <tp t="s">
        <v>#N/A N/A</v>
        <stp/>
        <stp>BDP|18076405910360124762</stp>
        <tr r="P107" s="3"/>
      </tp>
      <tp t="s">
        <v>#N/A N/A</v>
        <stp/>
        <stp>BDP|17609891245091583089</stp>
        <tr r="M120" s="3"/>
      </tp>
      <tp t="s">
        <v>#N/A N/A</v>
        <stp/>
        <stp>BDP|16207015537866973842</stp>
        <tr r="O86" s="3"/>
      </tp>
      <tp t="s">
        <v>#N/A N/A</v>
        <stp/>
        <stp>BDP|16503148296243733699</stp>
        <tr r="O95" s="3"/>
      </tp>
      <tp t="s">
        <v>#N/A N/A</v>
        <stp/>
        <stp>BDP|17558226979529716000</stp>
        <tr r="J119" s="3"/>
      </tp>
      <tp t="s">
        <v>#N/A N/A</v>
        <stp/>
        <stp>BDP|12684633827245128886</stp>
        <tr r="I104" s="3"/>
      </tp>
      <tp t="s">
        <v>#N/A N/A</v>
        <stp/>
        <stp>BDP|15622102230315811950</stp>
        <tr r="M113" s="3"/>
      </tp>
      <tp t="s">
        <v>#N/A N/A</v>
        <stp/>
        <stp>BDP|16273123570728367382</stp>
        <tr r="F76" s="3"/>
      </tp>
      <tp t="s">
        <v>#N/A N/A</v>
        <stp/>
        <stp>BDP|14548445489456228504</stp>
        <tr r="L114" s="3"/>
      </tp>
      <tp t="s">
        <v>#N/A N/A</v>
        <stp/>
        <stp>BDP|11999735265142739954</stp>
        <tr r="Q115" s="3"/>
      </tp>
      <tp t="s">
        <v>#N/A N/A</v>
        <stp/>
        <stp>BDP|17917873326075801361</stp>
        <tr r="M79" s="3"/>
      </tp>
      <tp t="s">
        <v>#N/A N/A</v>
        <stp/>
        <stp>BDP|12891906871587335310</stp>
        <tr r="Q120" s="3"/>
      </tp>
      <tp t="s">
        <v>#N/A N/A</v>
        <stp/>
        <stp>BDP|12548580193181775748</stp>
        <tr r="K97" s="3"/>
      </tp>
      <tp t="s">
        <v>#N/A N/A</v>
        <stp/>
        <stp>BDP|18252176363982340583</stp>
        <tr r="L90" s="3"/>
      </tp>
      <tp t="s">
        <v>#N/A N/A</v>
        <stp/>
        <stp>BDP|11918750683696736070</stp>
        <tr r="L106" s="3"/>
      </tp>
      <tp t="s">
        <v>#N/A N/A</v>
        <stp/>
        <stp>BDP|18147216729802048288</stp>
        <tr r="L110" s="3"/>
      </tp>
      <tp t="s">
        <v>#N/A N/A</v>
        <stp/>
        <stp>BDP|13033850717034621641</stp>
        <tr r="L100" s="3"/>
      </tp>
      <tp t="s">
        <v>#N/A N/A</v>
        <stp/>
        <stp>BDP|10468115737358389220</stp>
        <tr r="M84" s="3"/>
      </tp>
      <tp t="s">
        <v>#N/A N/A</v>
        <stp/>
        <stp>BDP|17301404674498324472</stp>
        <tr r="H81" s="3"/>
      </tp>
      <tp t="s">
        <v>#N/A N/A</v>
        <stp/>
        <stp>BDP|11497815187498108163</stp>
        <tr r="M73" s="3"/>
      </tp>
      <tp t="s">
        <v>#N/A N/A</v>
        <stp/>
        <stp>BDP|15233436295829007920</stp>
        <tr r="K80" s="3"/>
      </tp>
      <tp t="s">
        <v>#N/A N/A</v>
        <stp/>
        <stp>BDP|16267041085990696636</stp>
        <tr r="G82" s="3"/>
      </tp>
      <tp t="s">
        <v>#N/A N/A</v>
        <stp/>
        <stp>BDP|10469299043126582922</stp>
        <tr r="O73" s="3"/>
      </tp>
      <tp t="s">
        <v>#N/A N/A</v>
        <stp/>
        <stp>BDP|15111418687932621286</stp>
        <tr r="K109" s="3"/>
      </tp>
      <tp t="s">
        <v>#N/A N/A</v>
        <stp/>
        <stp>BDP|15801340679128803068</stp>
        <tr r="F119" s="3"/>
      </tp>
      <tp t="s">
        <v>#N/A N/A</v>
        <stp/>
        <stp>BDP|11820407998957877236</stp>
        <tr r="G89" s="3"/>
      </tp>
      <tp t="s">
        <v>#N/A N/A</v>
        <stp/>
        <stp>BDP|14408943659195708455</stp>
        <tr r="K115" s="3"/>
      </tp>
      <tp t="s">
        <v>#N/A N/A</v>
        <stp/>
        <stp>BDP|14382947310602387782</stp>
        <tr r="O117" s="3"/>
      </tp>
      <tp t="s">
        <v>#N/A N/A</v>
        <stp/>
        <stp>BDP|11639311486152148102</stp>
        <tr r="Q109" s="3"/>
      </tp>
      <tp t="s">
        <v>#N/A N/A</v>
        <stp/>
        <stp>BDP|15314712796196237457</stp>
        <tr r="N85" s="3"/>
      </tp>
      <tp t="s">
        <v>#N/A N/A</v>
        <stp/>
        <stp>BDP|15393960120294741360</stp>
        <tr r="R100" s="3"/>
      </tp>
      <tp t="s">
        <v>#N/A N/A</v>
        <stp/>
        <stp>BDP|15674797642649885613</stp>
        <tr r="J118" s="3"/>
      </tp>
      <tp t="s">
        <v>#N/A N/A</v>
        <stp/>
        <stp>BDP|14675338992690688762</stp>
        <tr r="H90" s="3"/>
      </tp>
      <tp t="s">
        <v>#N/A N/A</v>
        <stp/>
        <stp>BDP|10550820243700667544</stp>
        <tr r="F79" s="3"/>
      </tp>
      <tp t="s">
        <v>#N/A N/A</v>
        <stp/>
        <stp>BDP|10887041791980201770</stp>
        <tr r="F95" s="3"/>
      </tp>
      <tp t="s">
        <v>#N/A N/A</v>
        <stp/>
        <stp>BDP|16370782502157517845</stp>
        <tr r="G96" s="3"/>
      </tp>
      <tp t="s">
        <v>#N/A N/A</v>
        <stp/>
        <stp>BDP|12243825952605840404</stp>
        <tr r="H114" s="3"/>
      </tp>
      <tp t="s">
        <v>#N/A N/A</v>
        <stp/>
        <stp>BDP|15365785061609025378</stp>
        <tr r="M83" s="3"/>
      </tp>
      <tp t="s">
        <v>#N/A N/A</v>
        <stp/>
        <stp>BDP|12645224059479285232</stp>
        <tr r="Q98" s="3"/>
      </tp>
      <tp t="s">
        <v>#N/A N/A</v>
        <stp/>
        <stp>BDP|11054696397041675143</stp>
        <tr r="I83" s="3"/>
      </tp>
      <tp t="s">
        <v>#N/A N/A</v>
        <stp/>
        <stp>BDP|12574829163577834532</stp>
        <tr r="Q108" s="3"/>
      </tp>
      <tp t="s">
        <v>#N/A N/A</v>
        <stp/>
        <stp>BDP|16485914717973588397</stp>
        <tr r="O91" s="3"/>
      </tp>
      <tp t="s">
        <v>#N/A N/A</v>
        <stp/>
        <stp>BDP|16051010271396406956</stp>
        <tr r="G87" s="3"/>
      </tp>
      <tp t="s">
        <v>#N/A N/A</v>
        <stp/>
        <stp>BDP|16204655331784165962</stp>
        <tr r="Q112" s="3"/>
      </tp>
      <tp t="s">
        <v>#N/A N/A</v>
        <stp/>
        <stp>BDP|10386323842030699950</stp>
        <tr r="F91" s="3"/>
      </tp>
      <tp t="s">
        <v>#N/A N/A</v>
        <stp/>
        <stp>BDP|11836494508492072995</stp>
        <tr r="N83" s="3"/>
      </tp>
      <tp t="s">
        <v>#N/A N/A</v>
        <stp/>
        <stp>BDP|15462655616164732859</stp>
        <tr r="R82" s="3"/>
      </tp>
      <tp t="s">
        <v>#N/A N/A</v>
        <stp/>
        <stp>BDP|16356551526267787826</stp>
        <tr r="P90" s="3"/>
      </tp>
      <tp t="s">
        <v>#N/A N/A</v>
        <stp/>
        <stp>BDP|17093771000649615741</stp>
        <tr r="I89" s="3"/>
      </tp>
      <tp t="s">
        <v>#N/A N/A</v>
        <stp/>
        <stp>BDP|13053244796456362046</stp>
        <tr r="L73" s="3"/>
      </tp>
      <tp t="s">
        <v>#N/A N/A</v>
        <stp/>
        <stp>BDP|18016708068223409485</stp>
        <tr r="N104" s="3"/>
      </tp>
      <tp t="s">
        <v>#N/A N/A</v>
        <stp/>
        <stp>BDP|14611473595245491245</stp>
        <tr r="G109" s="3"/>
      </tp>
      <tp t="s">
        <v>#N/A N/A</v>
        <stp/>
        <stp>BDP|17041436470273035972</stp>
        <tr r="L119" s="3"/>
      </tp>
      <tp t="s">
        <v>#N/A N/A</v>
        <stp/>
        <stp>BDP|11665218079989168382</stp>
        <tr r="N115" s="3"/>
      </tp>
      <tp t="s">
        <v>#N/A N/A</v>
        <stp/>
        <stp>BDP|12151713153716062845</stp>
        <tr r="M110" s="3"/>
      </tp>
      <tp t="s">
        <v>#N/A N/A</v>
        <stp/>
        <stp>BDP|10719074926174294829</stp>
        <tr r="Q87" s="3"/>
      </tp>
      <tp t="s">
        <v>#N/A N/A</v>
        <stp/>
        <stp>BDP|16437014599736575605</stp>
        <tr r="G111" s="3"/>
      </tp>
      <tp t="s">
        <v>#N/A N/A</v>
        <stp/>
        <stp>BDP|12626889940440104168</stp>
        <tr r="H113" s="3"/>
      </tp>
      <tp t="s">
        <v>#N/A N/A</v>
        <stp/>
        <stp>BDP|10147893874457698712</stp>
        <tr r="Q91" s="3"/>
      </tp>
      <tp t="s">
        <v>#N/A N/A</v>
        <stp/>
        <stp>BDP|15617874635536856772</stp>
        <tr r="P115" s="3"/>
      </tp>
      <tp t="s">
        <v>#N/A N/A</v>
        <stp/>
        <stp>BDP|17470436958380114940</stp>
        <tr r="M89" s="3"/>
      </tp>
      <tp t="s">
        <v>#N/A N/A</v>
        <stp/>
        <stp>BDP|13679359948069406236</stp>
        <tr r="J74" s="3"/>
      </tp>
      <tp t="s">
        <v>#N/A N/A</v>
        <stp/>
        <stp>BDP|17374743038754765876</stp>
        <tr r="G97" s="3"/>
      </tp>
      <tp t="s">
        <v>#N/A N/A</v>
        <stp/>
        <stp>BDP|14889761154850613930</stp>
        <tr r="J107" s="3"/>
      </tp>
      <tp t="s">
        <v>#N/A N/A</v>
        <stp/>
        <stp>BDP|10085147388897684144</stp>
        <tr r="Q88" s="3"/>
      </tp>
      <tp t="s">
        <v>#N/A N/A</v>
        <stp/>
        <stp>BDP|12251955354270572188</stp>
        <tr r="H99" s="3"/>
      </tp>
      <tp t="s">
        <v>#N/A N/A</v>
        <stp/>
        <stp>BDP|14599072977365916925</stp>
        <tr r="L79" s="3"/>
      </tp>
      <tp t="s">
        <v>#N/A N/A</v>
        <stp/>
        <stp>BDP|10964529987902021026</stp>
        <tr r="O107" s="3"/>
      </tp>
      <tp t="s">
        <v>#N/A N/A</v>
        <stp/>
        <stp>BDP|15355345365419417687</stp>
        <tr r="O79" s="3"/>
      </tp>
      <tp t="s">
        <v>#N/A N/A</v>
        <stp/>
        <stp>BDP|18377296888465512868</stp>
        <tr r="M77" s="3"/>
      </tp>
      <tp t="s">
        <v>#N/A N/A</v>
        <stp/>
        <stp>BDP|16968094244098009578</stp>
        <tr r="O113" s="3"/>
      </tp>
      <tp t="s">
        <v>#N/A N/A</v>
        <stp/>
        <stp>BDP|13399778074144127838</stp>
        <tr r="J114" s="3"/>
      </tp>
      <tp t="s">
        <v>#N/A N/A</v>
        <stp/>
        <stp>BDP|12287607604828740333</stp>
        <tr r="J80" s="3"/>
      </tp>
      <tp t="s">
        <v>#N/A N/A</v>
        <stp/>
        <stp>BDP|13389969400631593477</stp>
        <tr r="R115" s="3"/>
      </tp>
      <tp t="s">
        <v>#N/A N/A</v>
        <stp/>
        <stp>BDP|15503693575869630281</stp>
        <tr r="G95" s="3"/>
      </tp>
      <tp t="s">
        <v>#N/A N/A</v>
        <stp/>
        <stp>BDP|15025851999572248988</stp>
        <tr r="L97" s="3"/>
      </tp>
      <tp t="s">
        <v>#N/A N/A</v>
        <stp/>
        <stp>BDP|15984948348672454577</stp>
        <tr r="N105" s="3"/>
      </tp>
      <tp t="s">
        <v>#N/A N/A</v>
        <stp/>
        <stp>BDP|14298684144213408931</stp>
        <tr r="M98" s="3"/>
      </tp>
      <tp t="s">
        <v>#N/A N/A</v>
        <stp/>
        <stp>BDP|11776440449648096526</stp>
        <tr r="R112" s="3"/>
      </tp>
      <tp t="s">
        <v>#N/A N/A</v>
        <stp/>
        <stp>BDP|11866530993859101821</stp>
        <tr r="N113" s="3"/>
      </tp>
      <tp t="s">
        <v>#N/A N/A</v>
        <stp/>
        <stp>BDP|13384894586488405738</stp>
        <tr r="Q96" s="3"/>
      </tp>
      <tp t="s">
        <v>#N/A N/A</v>
        <stp/>
        <stp>BDP|16971111031349044121</stp>
        <tr r="R107" s="3"/>
      </tp>
      <tp t="s">
        <v>#N/A N/A</v>
        <stp/>
        <stp>BDP|15847782000236871822</stp>
        <tr r="F103" s="3"/>
      </tp>
      <tp t="s">
        <v>#N/A N/A</v>
        <stp/>
        <stp>BDP|12462262184305407180</stp>
        <tr r="O99" s="3"/>
      </tp>
      <tp t="s">
        <v>#N/A N/A</v>
        <stp/>
        <stp>BDP|17853126356917545840</stp>
        <tr r="P101" s="3"/>
      </tp>
      <tp t="s">
        <v>#N/A N/A</v>
        <stp/>
        <stp>BDP|10803599650658977447</stp>
        <tr r="L84" s="3"/>
      </tp>
      <tp t="s">
        <v>#N/A N/A</v>
        <stp/>
        <stp>BDP|13542868350985636797</stp>
        <tr r="H82" s="3"/>
      </tp>
      <tp t="s">
        <v>#N/A N/A</v>
        <stp/>
        <stp>BDP|14050862324744761697</stp>
        <tr r="O87" s="3"/>
      </tp>
      <tp t="s">
        <v>#N/A N/A</v>
        <stp/>
        <stp>BDP|18326655468133058719</stp>
        <tr r="P120" s="3"/>
      </tp>
      <tp t="s">
        <v>#N/A N/A</v>
        <stp/>
        <stp>BDP|15074499981786422333</stp>
        <tr r="J98" s="3"/>
      </tp>
      <tp t="s">
        <v>#N/A N/A</v>
        <stp/>
        <stp>BDP|11232802711060408486</stp>
        <tr r="K99" s="3"/>
      </tp>
      <tp t="s">
        <v>#N/A N/A</v>
        <stp/>
        <stp>BDP|15999718909469581746</stp>
        <tr r="I101" s="3"/>
      </tp>
      <tp t="s">
        <v>#N/A N/A</v>
        <stp/>
        <stp>BDP|15054968096270638949</stp>
        <tr r="H73" s="3"/>
      </tp>
      <tp t="s">
        <v>#N/A N/A</v>
        <stp/>
        <stp>BDP|12189878638155126097</stp>
        <tr r="I105" s="3"/>
      </tp>
      <tp t="s">
        <v>#N/A N/A</v>
        <stp/>
        <stp>BDP|14022036906068849149</stp>
        <tr r="F87" s="3"/>
      </tp>
      <tp t="s">
        <v>#N/A N/A</v>
        <stp/>
        <stp>BDP|13752141589020271707</stp>
        <tr r="N121" s="3"/>
      </tp>
      <tp t="s">
        <v>#N/A N/A</v>
        <stp/>
        <stp>BDP|10071368224968867416</stp>
        <tr r="I103" s="3"/>
      </tp>
      <tp t="s">
        <v>#N/A N/A</v>
        <stp/>
        <stp>BDP|10981424185206425709</stp>
        <tr r="H87" s="3"/>
      </tp>
      <tp t="s">
        <v>#N/A N/A</v>
        <stp/>
        <stp>BDP|10395504633063429886</stp>
        <tr r="P92" s="3"/>
      </tp>
      <tp t="s">
        <v>#N/A N/A</v>
        <stp/>
        <stp>BDP|14933508138468481794</stp>
        <tr r="L107" s="3"/>
      </tp>
      <tp t="s">
        <v>#N/A N/A</v>
        <stp/>
        <stp>BDP|18220419419611967126</stp>
        <tr r="F115" s="3"/>
      </tp>
      <tp t="s">
        <v>#N/A N/A</v>
        <stp/>
        <stp>BDP|17045830588479853339</stp>
        <tr r="H94" s="3"/>
      </tp>
      <tp t="s">
        <v>#N/A N/A</v>
        <stp/>
        <stp>BDP|13346852779568629991</stp>
        <tr r="O93" s="3"/>
      </tp>
      <tp t="s">
        <v>#N/A N/A</v>
        <stp/>
        <stp>BDP|14129326553118457773</stp>
        <tr r="Q81" s="3"/>
      </tp>
      <tp t="s">
        <v>#N/A N/A</v>
        <stp/>
        <stp>BDP|13887734787894731586</stp>
        <tr r="Q74" s="3"/>
      </tp>
      <tp t="s">
        <v>#N/A N/A</v>
        <stp/>
        <stp>BDP|17404975523893487220</stp>
        <tr r="Q110" s="3"/>
      </tp>
      <tp t="s">
        <v>#N/A N/A</v>
        <stp/>
        <stp>BDP|14744112904051982621</stp>
        <tr r="O96" s="3"/>
      </tp>
      <tp t="s">
        <v>#N/A N/A</v>
        <stp/>
        <stp>BDP|10357560589807406813</stp>
        <tr r="H85" s="3"/>
      </tp>
      <tp t="s">
        <v>#N/A N/A</v>
        <stp/>
        <stp>BDP|15831860840708741302</stp>
        <tr r="H112" s="3"/>
      </tp>
      <tp t="s">
        <v>#N/A N/A</v>
        <stp/>
        <stp>BDP|12246363813260754283</stp>
        <tr r="R83" s="3"/>
      </tp>
      <tp t="s">
        <v>#N/A N/A</v>
        <stp/>
        <stp>BDP|10632684762571200360</stp>
        <tr r="F74" s="3"/>
      </tp>
      <tp t="s">
        <v>#N/A N/A</v>
        <stp/>
        <stp>BDP|10425279896628880151</stp>
        <tr r="K107" s="3"/>
      </tp>
      <tp t="s">
        <v>#N/A N/A</v>
        <stp/>
        <stp>BDP|11233464678638257850</stp>
        <tr r="G98" s="3"/>
      </tp>
      <tp t="s">
        <v>#N/A N/A</v>
        <stp/>
        <stp>BDP|14874906853849196303</stp>
        <tr r="I99" s="3"/>
      </tp>
      <tp t="s">
        <v>#N/A N/A</v>
        <stp/>
        <stp>BDP|10967388355560813414</stp>
        <tr r="R102" s="3"/>
      </tp>
      <tp t="s">
        <v>#N/A N/A</v>
        <stp/>
        <stp>BDP|11981632401736663316</stp>
        <tr r="G83" s="3"/>
      </tp>
      <tp t="s">
        <v>#N/A N/A</v>
        <stp/>
        <stp>BDP|14023383705846432357</stp>
        <tr r="J82" s="3"/>
      </tp>
      <tp t="s">
        <v>#N/A N/A</v>
        <stp/>
        <stp>BDP|12976508632912355479</stp>
        <tr r="R80" s="3"/>
      </tp>
      <tp t="s">
        <v>#N/A N/A</v>
        <stp/>
        <stp>BDP|12696792537553781719</stp>
        <tr r="N111" s="3"/>
      </tp>
      <tp t="s">
        <v>#N/A N/A</v>
        <stp/>
        <stp>BDP|12632750154363280147</stp>
        <tr r="P99" s="3"/>
      </tp>
      <tp t="s">
        <v>#N/A N/A</v>
        <stp/>
        <stp>BDP|15972030481726844928</stp>
        <tr r="N110" s="3"/>
      </tp>
      <tp t="s">
        <v>#N/A N/A</v>
        <stp/>
        <stp>BDP|14294472321272390263</stp>
        <tr r="K75" s="3"/>
      </tp>
      <tp t="s">
        <v>#N/A N/A</v>
        <stp/>
        <stp>BDP|11297066607885271601</stp>
        <tr r="M81" s="3"/>
      </tp>
      <tp t="s">
        <v>#N/A N/A</v>
        <stp/>
        <stp>BDP|16671525867615220206</stp>
        <tr r="I93" s="3"/>
      </tp>
      <tp t="s">
        <v>#N/A N/A</v>
        <stp/>
        <stp>BDP|15627681340033770682</stp>
        <tr r="I112" s="3"/>
      </tp>
      <tp t="s">
        <v>#N/A N/A</v>
        <stp/>
        <stp>BDP|16912791650943299523</stp>
        <tr r="O102" s="3"/>
      </tp>
      <tp t="s">
        <v>#N/A N/A</v>
        <stp/>
        <stp>BDP|13266610338732199688</stp>
        <tr r="L81" s="3"/>
      </tp>
      <tp t="s">
        <v>#N/A N/A</v>
        <stp/>
        <stp>BDP|18339145750507193922</stp>
        <tr r="G100" s="3"/>
      </tp>
      <tp t="s">
        <v>#N/A N/A</v>
        <stp/>
        <stp>BDP|12029824480948760816</stp>
        <tr r="J108" s="3"/>
      </tp>
      <tp t="s">
        <v>#N/A N/A</v>
        <stp/>
        <stp>BDP|15528058005717325021</stp>
        <tr r="G88" s="3"/>
      </tp>
      <tp t="s">
        <v>#N/A N/A</v>
        <stp/>
        <stp>BDP|16125537710461281178</stp>
        <tr r="M90" s="3"/>
      </tp>
      <tp t="s">
        <v>#N/A N/A</v>
        <stp/>
        <stp>BDP|17128097572855451786</stp>
        <tr r="G92" s="3"/>
      </tp>
      <tp t="s">
        <v>#N/A N/A</v>
        <stp/>
        <stp>BDP|12526198879002291413</stp>
        <tr r="N107" s="3"/>
      </tp>
      <tp t="s">
        <v>#N/A N/A</v>
        <stp/>
        <stp>BDP|11478178370651366468</stp>
        <tr r="I98" s="3"/>
      </tp>
      <tp t="s">
        <v>#N/A N/A</v>
        <stp/>
        <stp>BDP|13109067328157102570</stp>
        <tr r="N114" s="3"/>
      </tp>
      <tp t="s">
        <v>#N/A N/A</v>
        <stp/>
        <stp>BDP|13747598414816183229</stp>
        <tr r="J103" s="3"/>
      </tp>
      <tp t="s">
        <v>#N/A N/A</v>
        <stp/>
        <stp>BDP|13903004584021433915</stp>
        <tr r="I92" s="3"/>
      </tp>
      <tp t="s">
        <v>#N/A N/A</v>
        <stp/>
        <stp>BDP|15522498521494125477</stp>
        <tr r="J102" s="3"/>
      </tp>
      <tp t="s">
        <v>#N/A N/A</v>
        <stp/>
        <stp>BDP|16476674069883967684</stp>
        <tr r="N91" s="3"/>
      </tp>
      <tp t="s">
        <v>#N/A N/A</v>
        <stp/>
        <stp>BDP|10739243508268483946</stp>
        <tr r="F93" s="3"/>
      </tp>
      <tp t="s">
        <v>#N/A N/A</v>
        <stp/>
        <stp>BDP|14871301411060389512</stp>
        <tr r="N90" s="3"/>
      </tp>
      <tp t="s">
        <v>#N/A N/A</v>
        <stp/>
        <stp>BDP|17959158425290187732</stp>
        <tr r="K92" s="3"/>
      </tp>
      <tp t="s">
        <v>#N/A N/A</v>
        <stp/>
        <stp>BDP|15150018848577381511</stp>
        <tr r="M88" s="3"/>
      </tp>
      <tp t="s">
        <v>#N/A N/A</v>
        <stp/>
        <stp>BDP|13052542138846592046</stp>
        <tr r="L103" s="3"/>
      </tp>
      <tp t="s">
        <v>#N/A N/A</v>
        <stp/>
        <stp>BDP|15541468303783472184</stp>
        <tr r="H100" s="3"/>
      </tp>
      <tp t="s">
        <v>#N/A N/A</v>
        <stp/>
        <stp>BDP|10409395052962489759</stp>
        <tr r="J104" s="3"/>
      </tp>
      <tp t="s">
        <v>#N/A N/A</v>
        <stp/>
        <stp>BDP|11079548662981863003</stp>
        <tr r="I81" s="3"/>
      </tp>
      <tp t="s">
        <v>#N/A N/A</v>
        <stp/>
        <stp>BDP|13906593237181186788</stp>
        <tr r="G116" s="3"/>
      </tp>
      <tp t="s">
        <v>#N/A N/A</v>
        <stp/>
        <stp>BDP|10494903493692230153</stp>
        <tr r="K78" s="3"/>
      </tp>
      <tp t="s">
        <v>#N/A N/A</v>
        <stp/>
        <stp>BDP|10211696062230916336</stp>
        <tr r="Q84" s="3"/>
      </tp>
      <tp t="s">
        <v>#N/A N/A</v>
        <stp/>
        <stp>BDP|13625175314980670019</stp>
        <tr r="P98" s="3"/>
      </tp>
      <tp t="s">
        <v>#N/A N/A</v>
        <stp/>
        <stp>BDP|13266397970767883365</stp>
        <tr r="O74" s="3"/>
      </tp>
      <tp t="s">
        <v>#N/A N/A</v>
        <stp/>
        <stp>BDP|11305260365345733323</stp>
        <tr r="J84" s="3"/>
      </tp>
      <tp t="s">
        <v>#N/A N/A</v>
        <stp/>
        <stp>BDP|14063710785870533848</stp>
        <tr r="F121" s="3"/>
      </tp>
      <tp t="s">
        <v>#N/A N/A</v>
        <stp/>
        <stp>BDP|16943354767784700485</stp>
        <tr r="J105" s="3"/>
      </tp>
      <tp t="s">
        <v>#N/A N/A</v>
        <stp/>
        <stp>BDP|12154288538155211542</stp>
        <tr r="L85" s="3"/>
      </tp>
      <tp t="s">
        <v>#N/A N/A</v>
        <stp/>
        <stp>BDP|10541112158293324486</stp>
        <tr r="N78" s="3"/>
      </tp>
      <tp t="s">
        <v>#N/A N/A</v>
        <stp/>
        <stp>BDP|15878580186732929984</stp>
        <tr r="Q121" s="3"/>
      </tp>
      <tp t="s">
        <v>#N/A N/A</v>
        <stp/>
        <stp>BDP|16501956133647551800</stp>
        <tr r="L80" s="3"/>
      </tp>
      <tp t="s">
        <v>#N/A N/A</v>
        <stp/>
        <stp>BDP|12482386222721025271</stp>
        <tr r="H104" s="3"/>
      </tp>
      <tp t="s">
        <v>#N/A N/A</v>
        <stp/>
        <stp>BDP|11969362356222611554</stp>
        <tr r="G117" s="3"/>
      </tp>
      <tp t="s">
        <v>#N/A N/A</v>
        <stp/>
        <stp>BDP|15922721248910787685</stp>
        <tr r="O98" s="3"/>
      </tp>
      <tp t="s">
        <v>#N/A N/A</v>
        <stp/>
        <stp>BDP|16745775406254032580</stp>
        <tr r="M82" s="3"/>
      </tp>
      <tp t="s">
        <v>#N/A N/A</v>
        <stp/>
        <stp>BDP|11206114313665604486</stp>
        <tr r="Q75" s="3"/>
      </tp>
      <tp t="s">
        <v>#N/A N/A</v>
        <stp/>
        <stp>BDP|11943605503484833320</stp>
        <tr r="F102" s="3"/>
      </tp>
      <tp t="s">
        <v>#N/A N/A</v>
        <stp/>
        <stp>BDP|17555770654310089554</stp>
        <tr r="K120" s="3"/>
      </tp>
      <tp t="s">
        <v>#N/A N/A</v>
        <stp/>
        <stp>BDP|11818079215607913713</stp>
        <tr r="P76" s="3"/>
      </tp>
      <tp t="s">
        <v>#N/A N/A</v>
        <stp/>
        <stp>BDP|18077417301905603945</stp>
        <tr r="M76" s="3"/>
      </tp>
      <tp t="s">
        <v>#N/A N/A</v>
        <stp/>
        <stp>BDP|15323685842041379683</stp>
        <tr r="I82" s="3"/>
      </tp>
      <tp t="s">
        <v>#N/A N/A</v>
        <stp/>
        <stp>BDP|17908186668417499794</stp>
        <tr r="F99" s="3"/>
      </tp>
      <tp t="s">
        <v>#N/A N/A</v>
        <stp/>
        <stp>BDP|10247827912871728827</stp>
        <tr r="K87" s="3"/>
      </tp>
      <tp t="s">
        <v>#N/A N/A</v>
        <stp/>
        <stp>BDP|14449927853101390919</stp>
        <tr r="P84" s="3"/>
      </tp>
      <tp t="s">
        <v>#N/A N/A</v>
        <stp/>
        <stp>BDP|16677747573521176762</stp>
        <tr r="H116" s="3"/>
      </tp>
      <tp t="s">
        <v>#N/A N/A</v>
        <stp/>
        <stp>BDP|17760728203715975465</stp>
        <tr r="J92" s="3"/>
      </tp>
      <tp t="s">
        <v>#N/A N/A</v>
        <stp/>
        <stp>BDP|10551599304944821087</stp>
        <tr r="I74" s="3"/>
      </tp>
      <tp t="s">
        <v>#N/A N/A</v>
        <stp/>
        <stp>BDP|13696193176924829096</stp>
        <tr r="R96" s="3"/>
      </tp>
      <tp t="s">
        <v>#N/A N/A</v>
        <stp/>
        <stp>BDP|11906211953344178322</stp>
        <tr r="H95" s="3"/>
      </tp>
      <tp t="s">
        <v>#N/A N/A</v>
        <stp/>
        <stp>BDP|11620013172613851468</stp>
        <tr r="F90" s="3"/>
      </tp>
      <tp t="s">
        <v>#N/A N/A</v>
        <stp/>
        <stp>BDP|10718165671767387087</stp>
        <tr r="L87" s="3"/>
      </tp>
      <tp t="s">
        <v>#N/A N/A</v>
        <stp/>
        <stp>BDP|16924657463853587401</stp>
        <tr r="H101" s="3"/>
      </tp>
      <tp t="s">
        <v>#N/A N/A</v>
        <stp/>
        <stp>BDP|16981046072505299515</stp>
        <tr r="H111" s="3"/>
      </tp>
      <tp t="s">
        <v>#N/A N/A</v>
        <stp/>
        <stp>BDP|17392969577401951977</stp>
        <tr r="H102" s="3"/>
      </tp>
      <tp t="s">
        <v>#N/A N/A</v>
        <stp/>
        <stp>BDP|13683696221893254506</stp>
        <tr r="F81" s="3"/>
      </tp>
      <tp t="s">
        <v>#N/A N/A</v>
        <stp/>
        <stp>BDP|14677025362823361098</stp>
        <tr r="P118" s="3"/>
      </tp>
      <tp t="s">
        <v>#N/A N/A</v>
        <stp/>
        <stp>BDP|11116435948032171246</stp>
        <tr r="M91" s="3"/>
      </tp>
      <tp t="s">
        <v>#N/A N/A</v>
        <stp/>
        <stp>BDP|17986780804690646120</stp>
        <tr r="O82" s="3"/>
      </tp>
      <tp t="s">
        <v>#N/A N/A</v>
        <stp/>
        <stp>BDP|11428685535406175398</stp>
        <tr r="Q80" s="3"/>
      </tp>
      <tp t="s">
        <v>#N/A N/A</v>
        <stp/>
        <stp>BDP|16626663200693536259</stp>
        <tr r="R109" s="3"/>
      </tp>
      <tp t="s">
        <v>#N/A N/A</v>
        <stp/>
        <stp>BDP|17136260772660296340</stp>
        <tr r="P78" s="3"/>
      </tp>
      <tp t="s">
        <v>#N/A N/A</v>
        <stp/>
        <stp>BDP|10962481578406363489</stp>
        <tr r="K121" s="3"/>
      </tp>
      <tp t="s">
        <v>#N/A N/A</v>
        <stp/>
        <stp>BDP|15434630113492521134</stp>
        <tr r="M85" s="3"/>
      </tp>
      <tp t="s">
        <v>#N/A N/A</v>
        <stp/>
        <stp>BDP|10753819146929228406</stp>
        <tr r="H86" s="3"/>
      </tp>
      <tp t="s">
        <v>#N/A N/A</v>
        <stp/>
        <stp>BDP|13075546104855394210</stp>
        <tr r="J75" s="3"/>
      </tp>
      <tp t="s">
        <v>#N/A N/A</v>
        <stp/>
        <stp>BDP|13126339930007214551</stp>
        <tr r="F112" s="3"/>
      </tp>
      <tp t="s">
        <v>#N/A N/A</v>
        <stp/>
        <stp>BDP|16882033648451659206</stp>
        <tr r="Q92" s="3"/>
      </tp>
      <tp t="s">
        <v>#N/A N/A</v>
        <stp/>
        <stp>BDP|12543674745817167623</stp>
        <tr r="K117" s="3"/>
      </tp>
      <tp t="s">
        <v>#N/A N/A</v>
        <stp/>
        <stp>BDP|14818537220832624090</stp>
        <tr r="R118" s="3"/>
      </tp>
      <tp t="s">
        <v>#N/A N/A</v>
        <stp/>
        <stp>BDP|14751727143252435463</stp>
        <tr r="G79" s="3"/>
      </tp>
      <tp t="s">
        <v>#N/A N/A</v>
        <stp/>
        <stp>BDP|11163725212104515205</stp>
        <tr r="H103" s="3"/>
      </tp>
      <tp t="s">
        <v>#N/A N/A</v>
        <stp/>
        <stp>BDP|18354652684500050753</stp>
        <tr r="O101" s="3"/>
      </tp>
      <tp t="s">
        <v>#N/A N/A</v>
        <stp/>
        <stp>BDP|14290435135040565590</stp>
        <tr r="O108" s="3"/>
      </tp>
      <tp t="s">
        <v>#N/A N/A</v>
        <stp/>
        <stp>BDP|17825079286960503941</stp>
        <tr r="M75" s="3"/>
      </tp>
      <tp t="s">
        <v>#N/A N/A</v>
        <stp/>
        <stp>BDP|14143730362535154693</stp>
        <tr r="I108" s="3"/>
      </tp>
      <tp t="s">
        <v>#N/A N/A</v>
        <stp/>
        <stp>BDP|12960262058974476789</stp>
        <tr r="N103" s="3"/>
      </tp>
      <tp t="s">
        <v>#N/A N/A</v>
        <stp/>
        <stp>BDP|12433075878553666071</stp>
        <tr r="Q99" s="3"/>
      </tp>
      <tp t="s">
        <v>#N/A N/A</v>
        <stp/>
        <stp>BDP|12053645428909056904</stp>
        <tr r="R79" s="3"/>
      </tp>
      <tp t="s">
        <v>#N/A N/A</v>
        <stp/>
        <stp>BDP|16820140041167463259</stp>
        <tr r="O80" s="3"/>
      </tp>
      <tp t="s">
        <v>#N/A N/A</v>
        <stp/>
        <stp>BDP|15986261003435640453</stp>
        <tr r="N84" s="3"/>
      </tp>
      <tp t="s">
        <v>#N/A N/A</v>
        <stp/>
        <stp>BDP|17157259678291445563</stp>
        <tr r="R87" s="3"/>
      </tp>
      <tp t="s">
        <v>#N/A N/A</v>
        <stp/>
        <stp>BDP|12937484730694248737</stp>
        <tr r="F98" s="3"/>
      </tp>
      <tp t="s">
        <v>#N/A N/A</v>
        <stp/>
        <stp>BDP|10658960032785338917</stp>
        <tr r="M101" s="3"/>
      </tp>
      <tp t="s">
        <v>#N/A N/A</v>
        <stp/>
        <stp>BDP|11233403155807073145</stp>
        <tr r="L91" s="3"/>
      </tp>
      <tp t="s">
        <v>#N/A N/A</v>
        <stp/>
        <stp>BDP|17685730850250536350</stp>
        <tr r="F114" s="3"/>
      </tp>
      <tp t="s">
        <v>#N/A N/A</v>
        <stp/>
        <stp>BDP|12814645740101189788</stp>
        <tr r="M96" s="3"/>
      </tp>
      <tp t="s">
        <v>#N/A N/A</v>
        <stp/>
        <stp>BDP|10190412557923996497</stp>
        <tr r="R85" s="3"/>
      </tp>
      <tp t="s">
        <v>#N/A N/A</v>
        <stp/>
        <stp>BDP|16575357544706337118</stp>
        <tr r="P111" s="3"/>
      </tp>
      <tp t="s">
        <v>#N/A N/A</v>
        <stp/>
        <stp>BDP|11466418219742901035</stp>
        <tr r="H74" s="3"/>
      </tp>
      <tp t="s">
        <v>#N/A N/A</v>
        <stp/>
        <stp>BDP|11637720066073563515</stp>
        <tr r="N96" s="3"/>
      </tp>
      <tp t="s">
        <v>#N/A N/A</v>
        <stp/>
        <stp>BDP|16188113495729507098</stp>
        <tr r="H93" s="3"/>
      </tp>
      <tp t="s">
        <v>#N/A N/A</v>
        <stp/>
        <stp>BDP|11498245927681802779</stp>
        <tr r="P86" s="3"/>
      </tp>
      <tp t="s">
        <v>#N/A N/A</v>
        <stp/>
        <stp>BDP|10386986932878118530</stp>
        <tr r="N89" s="3"/>
      </tp>
      <tp t="s">
        <v>#N/A N/A</v>
        <stp/>
        <stp>BDP|16423898784533776242</stp>
        <tr r="M117" s="3"/>
      </tp>
      <tp t="s">
        <v>#N/A N/A</v>
        <stp/>
        <stp>BDP|18372312382057229383</stp>
        <tr r="Q77" s="3"/>
      </tp>
      <tp t="s">
        <v>#N/A N/A</v>
        <stp/>
        <stp>BDP|13061655326807849766</stp>
        <tr r="K93" s="3"/>
      </tp>
      <tp t="s">
        <v>#N/A N/A</v>
        <stp/>
        <stp>BDP|15208653611353924621</stp>
        <tr r="I97" s="3"/>
      </tp>
      <tp t="s">
        <v>#N/A N/A</v>
        <stp/>
        <stp>BDP|16208422431974899265</stp>
        <tr r="K108" s="3"/>
      </tp>
      <tp t="s">
        <v>#N/A N/A</v>
        <stp/>
        <stp>BDP|14832336018838417962</stp>
        <tr r="N73" s="3"/>
      </tp>
      <tp t="s">
        <v>#N/A N/A</v>
        <stp/>
        <stp>BDP|17752842829339203391</stp>
        <tr r="L116" s="3"/>
      </tp>
      <tp t="s">
        <v>#N/A N/A</v>
        <stp/>
        <stp>BDP|13632221772127466628</stp>
        <tr r="H76" s="3"/>
      </tp>
      <tp t="s">
        <v>#N/A N/A</v>
        <stp/>
        <stp>BDP|10765061812527249116</stp>
        <tr r="O111" s="3"/>
      </tp>
      <tp t="s">
        <v>#N/A N/A</v>
        <stp/>
        <stp>BDP|11509061674035368470</stp>
        <tr r="G81" s="3"/>
      </tp>
      <tp t="s">
        <v>#N/A N/A</v>
        <stp/>
        <stp>BDP|10279148457140723348</stp>
        <tr r="O92" s="3"/>
      </tp>
      <tp t="s">
        <v>#N/A N/A</v>
        <stp/>
        <stp>BDP|11849075620523202780</stp>
        <tr r="I106" s="3"/>
      </tp>
      <tp t="s">
        <v>#N/A N/A</v>
        <stp/>
        <stp>BDP|12539047068816571580</stp>
        <tr r="I119" s="3"/>
      </tp>
      <tp t="s">
        <v>#N/A N/A</v>
        <stp/>
        <stp>BDP|11047347055407039768</stp>
        <tr r="P108" s="3"/>
      </tp>
      <tp t="s">
        <v>#N/A N/A</v>
        <stp/>
        <stp>BDP|16085829370179273775</stp>
        <tr r="R93" s="3"/>
      </tp>
      <tp t="s">
        <v>#N/A N/A</v>
        <stp/>
        <stp>BDP|15207813097075562676</stp>
        <tr r="H118" s="3"/>
      </tp>
      <tp t="s">
        <v>#N/A N/A</v>
        <stp/>
        <stp>BDP|12939596730104461722</stp>
        <tr r="R120" s="3"/>
      </tp>
      <tp t="s">
        <v>#N/A N/A</v>
        <stp/>
        <stp>BDP|10839103779120349145</stp>
        <tr r="P82" s="3"/>
      </tp>
      <tp t="s">
        <v>#N/A N/A</v>
        <stp/>
        <stp>BDP|12991779129735629696</stp>
        <tr r="K104" s="3"/>
      </tp>
      <tp t="s">
        <v>#N/A N/A</v>
        <stp/>
        <stp>BDP|17667444648077614440</stp>
        <tr r="M115" s="3"/>
      </tp>
      <tp t="s">
        <v>#N/A N/A</v>
        <stp/>
        <stp>BDP|12917872547593346900</stp>
        <tr r="N116" s="3"/>
      </tp>
      <tp t="s">
        <v>#N/A N/A</v>
        <stp/>
        <stp>BDP|15567054112815088582</stp>
        <tr r="R92" s="3"/>
      </tp>
      <tp t="s">
        <v>#N/A N/A</v>
        <stp/>
        <stp>BDP|15270697702187544063</stp>
        <tr r="J86" s="3"/>
      </tp>
      <tp t="s">
        <v>#N/A N/A</v>
        <stp/>
        <stp>BDP|14148105579523486510</stp>
        <tr r="J109" s="3"/>
      </tp>
      <tp t="s">
        <v>#N/A N/A</v>
        <stp/>
        <stp>BDP|13996416912362767008</stp>
        <tr r="G119" s="3"/>
      </tp>
      <tp t="s">
        <v>#N/A N/A</v>
        <stp/>
        <stp>BDP|17051293044655789061</stp>
        <tr r="R86" s="3"/>
      </tp>
      <tp t="s">
        <v>#N/A N/A</v>
        <stp/>
        <stp>BDP|13936008538391606583</stp>
        <tr r="O114" s="3"/>
      </tp>
      <tp t="s">
        <v>#N/A N/A</v>
        <stp/>
        <stp>BDP|13323629023702446191</stp>
        <tr r="H105" s="3"/>
      </tp>
      <tp t="s">
        <v>#N/A N/A</v>
        <stp/>
        <stp>BDP|16204483143941754305</stp>
        <tr r="M86" s="3"/>
      </tp>
      <tp t="s">
        <v>#N/A N/A</v>
        <stp/>
        <stp>BDP|10074453964932769483</stp>
        <tr r="O88" s="3"/>
      </tp>
      <tp t="s">
        <v>#N/A N/A</v>
        <stp/>
        <stp>BDP|10935392070244509443</stp>
        <tr r="G94" s="3"/>
      </tp>
      <tp t="s">
        <v>#N/A N/A</v>
        <stp/>
        <stp>BDP|14235861945138195401</stp>
        <tr r="O104" s="3"/>
      </tp>
      <tp t="s">
        <v>#N/A N/A</v>
        <stp/>
        <stp>BDP|12510837749903794988</stp>
        <tr r="P112" s="3"/>
      </tp>
      <tp t="s">
        <v>#N/A N/A</v>
        <stp/>
        <stp>BDP|10856988985123187640</stp>
        <tr r="R116" s="3"/>
      </tp>
      <tp t="s">
        <v>#N/A N/A</v>
        <stp/>
        <stp>BDP|16141105925868328942</stp>
        <tr r="G75" s="3"/>
      </tp>
      <tp t="s">
        <v>#N/A N/A</v>
        <stp/>
        <stp>BDP|16929198453477276146</stp>
        <tr r="P95" s="3"/>
      </tp>
      <tp t="s">
        <v>#N/A N/A</v>
        <stp/>
        <stp>BDP|14701080142095119193</stp>
        <tr r="F117" s="3"/>
      </tp>
      <tp t="s">
        <v>#N/A N/A</v>
        <stp/>
        <stp>BDP|14414604953153097038</stp>
        <tr r="N76" s="3"/>
      </tp>
      <tp t="s">
        <v>#N/A N/A</v>
        <stp/>
        <stp>BDP|14239634123752581603</stp>
        <tr r="G105" s="3"/>
      </tp>
      <tp t="s">
        <v>#N/A N/A</v>
        <stp/>
        <stp>BDP|13386626374951297705</stp>
        <tr r="K110" s="3"/>
      </tp>
      <tp t="s">
        <v>#N/A N/A</v>
        <stp/>
        <stp>BDP|10824148469647755450</stp>
        <tr r="F96" s="3"/>
      </tp>
      <tp t="s">
        <v>#N/A N/A</v>
        <stp/>
        <stp>BDP|17009655948599392897</stp>
        <tr r="I102" s="3"/>
      </tp>
      <tp t="s">
        <v>#N/A N/A</v>
        <stp/>
        <stp>BDP|14999133454445199189</stp>
        <tr r="J81" s="3"/>
      </tp>
      <tp t="s">
        <v>#N/A N/A</v>
        <stp/>
        <stp>BDP|13342499077222324699</stp>
        <tr r="K113" s="3"/>
      </tp>
      <tp t="s">
        <v>#N/A N/A</v>
        <stp/>
        <stp>BDP|16581664267410547277</stp>
        <tr r="I90" s="3"/>
      </tp>
      <tp t="s">
        <v>#N/A N/A</v>
        <stp/>
        <stp>BDP|13601690959396968298</stp>
        <tr r="M92" s="3"/>
      </tp>
      <tp t="s">
        <v>#N/A N/A</v>
        <stp/>
        <stp>BDP|10763292119906772091</stp>
        <tr r="I75" s="3"/>
      </tp>
      <tp t="s">
        <v>#N/A N/A</v>
        <stp/>
        <stp>BDP|12460689145173905699</stp>
        <tr r="N99" s="3"/>
      </tp>
      <tp t="s">
        <v>#N/A N/A</v>
        <stp/>
        <stp>BDP|10139293158647133580</stp>
        <tr r="Q76" s="3"/>
      </tp>
      <tp t="s">
        <v>#N/A N/A</v>
        <stp/>
        <stp>BDP|18392580682308275833</stp>
        <tr r="O94" s="3"/>
      </tp>
      <tp t="s">
        <v>#N/A N/A</v>
        <stp/>
        <stp>BDP|14246485145062306370</stp>
        <tr r="O112" s="3"/>
      </tp>
      <tp t="s">
        <v>#N/A N/A</v>
        <stp/>
        <stp>BDP|14888674143743578039</stp>
        <tr r="M118" s="3"/>
      </tp>
      <tp t="s">
        <v>#N/A N/A</v>
        <stp/>
        <stp>BDP|13866140072864766444</stp>
        <tr r="O97" s="3"/>
      </tp>
      <tp t="s">
        <v>#N/A N/A</v>
        <stp/>
        <stp>BDP|15703453290285689885</stp>
        <tr r="F84" s="3"/>
      </tp>
      <tp t="s">
        <v>#N/A N/A</v>
        <stp/>
        <stp>BDP|18380598843525483918</stp>
        <tr r="Q106" s="3"/>
      </tp>
      <tp t="s">
        <v>#N/A N/A</v>
        <stp/>
        <stp>BDP|11883436554550628576</stp>
        <tr r="J99" s="3"/>
      </tp>
      <tp t="s">
        <v>#N/A N/A</v>
        <stp/>
        <stp>BDP|17165229453400684583</stp>
        <tr r="L96" s="3"/>
      </tp>
      <tp t="s">
        <v>#N/A N/A</v>
        <stp/>
        <stp>BDP|17352741117404380025</stp>
        <tr r="G104" s="3"/>
      </tp>
      <tp t="s">
        <v>#N/A N/A</v>
        <stp/>
        <stp>BDP|13854128056710598281</stp>
        <tr r="Q104" s="3"/>
      </tp>
      <tp t="s">
        <v>#N/A N/A</v>
        <stp/>
        <stp>BDP|16353014911011467350</stp>
        <tr r="O106" s="3"/>
      </tp>
      <tp t="s">
        <v>#N/A N/A</v>
        <stp/>
        <stp>BDP|15512121804690016110</stp>
        <tr r="H97" s="3"/>
      </tp>
      <tp t="s">
        <v>#N/A N/A</v>
        <stp/>
        <stp>BDP|10956682926754480562</stp>
        <tr r="M94" s="3"/>
      </tp>
      <tp t="s">
        <v>#N/A N/A</v>
        <stp/>
        <stp>BDP|15102679864258045876</stp>
        <tr r="G107" s="3"/>
      </tp>
      <tp t="s">
        <v>#N/A N/A</v>
        <stp/>
        <stp>BDP|10918862690815899121</stp>
        <tr r="G77" s="3"/>
      </tp>
      <tp t="s">
        <v>#N/A N/A</v>
        <stp/>
        <stp>BDP|17133376031773420161</stp>
        <tr r="I109" s="3"/>
      </tp>
      <tp t="s">
        <v>#N/A N/A</v>
        <stp/>
        <stp>BDP|18357696511448787284</stp>
        <tr r="N79" s="3"/>
      </tp>
      <tp t="s">
        <v>#N/A N/A</v>
        <stp/>
        <stp>BDP|17134329514637963798</stp>
        <tr r="Q94" s="3"/>
      </tp>
      <tp t="s">
        <v>#N/A N/A</v>
        <stp/>
        <stp>BDP|15173180155922272698</stp>
        <tr r="F73" s="3"/>
      </tp>
      <tp t="s">
        <v>#N/A N/A</v>
        <stp/>
        <stp>BDP|14521032059664107082</stp>
        <tr r="Q97" s="3"/>
      </tp>
    </main>
    <main first="bloomberg.ccyreader">
      <tp>
        <v>0</v>
        <stp/>
        <stp>#track</stp>
        <stp>DBG</stp>
        <stp>BIHITX</stp>
        <stp>1.0</stp>
        <stp>RepeatHit</stp>
        <tr r="A63" s="3"/>
      </tp>
    </main>
    <main first="bofaddin.rtdserver">
      <tp t="s">
        <v>#N/A N/A</v>
        <stp/>
        <stp>BDP|5067142799099791802</stp>
        <tr r="L102" s="3"/>
      </tp>
      <tp t="s">
        <v>#N/A N/A</v>
        <stp/>
        <stp>BDP|4906792293627137185</stp>
        <tr r="I118" s="3"/>
      </tp>
      <tp t="s">
        <v>#N/A N/A</v>
        <stp/>
        <stp>BDP|6500083022610728825</stp>
        <tr r="G121" s="3"/>
      </tp>
      <tp t="s">
        <v>#N/A N/A</v>
        <stp/>
        <stp>BDP|5201454260769668294</stp>
        <tr r="R74" s="3"/>
      </tp>
      <tp t="s">
        <v>#N/A N/A</v>
        <stp/>
        <stp>BDP|6644844534114984510</stp>
        <tr r="J111" s="3"/>
      </tp>
      <tp t="s">
        <v>#N/A N/A</v>
        <stp/>
        <stp>BDP|3994030083537770003</stp>
        <tr r="M109" s="3"/>
      </tp>
      <tp t="s">
        <v>#N/A N/A</v>
        <stp/>
        <stp>BDP|9258073802214906116</stp>
        <tr r="G106" s="3"/>
      </tp>
      <tp t="s">
        <v>#N/A N/A</v>
        <stp/>
        <stp>BDP|6721634048059822193</stp>
        <tr r="L112" s="3"/>
      </tp>
      <tp t="s">
        <v>#N/A N/A</v>
        <stp/>
        <stp>BDP|5526159416438996120</stp>
        <tr r="P100" s="3"/>
      </tp>
      <tp t="s">
        <v>#N/A N/A</v>
        <stp/>
        <stp>BDP|6795161041158553774</stp>
        <tr r="N117" s="3"/>
      </tp>
      <tp t="s">
        <v>#N/A N/A</v>
        <stp/>
        <stp>BDP|7711322246424126803</stp>
        <tr r="J95" s="3"/>
      </tp>
      <tp t="s">
        <v>#N/A N/A</v>
        <stp/>
        <stp>BDP|5104875630747203571</stp>
        <tr r="F113" s="3"/>
      </tp>
      <tp t="s">
        <v>#N/A N/A</v>
        <stp/>
        <stp>BDP|4604576473282783856</stp>
        <tr r="N93" s="3"/>
      </tp>
      <tp t="s">
        <v>#N/A N/A</v>
        <stp/>
        <stp>BDP|8628598140327932266</stp>
        <tr r="G99" s="3"/>
      </tp>
      <tp t="s">
        <v>#N/A N/A</v>
        <stp/>
        <stp>BDP|4684288549219262756</stp>
        <tr r="O83" s="3"/>
      </tp>
      <tp t="s">
        <v>#N/A N/A</v>
        <stp/>
        <stp>BDP|6801000414422915953</stp>
        <tr r="O76" s="3"/>
      </tp>
      <tp t="s">
        <v>#N/A N/A</v>
        <stp/>
        <stp>BDP|3058017584933515419</stp>
        <tr r="F78" s="3"/>
      </tp>
      <tp t="s">
        <v>#N/A N/A</v>
        <stp/>
        <stp>BDP|6481988317935549782</stp>
        <tr r="I84" s="3"/>
      </tp>
      <tp t="s">
        <v>#N/A N/A</v>
        <stp/>
        <stp>BDP|6323554710628844698</stp>
        <tr r="H109" s="3"/>
      </tp>
      <tp t="s">
        <v>#N/A N/A</v>
        <stp/>
        <stp>BDP|3226761517841752815</stp>
        <tr r="F88" s="3"/>
      </tp>
      <tp t="s">
        <v>#N/A N/A</v>
        <stp/>
        <stp>BDP|1245953762451783376</stp>
        <tr r="F97" s="3"/>
      </tp>
      <tp t="s">
        <v>#N/A N/A</v>
        <stp/>
        <stp>BDP|8844689416235484672</stp>
        <tr r="N120" s="3"/>
      </tp>
      <tp t="s">
        <v>#N/A N/A</v>
        <stp/>
        <stp>BDP|4840900960802172430</stp>
        <tr r="H121" s="3"/>
      </tp>
      <tp t="s">
        <v>#N/A N/A</v>
        <stp/>
        <stp>BDP|8607217058507018556</stp>
        <tr r="P97" s="3"/>
      </tp>
      <tp t="s">
        <v>#N/A N/A</v>
        <stp/>
        <stp>BDP|2591319932958569798</stp>
        <tr r="H110" s="3"/>
      </tp>
      <tp t="s">
        <v>#N/A N/A</v>
        <stp/>
        <stp>BDP|7772879249907011107</stp>
        <tr r="P113" s="3"/>
      </tp>
      <tp t="s">
        <v>#N/A N/A</v>
        <stp/>
        <stp>BDP|8937756934257768610</stp>
        <tr r="O90" s="3"/>
      </tp>
      <tp t="s">
        <v>#N/A N/A</v>
        <stp/>
        <stp>BDP|9636450721622810047</stp>
        <tr r="R78" s="3"/>
      </tp>
      <tp t="s">
        <v>#N/A N/A</v>
        <stp/>
        <stp>BDP|6636879111622699098</stp>
        <tr r="R113" s="3"/>
      </tp>
      <tp t="s">
        <v>#N/A N/A</v>
        <stp/>
        <stp>BDP|6733635784421974467</stp>
        <tr r="J120" s="3"/>
      </tp>
      <tp t="s">
        <v>#N/A N/A</v>
        <stp/>
        <stp>BDP|8575756841605259309</stp>
        <tr r="M111" s="3"/>
      </tp>
      <tp t="s">
        <v>#N/A N/A</v>
        <stp/>
        <stp>BDP|5064708860151710879</stp>
        <tr r="F120" s="3"/>
      </tp>
      <tp t="s">
        <v>#N/A N/A</v>
        <stp/>
        <stp>BDP|1595802908141949548</stp>
        <tr r="F80" s="3"/>
      </tp>
      <tp t="s">
        <v>#N/A N/A</v>
        <stp/>
        <stp>BDP|2212983861481879127</stp>
        <tr r="P105" s="3"/>
      </tp>
      <tp t="s">
        <v>#N/A N/A</v>
        <stp/>
        <stp>BDP|9561868885541981596</stp>
        <tr r="J100" s="3"/>
      </tp>
      <tp t="s">
        <v>#N/A N/A</v>
        <stp/>
        <stp>BDP|9423754722542079351</stp>
        <tr r="F101" s="3"/>
      </tp>
      <tp t="s">
        <v>#N/A N/A</v>
        <stp/>
        <stp>BDP|3419366189302872757</stp>
        <tr r="J93" s="3"/>
      </tp>
      <tp t="s">
        <v>#N/A N/A</v>
        <stp/>
        <stp>BDP|2171882983667800858</stp>
        <tr r="L117" s="3"/>
      </tp>
      <tp t="s">
        <v>#N/A N/A</v>
        <stp/>
        <stp>BDP|1327723625808241127</stp>
        <tr r="O119" s="3"/>
      </tp>
      <tp t="s">
        <v>#N/A N/A</v>
        <stp/>
        <stp>BDP|6831985726367560768</stp>
        <tr r="L99" s="3"/>
      </tp>
      <tp t="s">
        <v>#N/A N/A</v>
        <stp/>
        <stp>BDP|8914110053676954772</stp>
        <tr r="M99" s="3"/>
      </tp>
      <tp t="s">
        <v>#N/A N/A</v>
        <stp/>
        <stp>BDP|3827833789016675812</stp>
        <tr r="G102" s="3"/>
      </tp>
      <tp t="s">
        <v>#N/A N/A</v>
        <stp/>
        <stp>BDP|3102667008218959037</stp>
        <tr r="G113" s="3"/>
      </tp>
      <tp t="s">
        <v>#N/A N/A</v>
        <stp/>
        <stp>BDP|4033375955469916523</stp>
        <tr r="O84" s="3"/>
      </tp>
      <tp t="s">
        <v>#N/A N/A</v>
        <stp/>
        <stp>BDP|2262803550827412689</stp>
        <tr r="L89" s="3"/>
      </tp>
      <tp t="s">
        <v>#N/A N/A</v>
        <stp/>
        <stp>BDP|2089578399088542851</stp>
        <tr r="I116" s="3"/>
      </tp>
      <tp t="s">
        <v>#N/A N/A</v>
        <stp/>
        <stp>BDP|9725632631557912506</stp>
        <tr r="G120" s="3"/>
      </tp>
      <tp t="s">
        <v>#N/A N/A</v>
        <stp/>
        <stp>BDP|9214743268593902559</stp>
        <tr r="K100" s="3"/>
      </tp>
      <tp t="s">
        <v>#N/A N/A</v>
        <stp/>
        <stp>BDP|1430956913763979496</stp>
        <tr r="N94" s="3"/>
      </tp>
      <tp t="s">
        <v>#N/A N/A</v>
        <stp/>
        <stp>BDP|3304545284004127418</stp>
        <tr r="J78" s="3"/>
      </tp>
      <tp t="s">
        <v>#N/A N/A</v>
        <stp/>
        <stp>BDP|3029073867362502962</stp>
        <tr r="L98" s="3"/>
      </tp>
      <tp t="s">
        <v>#N/A N/A</v>
        <stp/>
        <stp>BDP|7264968152405636064</stp>
        <tr r="I78" s="3"/>
      </tp>
      <tp t="s">
        <v>#N/A N/A</v>
        <stp/>
        <stp>BDP|8169194763269945848</stp>
        <tr r="R76" s="3"/>
      </tp>
      <tp t="s">
        <v>#N/A N/A</v>
        <stp/>
        <stp>BDP|5483898131784909435</stp>
        <tr r="R84" s="3"/>
      </tp>
      <tp t="s">
        <v>#N/A N/A</v>
        <stp/>
        <stp>BDP|4337922360283786623</stp>
        <tr r="Q116" s="3"/>
      </tp>
      <tp t="s">
        <v>#N/A N/A</v>
        <stp/>
        <stp>BDP|7299111074847122834</stp>
        <tr r="Q100" s="3"/>
      </tp>
      <tp t="s">
        <v>#N/A N/A</v>
        <stp/>
        <stp>BDP|4178000149408513772</stp>
        <tr r="I107" s="3"/>
      </tp>
      <tp t="s">
        <v>#N/A N/A</v>
        <stp/>
        <stp>BDP|3378906149527830684</stp>
        <tr r="F92" s="3"/>
      </tp>
      <tp t="s">
        <v>#N/A N/A</v>
        <stp/>
        <stp>BDP|9158707242713976600</stp>
        <tr r="H77" s="3"/>
      </tp>
      <tp t="s">
        <v>#N/A N/A</v>
        <stp/>
        <stp>BDP|1799519198343604138</stp>
        <tr r="J79" s="3"/>
      </tp>
      <tp t="s">
        <v>#N/A N/A</v>
        <stp/>
        <stp>BDP|3873823021686302030</stp>
        <tr r="G101" s="3"/>
      </tp>
      <tp t="s">
        <v>#N/A N/A</v>
        <stp/>
        <stp>BDP|6677353216862780991</stp>
        <tr r="M112" s="3"/>
      </tp>
      <tp t="s">
        <v>#N/A N/A</v>
        <stp/>
        <stp>BDP|9688210441367812773</stp>
        <tr r="J85" s="3"/>
      </tp>
      <tp t="s">
        <v>#N/A N/A</v>
        <stp/>
        <stp>BDP|6032726906826437892</stp>
        <tr r="Q102" s="3"/>
      </tp>
      <tp t="s">
        <v>#N/A N/A</v>
        <stp/>
        <stp>BDP|8192460770811743594</stp>
        <tr r="F107" s="3"/>
      </tp>
      <tp t="s">
        <v>#N/A N/A</v>
        <stp/>
        <stp>BDP|2370352490712815570</stp>
        <tr r="K74" s="3"/>
      </tp>
      <tp t="s">
        <v>#N/A N/A</v>
        <stp/>
        <stp>BDP|8328364149405026552</stp>
        <tr r="M93" s="3"/>
      </tp>
      <tp t="s">
        <v>#N/A N/A</v>
        <stp/>
        <stp>BDP|4406339953899835456</stp>
        <tr r="N100" s="3"/>
      </tp>
      <tp t="s">
        <v>#N/A N/A</v>
        <stp/>
        <stp>BDP|7732571254438204087</stp>
        <tr r="O115" s="3"/>
      </tp>
      <tp t="s">
        <v>#N/A N/A</v>
        <stp/>
        <stp>BDP|9957395457122838214</stp>
        <tr r="P74" s="3"/>
      </tp>
      <tp t="s">
        <v>#N/A N/A</v>
        <stp/>
        <stp>BDP|7906008656639703457</stp>
        <tr r="F104" s="3"/>
      </tp>
      <tp t="s">
        <v>#N/A N/A</v>
        <stp/>
        <stp>BDP|2921904568040480267</stp>
        <tr r="P73" s="3"/>
      </tp>
      <tp t="s">
        <v>#N/A N/A</v>
        <stp/>
        <stp>BDP|8724916025664516868</stp>
        <tr r="F75" s="3"/>
      </tp>
      <tp t="s">
        <v>#N/A N/A</v>
        <stp/>
        <stp>BDP|7803631359348237306</stp>
        <tr r="K88" s="3"/>
      </tp>
      <tp t="s">
        <v>#N/A N/A</v>
        <stp/>
        <stp>BDP|6434184696392889344</stp>
        <tr r="N97" s="3"/>
      </tp>
      <tp t="s">
        <v>#N/A N/A</v>
        <stp/>
        <stp>BDP|8946052379802344206</stp>
        <tr r="J89" s="3"/>
      </tp>
      <tp t="s">
        <v>#N/A N/A</v>
        <stp/>
        <stp>BDP|6710731358188885331</stp>
        <tr r="P85" s="3"/>
      </tp>
      <tp t="s">
        <v>#N/A N/A</v>
        <stp/>
        <stp>BDP|8893461630294163484</stp>
        <tr r="F94" s="3"/>
      </tp>
      <tp t="s">
        <v>#N/A N/A</v>
        <stp/>
        <stp>BDP|7275222065159675542</stp>
        <tr r="N109" s="3"/>
      </tp>
      <tp t="s">
        <v>#N/A N/A</v>
        <stp/>
        <stp>BDP|2640017696301156573</stp>
        <tr r="K94" s="3"/>
      </tp>
      <tp t="s">
        <v>#N/A N/A</v>
        <stp/>
        <stp>BDP|5207215813060184953</stp>
        <tr r="I111" s="3"/>
      </tp>
      <tp t="s">
        <v>#N/A N/A</v>
        <stp/>
        <stp>BDP|8183274164081622210</stp>
        <tr r="G84" s="3"/>
      </tp>
      <tp t="s">
        <v>#N/A N/A</v>
        <stp/>
        <stp>BDP|9133932232015721926</stp>
        <tr r="K86" s="3"/>
      </tp>
      <tp t="s">
        <v>#N/A N/A</v>
        <stp/>
        <stp>BDP|8881692631531334491</stp>
        <tr r="K98" s="3"/>
      </tp>
      <tp t="s">
        <v>#N/A N/A</v>
        <stp/>
        <stp>BDP|4254825683535125985</stp>
        <tr r="M102" s="3"/>
      </tp>
      <tp t="s">
        <v>#N/A N/A</v>
        <stp/>
        <stp>BDP|9806091174476909048</stp>
        <tr r="O85" s="3"/>
      </tp>
      <tp t="s">
        <v>#N/A N/A</v>
        <stp/>
        <stp>BDP|5244146999917738215</stp>
        <tr r="P83" s="3"/>
      </tp>
      <tp t="s">
        <v>#N/A N/A</v>
        <stp/>
        <stp>BDP|9936433466923654047</stp>
        <tr r="F116" s="3"/>
      </tp>
      <tp t="s">
        <v>#N/A N/A</v>
        <stp/>
        <stp>BDP|5779349599105368273</stp>
        <tr r="R88" s="3"/>
      </tp>
      <tp t="s">
        <v>#N/A N/A</v>
        <stp/>
        <stp>BDP|1640292982151498253</stp>
        <tr r="I94" s="3"/>
      </tp>
      <tp t="s">
        <v>#N/A N/A</v>
        <stp/>
        <stp>BDP|3151358852304989928</stp>
        <tr r="M103" s="3"/>
      </tp>
      <tp t="s">
        <v>#N/A N/A</v>
        <stp/>
        <stp>BDP|8966867663919293730</stp>
        <tr r="Q73" s="3"/>
      </tp>
      <tp t="s">
        <v>#N/A N/A</v>
        <stp/>
        <stp>BDP|8324135380570892959</stp>
        <tr r="P110" s="3"/>
      </tp>
      <tp t="s">
        <v>#N/A N/A</v>
        <stp/>
        <stp>BDP|7563367891424403140</stp>
        <tr r="H106" s="3"/>
      </tp>
      <tp t="s">
        <v>#N/A N/A</v>
        <stp/>
        <stp>BDP|5793892587055370892</stp>
        <tr r="G112" s="3"/>
      </tp>
      <tp t="s">
        <v>#N/A N/A</v>
        <stp/>
        <stp>BDP|1980892776402646407</stp>
        <tr r="R121" s="3"/>
      </tp>
      <tp t="s">
        <v>#N/A N/A</v>
        <stp/>
        <stp>BDP|4999479230989980276</stp>
        <tr r="R94" s="3"/>
      </tp>
      <tp t="s">
        <v>#N/A N/A</v>
        <stp/>
        <stp>BDP|4955413618798017118</stp>
        <tr r="H98" s="3"/>
      </tp>
      <tp t="s">
        <v>#N/A N/A</v>
        <stp/>
        <stp>BDP|3929381041305362928</stp>
        <tr r="F109" s="3"/>
      </tp>
      <tp t="s">
        <v>#N/A N/A</v>
        <stp/>
        <stp>BDP|8369233232339268813</stp>
        <tr r="G91" s="3"/>
      </tp>
      <tp t="s">
        <v>#N/A N/A</v>
        <stp/>
        <stp>BDP|2800653293660818576</stp>
        <tr r="J112" s="3"/>
      </tp>
      <tp t="s">
        <v>#N/A N/A</v>
        <stp/>
        <stp>BDP|1681859411609628952</stp>
        <tr r="H107" s="3"/>
      </tp>
      <tp t="s">
        <v>#N/A N/A</v>
        <stp/>
        <stp>BDP|8901064072493876430</stp>
        <tr r="F100" s="3"/>
      </tp>
      <tp t="s">
        <v>#N/A N/A</v>
        <stp/>
        <stp>BDP|7223407255838595642</stp>
        <tr r="L120" s="3"/>
      </tp>
      <tp t="s">
        <v>#N/A N/A</v>
        <stp/>
        <stp>BDP|3423185889803261125</stp>
        <tr r="N112" s="3"/>
      </tp>
      <tp t="s">
        <v>#N/A N/A</v>
        <stp/>
        <stp>BDP|7332654833263017907</stp>
        <tr r="R117" s="3"/>
      </tp>
      <tp t="s">
        <v>#N/A N/A</v>
        <stp/>
        <stp>BDP|8664365259464596366</stp>
        <tr r="N95" s="3"/>
      </tp>
      <tp t="s">
        <v>#N/A N/A</v>
        <stp/>
        <stp>BDP|6992094839394531847</stp>
        <tr r="G85" s="3"/>
      </tp>
      <tp t="s">
        <v>#N/A N/A</v>
        <stp/>
        <stp>BDP|7203029099613186408</stp>
        <tr r="P121" s="3"/>
      </tp>
      <tp t="s">
        <v>#N/A N/A</v>
        <stp/>
        <stp>BDP|7402882537330061547</stp>
        <tr r="N88" s="3"/>
      </tp>
      <tp t="s">
        <v>#N/A N/A</v>
        <stp/>
        <stp>BDP|8660638079944726445</stp>
        <tr r="Q117" s="3"/>
      </tp>
      <tp t="s">
        <v>#N/A N/A</v>
        <stp/>
        <stp>BDP|4495957828952439413</stp>
        <tr r="K90" s="3"/>
      </tp>
      <tp t="s">
        <v>#N/A N/A</v>
        <stp/>
        <stp>BDP|6571349014049758409</stp>
        <tr r="Q107" s="3"/>
      </tp>
      <tp t="s">
        <v>#N/A N/A</v>
        <stp/>
        <stp>BDP|2707496753088797292</stp>
        <tr r="M121" s="3"/>
      </tp>
      <tp t="s">
        <v>#N/A N/A</v>
        <stp/>
        <stp>BDP|3103822409021004391</stp>
        <tr r="H117" s="3"/>
      </tp>
      <tp t="s">
        <v>#N/A N/A</v>
        <stp/>
        <stp>BDP|5745307103469208654</stp>
        <tr r="L86" s="3"/>
      </tp>
      <tp t="s">
        <v>#N/A N/A</v>
        <stp/>
        <stp>BDP|9746172572740585671</stp>
        <tr r="G74" s="3"/>
      </tp>
      <tp t="s">
        <v>#N/A N/A</v>
        <stp/>
        <stp>BDP|1233457805045684929</stp>
        <tr r="L111" s="3"/>
      </tp>
      <tp t="s">
        <v>#N/A N/A</v>
        <stp/>
        <stp>BDP|5823191683944438118</stp>
        <tr r="K105" s="3"/>
      </tp>
      <tp t="s">
        <v>#N/A N/A</v>
        <stp/>
        <stp>BDP|2193961087818262250</stp>
        <tr r="G80" s="3"/>
      </tp>
      <tp t="s">
        <v>#N/A N/A</v>
        <stp/>
        <stp>BDP|9946389226208663953</stp>
        <tr r="K112" s="3"/>
      </tp>
      <tp t="s">
        <v>#N/A N/A</v>
        <stp/>
        <stp>BDP|9203252328324904422</stp>
        <tr r="N86" s="3"/>
      </tp>
      <tp t="s">
        <v>#N/A N/A</v>
        <stp/>
        <stp>BDP|9864799008087548089</stp>
        <tr r="Q101" s="3"/>
      </tp>
      <tp t="s">
        <v>#N/A N/A</v>
        <stp/>
        <stp>BDP|7310347292454534043</stp>
        <tr r="H119" s="3"/>
      </tp>
      <tp t="s">
        <v>#N/A N/A</v>
        <stp/>
        <stp>BDP|3250857319133589300</stp>
        <tr r="Q95" s="3"/>
      </tp>
      <tp t="s">
        <v>#N/A N/A</v>
        <stp/>
        <stp>BDP|7889988149677039718</stp>
        <tr r="R90" s="3"/>
      </tp>
      <tp t="s">
        <v>#N/A N/A</v>
        <stp/>
        <stp>BDP|3989312087353250159</stp>
        <tr r="H115" s="3"/>
      </tp>
      <tp t="s">
        <v>#N/A N/A</v>
        <stp/>
        <stp>BDP|8165186740006789170</stp>
        <tr r="L101" s="3"/>
      </tp>
      <tp t="s">
        <v>#N/A N/A</v>
        <stp/>
        <stp>BDP|8505615429150271624</stp>
        <tr r="K77" s="3"/>
      </tp>
      <tp t="s">
        <v>#N/A N/A</v>
        <stp/>
        <stp>BDP|2209668536899361435</stp>
        <tr r="H91" s="3"/>
      </tp>
      <tp t="s">
        <v>#N/A N/A</v>
        <stp/>
        <stp>BDP|3736817511278315864</stp>
        <tr r="L105" s="3"/>
      </tp>
      <tp t="s">
        <v>#N/A N/A</v>
        <stp/>
        <stp>BDP|3627058435163018950</stp>
        <tr r="O75" s="3"/>
      </tp>
      <tp t="s">
        <v>#N/A N/A</v>
        <stp/>
        <stp>BDP|9233079950745344357</stp>
        <tr r="J83" s="3"/>
      </tp>
      <tp t="s">
        <v>#N/A N/A</v>
        <stp/>
        <stp>BDP|7088914884218000413</stp>
        <tr r="J101" s="3"/>
      </tp>
      <tp t="s">
        <v>#N/A N/A</v>
        <stp/>
        <stp>BDP|7647318332109524458</stp>
        <tr r="N118" s="3"/>
      </tp>
      <tp t="s">
        <v>#N/A N/A</v>
        <stp/>
        <stp>BDP|9744598024666340335</stp>
        <tr r="G110" s="3"/>
      </tp>
      <tp t="s">
        <v>#N/A N/A</v>
        <stp/>
        <stp>BDP|5685051594181562693</stp>
        <tr r="K89" s="3"/>
      </tp>
      <tp t="s">
        <v>#N/A N/A</v>
        <stp/>
        <stp>BDP|1172390340938474545</stp>
        <tr r="O105" s="3"/>
      </tp>
      <tp t="s">
        <v>#N/A N/A</v>
        <stp/>
        <stp>BDP|8429296940892587704</stp>
        <tr r="H92" s="3"/>
      </tp>
      <tp t="s">
        <v>#N/A N/A</v>
        <stp/>
        <stp>BDP|5618864268258515853</stp>
        <tr r="I77" s="3"/>
      </tp>
      <tp t="s">
        <v>#N/A N/A</v>
        <stp/>
        <stp>BDP|7537247363151215983</stp>
        <tr r="N74" s="3"/>
      </tp>
      <tp t="s">
        <v>#N/A N/A</v>
        <stp/>
        <stp>BDP|6040451781681388096</stp>
        <tr r="O116" s="3"/>
      </tp>
      <tp t="s">
        <v>#N/A N/A</v>
        <stp/>
        <stp>BDP|8304339564711302784</stp>
        <tr r="P104" s="3"/>
      </tp>
      <tp t="s">
        <v>#N/A N/A</v>
        <stp/>
        <stp>BDP|9255001128630629031</stp>
        <tr r="M107" s="3"/>
      </tp>
      <tp t="s">
        <v>#N/A N/A</v>
        <stp/>
        <stp>BDP|8271896746849616660</stp>
        <tr r="R97" s="3"/>
      </tp>
      <tp t="s">
        <v>#N/A N/A</v>
        <stp/>
        <stp>BDP|1080897788468928257</stp>
        <tr r="N106" s="3"/>
      </tp>
      <tp t="s">
        <v>#N/A N/A</v>
        <stp/>
        <stp>BDP|8855111425334224437</stp>
        <tr r="H83" s="3"/>
      </tp>
      <tp t="s">
        <v>#N/A N/A</v>
        <stp/>
        <stp>BDP|8000754122197026175</stp>
        <tr r="P75" s="3"/>
      </tp>
      <tp t="s">
        <v>#N/A N/A</v>
        <stp/>
        <stp>BDP|6790617948277818869</stp>
        <tr r="G73" s="3"/>
      </tp>
      <tp t="s">
        <v>#N/A N/A</v>
        <stp/>
        <stp>BDP|3692115015611230917</stp>
        <tr r="I73" s="3"/>
      </tp>
      <tp t="s">
        <v>#N/A N/A</v>
        <stp/>
        <stp>BDP|9136517848183813012</stp>
        <tr r="F111" s="3"/>
      </tp>
      <tp t="s">
        <v>#N/A N/A</v>
        <stp/>
        <stp>BDP|3895310322011595888</stp>
        <tr r="N102" s="3"/>
      </tp>
      <tp t="s">
        <v>#N/A N/A</v>
        <stp/>
        <stp>BDP|5481836268656194693</stp>
        <tr r="P91" s="3"/>
      </tp>
      <tp t="s">
        <v>#N/A N/A</v>
        <stp/>
        <stp>BDP|4124944021682824688</stp>
        <tr r="K91" s="3"/>
      </tp>
      <tp t="s">
        <v>#N/A N/A</v>
        <stp/>
        <stp>BDP|8462166471032679706</stp>
        <tr r="L88" s="3"/>
      </tp>
      <tp t="s">
        <v>#N/A N/A</v>
        <stp/>
        <stp>BDP|6130486913244412369</stp>
        <tr r="R104" s="3"/>
      </tp>
      <tp t="s">
        <v>#N/A N/A</v>
        <stp/>
        <stp>BDP|5597914224903968905</stp>
        <tr r="K118" s="3"/>
      </tp>
      <tp t="s">
        <v>#N/A N/A</v>
        <stp/>
        <stp>BDP|2722142639261361502</stp>
        <tr r="N75" s="3"/>
      </tp>
      <tp t="s">
        <v>#N/A N/A</v>
        <stp/>
        <stp>BDP|9756144455961961825</stp>
        <tr r="H84" s="3"/>
      </tp>
      <tp t="s">
        <v>#N/A N/A</v>
        <stp/>
        <stp>BDP|1905601244677710089</stp>
        <tr r="H78" s="3"/>
      </tp>
      <tp t="s">
        <v>#N/A N/A</v>
        <stp/>
        <stp>BDP|8570859834855112273</stp>
        <tr r="L92" s="3"/>
      </tp>
      <tp t="s">
        <v>#N/A N/A</v>
        <stp/>
        <stp>BDP|5721768465219062970</stp>
        <tr r="K119" s="3"/>
      </tp>
      <tp t="s">
        <v>#N/A N/A</v>
        <stp/>
        <stp>BDP|6271005025116748631</stp>
        <tr r="P116" s="3"/>
      </tp>
      <tp t="s">
        <v>#N/A N/A</v>
        <stp/>
        <stp>BDP|5965063216749807913</stp>
        <tr r="H79" s="3"/>
      </tp>
      <tp t="s">
        <v>#N/A N/A</v>
        <stp/>
        <stp>BDP|1344002206215586015</stp>
        <tr r="G76" s="3"/>
      </tp>
      <tp t="s">
        <v>#N/A N/A</v>
        <stp/>
        <stp>BDP|8117922117970371417</stp>
        <tr r="Q90" s="3"/>
      </tp>
      <tp t="s">
        <v>#N/A N/A</v>
        <stp/>
        <stp>BDP|4930764248964528743</stp>
        <tr r="O81" s="3"/>
      </tp>
      <tp t="s">
        <v>#N/A N/A</v>
        <stp/>
        <stp>BDP|8708496769517783973</stp>
        <tr r="M105" s="3"/>
      </tp>
      <tp t="s">
        <v>#N/A N/A</v>
        <stp/>
        <stp>BDP|5095864195529313947</stp>
        <tr r="L77" s="3"/>
      </tp>
      <tp t="s">
        <v>#N/A N/A</v>
        <stp/>
        <stp>BDP|6314505667913764263</stp>
        <tr r="N81" s="3"/>
      </tp>
      <tp t="s">
        <v>#N/A N/A</v>
        <stp/>
        <stp>BDP|3845091676834222400</stp>
        <tr r="J90" s="3"/>
      </tp>
      <tp t="s">
        <v>#N/A N/A</v>
        <stp/>
        <stp>BDP|5527135832890647379</stp>
        <tr r="M108" s="3"/>
      </tp>
      <tp t="s">
        <v>#N/A N/A</v>
        <stp/>
        <stp>BDP|7310191772002692662</stp>
        <tr r="I76" s="3"/>
      </tp>
      <tp t="s">
        <v>#N/A N/A</v>
        <stp/>
        <stp>BDP|5621867317198840160</stp>
        <tr r="I114" s="3"/>
      </tp>
      <tp t="s">
        <v>#N/A N/A</v>
        <stp/>
        <stp>BDP|5087037877290917737</stp>
        <tr r="P117" s="3"/>
      </tp>
      <tp t="s">
        <v>#N/A N/A</v>
        <stp/>
        <stp>BDP|8331499788045832445</stp>
        <tr r="K73" s="3"/>
      </tp>
      <tp t="s">
        <v>#N/A N/A</v>
        <stp/>
        <stp>BDP|8976970642468645847</stp>
        <tr r="O103" s="3"/>
      </tp>
      <tp t="s">
        <v>#N/A N/A</v>
        <stp/>
        <stp>BDP|6468328717066694783</stp>
        <tr r="L83" s="3"/>
      </tp>
      <tp t="s">
        <v>#N/A N/A</v>
        <stp/>
        <stp>BDP|5782613068455221504</stp>
        <tr r="J115" s="3"/>
      </tp>
      <tp t="s">
        <v>#N/A N/A</v>
        <stp/>
        <stp>BDP|4442138488200234811</stp>
        <tr r="O77" s="3"/>
      </tp>
      <tp t="s">
        <v>#N/A N/A</v>
        <stp/>
        <stp>BDP|3618688255814672119</stp>
        <tr r="K103" s="3"/>
      </tp>
      <tp t="s">
        <v>#N/A N/A</v>
        <stp/>
        <stp>BDP|1729450029052404021</stp>
        <tr r="O78" s="3"/>
      </tp>
      <tp t="s">
        <v>#N/A N/A</v>
        <stp/>
        <stp>BDP|6188077753056269057</stp>
        <tr r="H108" s="3"/>
      </tp>
      <tp t="s">
        <v>#N/A N/A</v>
        <stp/>
        <stp>BDP|8361062590837320357</stp>
        <tr r="O120" s="3"/>
      </tp>
      <tp t="s">
        <v>#N/A N/A</v>
        <stp/>
        <stp>BDP|8251014330766031821</stp>
        <tr r="N77" s="3"/>
      </tp>
      <tp t="s">
        <v>#N/A N/A</v>
        <stp/>
        <stp>BDP|6041160262352840687</stp>
        <tr r="P77" s="3"/>
      </tp>
      <tp t="s">
        <v>#N/A N/A</v>
        <stp/>
        <stp>BDP|1404421873072804595</stp>
        <tr r="J97" s="3"/>
      </tp>
      <tp t="s">
        <v>#N/A N/A</v>
        <stp/>
        <stp>BDP|6257738212434700116</stp>
        <tr r="I85" s="3"/>
      </tp>
      <tp t="s">
        <v>#N/A N/A</v>
        <stp/>
        <stp>BDP|8166115540551284971</stp>
        <tr r="Q113" s="3"/>
      </tp>
      <tp t="s">
        <v>#N/A N/A</v>
        <stp/>
        <stp>BDP|3208207323722172459</stp>
        <tr r="L108" s="3"/>
      </tp>
      <tp t="s">
        <v>#N/A N/A</v>
        <stp/>
        <stp>BDP|5416198308734821661</stp>
        <tr r="Q86" s="3"/>
      </tp>
      <tp t="s">
        <v>#N/A N/A</v>
        <stp/>
        <stp>BDP|2221117731010866617</stp>
        <tr r="K81" s="3"/>
      </tp>
      <tp t="s">
        <v>#N/A N/A</v>
        <stp/>
        <stp>BDP|8909177299472681486</stp>
        <tr r="R75" s="3"/>
      </tp>
      <tp t="s">
        <v>#N/A N/A</v>
        <stp/>
        <stp>BDP|3764624078891631550</stp>
        <tr r="L82" s="3"/>
      </tp>
      <tp t="s">
        <v>#N/A N/A</v>
        <stp/>
        <stp>BDP|7444142869065484333</stp>
        <tr r="R101" s="3"/>
      </tp>
      <tp t="s">
        <v>#N/A N/A</v>
        <stp/>
        <stp>BDP|6289025160477828178</stp>
        <tr r="I117" s="3"/>
      </tp>
      <tp t="s">
        <v>#N/A N/A</v>
        <stp/>
        <stp>BDP|4077338760792495586</stp>
        <tr r="L104" s="3"/>
      </tp>
      <tp t="s">
        <v>#N/A N/A</v>
        <stp/>
        <stp>BDP|4276990395114008632</stp>
        <tr r="G86" s="3"/>
      </tp>
      <tp t="s">
        <v>#N/A N/A</v>
        <stp/>
        <stp>BDP|2897667301183909145</stp>
        <tr r="P114" s="3"/>
      </tp>
      <tp t="s">
        <v>#N/A N/A</v>
        <stp/>
        <stp>BDP|4663557964061237073</stp>
        <tr r="L93" s="3"/>
      </tp>
      <tp t="s">
        <v>#N/A N/A</v>
        <stp/>
        <stp>BDP|2262429356660668501</stp>
        <tr r="I121" s="3"/>
      </tp>
      <tp t="s">
        <v>#N/A N/A</v>
        <stp/>
        <stp>BDP|6722310706817259428</stp>
        <tr r="M97" s="3"/>
      </tp>
      <tp t="s">
        <v>#N/A N/A</v>
        <stp/>
        <stp>BDP|5823236320383929023</stp>
        <tr r="J96" s="3"/>
      </tp>
      <tp t="s">
        <v>#N/A N/A</v>
        <stp/>
        <stp>BDP|6536484037277916024</stp>
        <tr r="P89" s="3"/>
      </tp>
      <tp t="s">
        <v>#N/A N/A</v>
        <stp/>
        <stp>BDP|8158866667703124305</stp>
        <tr r="Q114" s="3"/>
      </tp>
      <tp t="s">
        <v>#N/A N/A</v>
        <stp/>
        <stp>BDP|4110650665247155568</stp>
        <tr r="N87" s="3"/>
      </tp>
      <tp t="s">
        <v>#N/A N/A</v>
        <stp/>
        <stp>BDP|9077133443502064878</stp>
        <tr r="N108" s="3"/>
      </tp>
      <tp t="s">
        <v>#N/A N/A</v>
        <stp/>
        <stp>BDP|3303931682584420016</stp>
        <tr r="O121" s="3"/>
      </tp>
      <tp t="s">
        <v>#N/A N/A</v>
        <stp/>
        <stp>BDP|3572682756172781485</stp>
        <tr r="G93" s="3"/>
      </tp>
      <tp t="s">
        <v>#N/A N/A</v>
        <stp/>
        <stp>BDP|7676308531407200618</stp>
        <tr r="J87" s="3"/>
      </tp>
      <tp t="s">
        <v>#N/A N/A</v>
        <stp/>
        <stp>BDP|1838420956700114689</stp>
        <tr r="R73" s="3"/>
      </tp>
      <tp t="s">
        <v>#N/A N/A</v>
        <stp/>
        <stp>BDP|8417852829471245419</stp>
        <tr r="J121" s="3"/>
      </tp>
      <tp t="s">
        <v>#N/A N/A</v>
        <stp/>
        <stp>BDP|5684243883478312090</stp>
        <tr r="Q103" s="3"/>
      </tp>
      <tp t="s">
        <v>#N/A N/A</v>
        <stp/>
        <stp>BDP|1683409423533917345</stp>
        <tr r="R119" s="3"/>
      </tp>
      <tp t="s">
        <v>#N/A N/A</v>
        <stp/>
        <stp>BDP|5368484127592358672</stp>
        <tr r="P106" s="3"/>
      </tp>
      <tp t="s">
        <v>#N/A N/A</v>
        <stp/>
        <stp>BDP|2453650281738040381</stp>
        <tr r="K82" s="3"/>
      </tp>
      <tp t="s">
        <v>#N/A N/A</v>
        <stp/>
        <stp>BDP|6637367067067848313</stp>
        <tr r="F110" s="3"/>
      </tp>
      <tp t="s">
        <v>#N/A N/A</v>
        <stp/>
        <stp>BDP|1131956057729998365</stp>
        <tr r="L109" s="3"/>
      </tp>
      <tp t="s">
        <v>#N/A N/A</v>
        <stp/>
        <stp>BDP|4050630677592468009</stp>
        <tr r="Q78" s="3"/>
      </tp>
      <tp t="s">
        <v>#N/A N/A</v>
        <stp/>
        <stp>BDP|9145120693131934786</stp>
        <tr r="N119" s="3"/>
      </tp>
      <tp t="s">
        <v>#N/A N/A</v>
        <stp/>
        <stp>BDP|3326035236236904198</stp>
        <tr r="J117" s="3"/>
      </tp>
      <tp t="s">
        <v>#N/A N/A</v>
        <stp/>
        <stp>BDP|4960548204425765383</stp>
        <tr r="J94" s="3"/>
      </tp>
      <tp t="s">
        <v>#N/A N/A</v>
        <stp/>
        <stp>BDP|8123766751289036406</stp>
        <tr r="R105" s="3"/>
      </tp>
      <tp t="s">
        <v>#N/A N/A</v>
        <stp/>
        <stp>BDP|6396553324142118449</stp>
        <tr r="J88" s="3"/>
      </tp>
      <tp t="s">
        <v>#N/A N/A</v>
        <stp/>
        <stp>BDP|9843639549378695417</stp>
        <tr r="G90" s="3"/>
      </tp>
      <tp t="s">
        <v>#N/A N/A</v>
        <stp/>
        <stp>BDP|1571574151595515337</stp>
        <tr r="K85" s="3"/>
      </tp>
      <tp t="s">
        <v>#N/A N/A</v>
        <stp/>
        <stp>BDP|6176663708137614735</stp>
        <tr r="I96" s="3"/>
      </tp>
      <tp t="s">
        <v>#N/A N/A</v>
        <stp/>
        <stp>BDP|6770836436835951807</stp>
        <tr r="M80" s="3"/>
      </tp>
      <tp t="s">
        <v>#N/A N/A</v>
        <stp/>
        <stp>BDP|2814329622636584561</stp>
        <tr r="H88" s="3"/>
      </tp>
      <tp t="s">
        <v>#N/A N/A</v>
        <stp/>
        <stp>BDP|4648684726603468345</stp>
        <tr r="I80" s="3"/>
      </tp>
      <tp t="s">
        <v>#N/A N/A</v>
        <stp/>
        <stp>BDP|7856371141111327148</stp>
        <tr r="L74" s="3"/>
      </tp>
      <tp t="s">
        <v>#N/A N/A</v>
        <stp/>
        <stp>BDP|3912109210370167362</stp>
        <tr r="Q82" s="3"/>
      </tp>
      <tp t="s">
        <v>#N/A N/A</v>
        <stp/>
        <stp>BDP|3421522042586999423</stp>
        <tr r="F118" s="3"/>
      </tp>
      <tp t="s">
        <v>#N/A N/A</v>
        <stp/>
        <stp>BDP|1426743274948212998</stp>
        <tr r="R81" s="3"/>
      </tp>
      <tp t="s">
        <v>#N/A N/A</v>
        <stp/>
        <stp>BDP|4891002434220969790</stp>
        <tr r="O89" s="3"/>
      </tp>
      <tp t="s">
        <v>#N/A N/A</v>
        <stp/>
        <stp>BDP|5617362866552322294</stp>
        <tr r="J113" s="3"/>
      </tp>
      <tp t="s">
        <v>#N/A N/A</v>
        <stp/>
        <stp>BDP|9855504126636540881</stp>
        <tr r="K95" s="3"/>
      </tp>
      <tp t="s">
        <v>#N/A N/A</v>
        <stp/>
        <stp>BDP|3195003036714150462</stp>
        <tr r="F89" s="3"/>
      </tp>
      <tp t="s">
        <v>#N/A N/A</v>
        <stp/>
        <stp>BDP|3772152464273529739</stp>
        <tr r="R110" s="3"/>
      </tp>
      <tp t="s">
        <v>#N/A N/A</v>
        <stp/>
        <stp>BDP|5466980918279512411</stp>
        <tr r="P103" s="3"/>
      </tp>
      <tp t="s">
        <v>#N/A N/A</v>
        <stp/>
        <stp>BDP|5199458610228501809</stp>
        <tr r="P88" s="3"/>
      </tp>
      <tp t="s">
        <v>#N/A N/A</v>
        <stp/>
        <stp>BDP|4683938891761301567</stp>
        <tr r="L78" s="3"/>
      </tp>
      <tp t="s">
        <v>#N/A N/A</v>
        <stp/>
        <stp>BDP|7507187740190927228</stp>
        <tr r="P119" s="3"/>
      </tp>
      <tp t="s">
        <v>#N/A N/A</v>
        <stp/>
        <stp>BDP|7372473679300086496</stp>
        <tr r="I91" s="3"/>
      </tp>
      <tp t="s">
        <v>#N/A N/A</v>
        <stp/>
        <stp>BDP|4765741052721915622</stp>
        <tr r="H96" s="3"/>
      </tp>
      <tp t="s">
        <v>#N/A N/A</v>
        <stp/>
        <stp>BDP|7138272383515972967</stp>
        <tr r="Q118" s="3"/>
      </tp>
      <tp t="s">
        <v>#N/A N/A</v>
        <stp/>
        <stp>BDP|8398902250092804703</stp>
        <tr r="P80" s="3"/>
      </tp>
      <tp t="s">
        <v>#N/A N/A</v>
        <stp/>
        <stp>BDP|7859235645188491816</stp>
        <tr r="P102" s="3"/>
      </tp>
      <tp t="s">
        <v>#N/A N/A</v>
        <stp/>
        <stp>BDP|6034932432218129580</stp>
        <tr r="I79" s="3"/>
      </tp>
      <tp t="s">
        <v>#N/A N/A</v>
        <stp/>
        <stp>BDP|9273915116092960256</stp>
        <tr r="I95" s="3"/>
      </tp>
      <tp t="s">
        <v>#N/A N/A</v>
        <stp/>
        <stp>BDP|2988204424860241309</stp>
        <tr r="K111" s="3"/>
      </tp>
      <tp t="s">
        <v>#N/A N/A</v>
        <stp/>
        <stp>BDP|1983947803338769157</stp>
        <tr r="F83" s="3"/>
      </tp>
      <tp t="s">
        <v>#N/A N/A</v>
        <stp/>
        <stp>BDP|9005103713309746187</stp>
        <tr r="J116" s="3"/>
      </tp>
      <tp t="s">
        <v>#N/A N/A</v>
        <stp/>
        <stp>BDP|3957606914192663776</stp>
        <tr r="K106" s="3"/>
      </tp>
      <tp t="s">
        <v>#N/A N/A</v>
        <stp/>
        <stp>BDP|9028827405457262792</stp>
        <tr r="F85" s="3"/>
      </tp>
      <tp t="s">
        <v>#N/A N/A</v>
        <stp/>
        <stp>BDP|4870105774047807490</stp>
        <tr r="Q111" s="3"/>
      </tp>
      <tp t="s">
        <v>#N/A N/A</v>
        <stp/>
        <stp>BDP|6010266720345396275</stp>
        <tr r="J110" s="3"/>
      </tp>
      <tp t="s">
        <v>#N/A N/A</v>
        <stp/>
        <stp>BDP|4389137960750280201</stp>
        <tr r="R98" s="3"/>
      </tp>
      <tp t="s">
        <v>#N/A N/A</v>
        <stp/>
        <stp>BDP|3465361445285065048</stp>
        <tr r="L113" s="3"/>
      </tp>
      <tp t="s">
        <v>#N/A N/A</v>
        <stp/>
        <stp>BDP|6611510501173692133</stp>
        <tr r="G115" s="3"/>
      </tp>
      <tp t="s">
        <v>#N/A N/A</v>
        <stp/>
        <stp>BDP|9115162239509721395</stp>
        <tr r="Q83" s="3"/>
      </tp>
      <tp t="s">
        <v>#N/A N/A</v>
        <stp/>
        <stp>BDP|4438016577146397419</stp>
        <tr r="Q93" s="3"/>
      </tp>
      <tp t="s">
        <v>#N/A N/A</v>
        <stp/>
        <stp>BDP|1713370235664216462</stp>
        <tr r="J77" s="3"/>
      </tp>
      <tp t="s">
        <v>#N/A N/A</v>
        <stp/>
        <stp>BDP|6655083825085985053</stp>
        <tr r="N80" s="3"/>
      </tp>
      <tp t="s">
        <v>#N/A N/A</v>
        <stp/>
        <stp>BDP|1290811282460568037</stp>
        <tr r="L121" s="3"/>
      </tp>
      <tp t="s">
        <v>#N/A N/A</v>
        <stp/>
        <stp>BDP|2659626252423308328</stp>
        <tr r="I88" s="3"/>
      </tp>
      <tp t="s">
        <v>#N/A N/A</v>
        <stp/>
        <stp>BDP|1112462522645521378</stp>
        <tr r="M95" s="3"/>
      </tp>
      <tp t="s">
        <v>#N/A N/A</v>
        <stp/>
        <stp>BDP|6166265279632918039</stp>
        <tr r="N92" s="3"/>
      </tp>
      <tp t="s">
        <v>#N/A N/A</v>
        <stp/>
        <stp>BDP|7276778095209049144</stp>
        <tr r="O109" s="3"/>
      </tp>
      <tp t="s">
        <v>#N/A N/A</v>
        <stp/>
        <stp>BDP|3485073247097109117</stp>
        <tr r="P94" s="3"/>
      </tp>
      <tp t="s">
        <v>#N/A N/A</v>
        <stp/>
        <stp>BDP|5934341003461205693</stp>
        <tr r="M100" s="3"/>
      </tp>
      <tp t="s">
        <v>#N/A N/A</v>
        <stp/>
        <stp>BDP|5305708824763850154</stp>
        <tr r="I110" s="3"/>
      </tp>
      <tp t="s">
        <v>#N/A N/A</v>
        <stp/>
        <stp>BDP|4315543762650425586</stp>
        <tr r="O118" s="3"/>
      </tp>
      <tp t="s">
        <v>#N/A N/A</v>
        <stp/>
        <stp>BDP|4173280648028015880</stp>
        <tr r="K114" s="3"/>
      </tp>
      <tp t="s">
        <v>#N/A N/A</v>
        <stp/>
        <stp>BDP|2175274079803042613</stp>
        <tr r="R77" s="3"/>
      </tp>
      <tp t="s">
        <v>#N/A N/A</v>
        <stp/>
        <stp>BDP|9006396616251466855</stp>
        <tr r="K116" s="3"/>
      </tp>
      <tp t="s">
        <v>#N/A N/A</v>
        <stp/>
        <stp>BDP|2428114517001978141</stp>
        <tr r="R99" s="3"/>
      </tp>
      <tp t="s">
        <v>#N/A N/A</v>
        <stp/>
        <stp>BDP|2569381433411304118</stp>
        <tr r="R106" s="3"/>
      </tp>
      <tp t="s">
        <v>#N/A N/A</v>
        <stp/>
        <stp>BDP|8746240187007170795</stp>
        <tr r="I100" s="3"/>
      </tp>
      <tp t="s">
        <v>#N/A N/A</v>
        <stp/>
        <stp>BDP|3301278161772167792</stp>
        <tr r="I87" s="3"/>
      </tp>
      <tp t="s">
        <v>#N/A N/A</v>
        <stp/>
        <stp>BDP|1406393958322909715</stp>
        <tr r="I86" s="3"/>
      </tp>
      <tp t="s">
        <v>#N/A N/A</v>
        <stp/>
        <stp>BDP|5351071006532762582</stp>
        <tr r="G114" s="3"/>
      </tp>
      <tp t="s">
        <v>#N/A N/A</v>
        <stp/>
        <stp>BDP|8931805185292756866</stp>
        <tr r="L118" s="3"/>
      </tp>
      <tp t="s">
        <v>#N/A N/A</v>
        <stp/>
        <stp>BDP|7345834232307695960</stp>
        <tr r="H120" s="3"/>
      </tp>
      <tp t="s">
        <v>#N/A N/A</v>
        <stp/>
        <stp>BDP|1668878350018467675</stp>
        <tr r="Q89" s="3"/>
      </tp>
      <tp t="s">
        <v>#N/A N/A</v>
        <stp/>
        <stp>BDP|6892306526942894743</stp>
        <tr r="R103" s="3"/>
      </tp>
      <tp t="s">
        <v>#N/A N/A</v>
        <stp/>
        <stp>BDP|5040617816256991680</stp>
        <tr r="N101" s="3"/>
      </tp>
      <tp t="s">
        <v>#N/A N/A</v>
        <stp/>
        <stp>BDP|7432394774438899974</stp>
        <tr r="R108" s="3"/>
      </tp>
      <tp t="s">
        <v>#N/A N/A</v>
        <stp/>
        <stp>BDP|2784150877160104633</stp>
        <tr r="I120" s="3"/>
      </tp>
      <tp t="s">
        <v>#N/A N/A</v>
        <stp/>
        <stp>BDP|1193763640653633360</stp>
        <tr r="F105" s="3"/>
      </tp>
      <tp t="s">
        <v>#N/A N/A</v>
        <stp/>
        <stp>BDP|9296078547936686911</stp>
        <tr r="Q119" s="3"/>
      </tp>
      <tp t="s">
        <v>#N/A N/A</v>
        <stp/>
        <stp>BDP|6596929989362274796</stp>
        <tr r="J76" s="3"/>
      </tp>
      <tp t="s">
        <v>#N/A N/A</v>
        <stp/>
        <stp>BDP|6185439278576726076</stp>
        <tr r="R111" s="3"/>
      </tp>
      <tp t="s">
        <v>#N/A N/A</v>
        <stp/>
        <stp>BDP|7850329731754194002</stp>
        <tr r="F86" s="3"/>
      </tp>
      <tp t="s">
        <v>#N/A N/A</v>
        <stp/>
        <stp>BDP|4714593933964721513</stp>
        <tr r="Q79" s="3"/>
      </tp>
      <tp t="s">
        <v>#N/A N/A</v>
        <stp/>
        <stp>BDP|6802470712130725012</stp>
        <tr r="J91" s="3"/>
      </tp>
      <tp t="s">
        <v>#N/A N/A</v>
        <stp/>
        <stp>BDP|5468466544890925649</stp>
        <tr r="F77" s="3"/>
      </tp>
      <tp t="s">
        <v>#N/A N/A</v>
        <stp/>
        <stp>BDP|6742793194862394923</stp>
        <tr r="P87" s="3"/>
      </tp>
      <tp t="s">
        <v>#N/A N/A</v>
        <stp/>
        <stp>BDP|9685086591741485207</stp>
        <tr r="G108" s="3"/>
      </tp>
      <tp t="s">
        <v>#N/A N/A</v>
        <stp/>
        <stp>BDP|6283024295464540887</stp>
        <tr r="R89" s="3"/>
      </tp>
      <tp t="s">
        <v>#N/A N/A</v>
        <stp/>
        <stp>BDP|2854137375764762312</stp>
        <tr r="J73" s="3"/>
      </tp>
      <tp t="s">
        <v>#N/A N/A</v>
        <stp/>
        <stp>BDP|8361517533335164885</stp>
        <tr r="M114" s="3"/>
      </tp>
      <tp t="s">
        <v>#N/A N/A</v>
        <stp/>
        <stp>BDP|3269307923857601695</stp>
        <tr r="L75" s="3"/>
      </tp>
      <tp t="s">
        <v>#N/A N/A</v>
        <stp/>
        <stp>BDP|1699207676234854367</stp>
        <tr r="K83" s="3"/>
      </tp>
      <tp t="s">
        <v>#N/A N/A</v>
        <stp/>
        <stp>BDP|9991702043708476117</stp>
        <tr r="L115" s="3"/>
      </tp>
      <tp t="s">
        <v>#N/A N/A</v>
        <stp/>
        <stp>BDP|8141271482843115282</stp>
        <tr r="R114" s="3"/>
      </tp>
      <tp t="s">
        <v>#N/A N/A</v>
        <stp/>
        <stp>BDP|3721751359043268147</stp>
        <tr r="I113" s="3"/>
      </tp>
      <tp t="s">
        <v>#N/A N/A</v>
        <stp/>
        <stp>BDP|7061638271762417743</stp>
        <tr r="H89" s="3"/>
      </tp>
      <tp t="s">
        <v>#N/A N/A</v>
        <stp/>
        <stp>BDP|8469239947368523571</stp>
        <tr r="M87" s="3"/>
      </tp>
      <tp t="s">
        <v>#N/A N/A</v>
        <stp/>
        <stp>BDP|6558333876768506976</stp>
        <tr r="R91" s="3"/>
      </tp>
      <tp t="s">
        <v>#N/A N/A</v>
        <stp/>
        <stp>BDP|6495337623492269667</stp>
        <tr r="G103" s="3"/>
      </tp>
      <tp t="s">
        <v>#N/A N/A</v>
        <stp/>
        <stp>BDP|4505814736015787945</stp>
        <tr r="M78" s="3"/>
      </tp>
      <tp t="s">
        <v>#N/A N/A</v>
        <stp/>
        <stp>BDP|1791314351534135077</stp>
        <tr r="M74" s="3"/>
      </tp>
      <tp t="s">
        <v>#N/A N/A</v>
        <stp/>
        <stp>BDP|7726822953529882085</stp>
        <tr r="L94" s="3"/>
      </tp>
      <tp t="s">
        <v>#N/A N/A</v>
        <stp/>
        <stp>BDP|3797674667414045424</stp>
        <tr r="K84" s="3"/>
      </tp>
      <tp t="s">
        <v>#N/A N/A</v>
        <stp/>
        <stp>BDP|4559419728461080090</stp>
        <tr r="N98" s="3"/>
      </tp>
      <tp t="s">
        <v>#N/A N/A</v>
        <stp/>
        <stp>BDP|7600059207963273734</stp>
        <tr r="M104" s="3"/>
      </tp>
      <tp t="s">
        <v>#N/A N/A</v>
        <stp/>
        <stp>BDP|63127756010855881</stp>
        <tr r="O110" s="3"/>
      </tp>
      <tp t="s">
        <v>#N/A N/A</v>
        <stp/>
        <stp>BDP|82946280976271918</stp>
        <tr r="P79" s="3"/>
      </tp>
      <tp t="s">
        <v>#N/A N/A</v>
        <stp/>
        <stp>BDP|849461251355155073</stp>
        <tr r="L76" s="3"/>
      </tp>
      <tp t="s">
        <v>#N/A N/A</v>
        <stp/>
        <stp>BDP|636349893098048655</stp>
        <tr r="K101" s="3"/>
      </tp>
      <tp t="s">
        <v>#N/A N/A</v>
        <stp/>
        <stp>BDP|830684594638737068</stp>
        <tr r="K102" s="3"/>
      </tp>
      <tp t="s">
        <v>#N/A N/A</v>
        <stp/>
        <stp>BDP|234461140817428025</stp>
        <tr r="M119" s="3"/>
      </tp>
      <tp t="s">
        <v>#N/A N/A</v>
        <stp/>
        <stp>BDP|954454237346797775</stp>
        <tr r="P81" s="3"/>
      </tp>
      <tp t="s">
        <v>#N/A N/A</v>
        <stp/>
        <stp>BDP|845797855086314210</stp>
        <tr r="F106" s="3"/>
      </tp>
      <tp t="s">
        <v>#N/A N/A</v>
        <stp/>
        <stp>BDP|463363801097238518</stp>
        <tr r="Q105" s="3"/>
      </tp>
      <tp t="s">
        <v>#N/A N/A</v>
        <stp/>
        <stp>BDP|709123233002814232</stp>
        <tr r="N82" s="3"/>
      </tp>
      <tp t="s">
        <v>#N/A N/A</v>
        <stp/>
        <stp>BDP|885920932168686007</stp>
        <tr r="K76" s="3"/>
      </tp>
      <tp t="s">
        <v>#N/A N/A</v>
        <stp/>
        <stp>BDP|895508674474084452</stp>
        <tr r="P109" s="3"/>
      </tp>
      <tp t="s">
        <v>#N/A N/A</v>
        <stp/>
        <stp>BDP|803942571994011872</stp>
        <tr r="J106" s="3"/>
      </tp>
      <tp t="s">
        <v>#N/A N/A</v>
        <stp/>
        <stp>BDP|575285859627543247</stp>
        <tr r="H75" s="3"/>
      </tp>
      <tp t="s">
        <v>#N/A N/A</v>
        <stp/>
        <stp>BDP|789251503053165323</stp>
        <tr r="R95" s="3"/>
      </tp>
      <tp t="s">
        <v>#N/A N/A</v>
        <stp/>
        <stp>BDP|396734826061061984</stp>
        <tr r="I115" s="3"/>
      </tp>
      <tp t="s">
        <v>#N/A N/A</v>
        <stp/>
        <stp>BDP|680688758877963843</stp>
        <tr r="P96" s="3"/>
      </tp>
      <tp t="s">
        <v>#N/A N/A</v>
        <stp/>
        <stp>BDP|444104306925084804</stp>
        <tr r="G118" s="3"/>
      </tp>
      <tp t="s">
        <v>#N/A N/A</v>
        <stp/>
        <stp>BDP|450819616258385855</stp>
        <tr r="Q85" s="3"/>
      </tp>
      <tp t="s">
        <v>#N/A N/A</v>
        <stp/>
        <stp>BDP|448704718675555819</stp>
        <tr r="F108" s="3"/>
      </tp>
      <tp t="s">
        <v>#N/A N/A</v>
        <stp/>
        <stp>BDP|913957452746757186</stp>
        <tr r="F82" s="3"/>
      </tp>
      <tp t="s">
        <v>#N/A N/A</v>
        <stp/>
        <stp>BDP|327394746294583981</stp>
        <tr r="L9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C14" sqref="C14"/>
    </sheetView>
  </sheetViews>
  <sheetFormatPr defaultRowHeight="15" x14ac:dyDescent="0.25"/>
  <cols>
    <col min="1" max="1" width="56.28515625" customWidth="1"/>
    <col min="2" max="2" width="15.85546875" customWidth="1"/>
    <col min="3" max="18" width="9.140625" bestFit="1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2023</v>
      </c>
      <c r="G2" t="str">
        <f>IFERROR(IF(0=LEN(ReferenceData!$G$2),"",ReferenceData!$G$2),"")</f>
        <v>2022</v>
      </c>
      <c r="H2" t="str">
        <f>IFERROR(IF(0=LEN(ReferenceData!$H$2),"",ReferenceData!$H$2),"")</f>
        <v>2021</v>
      </c>
      <c r="I2" t="str">
        <f>IFERROR(IF(0=LEN(ReferenceData!$I$2),"",ReferenceData!$I$2),"")</f>
        <v>2020</v>
      </c>
      <c r="J2" t="str">
        <f>IFERROR(IF(0=LEN(ReferenceData!$J$2),"",ReferenceData!$J$2),"")</f>
        <v>2019</v>
      </c>
      <c r="K2" t="str">
        <f>IFERROR(IF(0=LEN(ReferenceData!$K$2),"",ReferenceData!$K$2),"")</f>
        <v>2018</v>
      </c>
      <c r="L2" t="str">
        <f>IFERROR(IF(0=LEN(ReferenceData!$L$2),"",ReferenceData!$L$2),"")</f>
        <v>2017</v>
      </c>
      <c r="M2" t="str">
        <f>IFERROR(IF(0=LEN(ReferenceData!$M$2),"",ReferenceData!$M$2),"")</f>
        <v>2016</v>
      </c>
      <c r="N2" t="str">
        <f>IFERROR(IF(0=LEN(ReferenceData!$N$2),"",ReferenceData!$N$2),"")</f>
        <v>2015</v>
      </c>
      <c r="O2" t="str">
        <f>IFERROR(IF(0=LEN(ReferenceData!$O$2),"",ReferenceData!$O$2),"")</f>
        <v>2014</v>
      </c>
      <c r="P2" t="str">
        <f>IFERROR(IF(0=LEN(ReferenceData!$P$2),"",ReferenceData!$P$2),"")</f>
        <v>2013</v>
      </c>
      <c r="Q2" t="str">
        <f>IFERROR(IF(0=LEN(ReferenceData!$Q$2),"",ReferenceData!$Q$2),"")</f>
        <v>2012</v>
      </c>
      <c r="R2" t="str">
        <f>IFERROR(IF(0=LEN(ReferenceData!$R$2),"",ReferenceData!$R$2),"")</f>
        <v>2011</v>
      </c>
    </row>
    <row r="3" spans="1:18" x14ac:dyDescent="0.25">
      <c r="A3" t="str">
        <f>IFERROR(IF(0=LEN(ReferenceData!$A$3),"",ReferenceData!$A$3),"")</f>
        <v>CTS Container Volume by Lane (TEUs)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Sum</v>
      </c>
      <c r="F3">
        <f ca="1">IFERROR(IF(0=LEN(ReferenceData!$F$3),"",ReferenceData!$F$3),"")</f>
        <v>129451400</v>
      </c>
      <c r="G3">
        <f ca="1">IFERROR(IF(0=LEN(ReferenceData!$G$3),"",ReferenceData!$G$3),"")</f>
        <v>173489900</v>
      </c>
      <c r="H3">
        <f ca="1">IFERROR(IF(0=LEN(ReferenceData!$H$3),"",ReferenceData!$H$3),"")</f>
        <v>180780500</v>
      </c>
      <c r="I3">
        <f ca="1">IFERROR(IF(0=LEN(ReferenceData!$I$3),"",ReferenceData!$I$3),"")</f>
        <v>168079800</v>
      </c>
      <c r="J3">
        <f ca="1">IFERROR(IF(0=LEN(ReferenceData!$J$3),"",ReferenceData!$J$3),"")</f>
        <v>169048200</v>
      </c>
      <c r="K3">
        <f ca="1">IFERROR(IF(0=LEN(ReferenceData!$K$3),"",ReferenceData!$K$3),"")</f>
        <v>167596000</v>
      </c>
      <c r="L3">
        <f ca="1">IFERROR(IF(0=LEN(ReferenceData!$L$3),"",ReferenceData!$L$3),"")</f>
        <v>162116100</v>
      </c>
      <c r="M3">
        <f ca="1">IFERROR(IF(0=LEN(ReferenceData!$M$3),"",ReferenceData!$M$3),"")</f>
        <v>154608200</v>
      </c>
      <c r="N3">
        <f ca="1">IFERROR(IF(0=LEN(ReferenceData!$N$3),"",ReferenceData!$N$3),"")</f>
        <v>148567100</v>
      </c>
      <c r="O3">
        <f ca="1">IFERROR(IF(0=LEN(ReferenceData!$O$3),"",ReferenceData!$O$3),"")</f>
        <v>146322000</v>
      </c>
      <c r="P3">
        <f ca="1">IFERROR(IF(0=LEN(ReferenceData!$P$3),"",ReferenceData!$P$3),"")</f>
        <v>140928800</v>
      </c>
      <c r="Q3">
        <f ca="1">IFERROR(IF(0=LEN(ReferenceData!$Q$3),"",ReferenceData!$Q$3),"")</f>
        <v>133821100</v>
      </c>
      <c r="R3">
        <f ca="1">IFERROR(IF(0=LEN(ReferenceData!$R$3),"",ReferenceData!$R$3),"")</f>
        <v>130660400</v>
      </c>
    </row>
    <row r="4" spans="1:18" x14ac:dyDescent="0.25">
      <c r="A4" t="str">
        <f>IFERROR(IF(0=LEN(ReferenceData!$A$4),"",ReferenceData!$A$4),"")</f>
        <v xml:space="preserve">    Asia - South &amp; Central America</v>
      </c>
      <c r="B4" t="str">
        <f>IFERROR(IF(0=LEN(ReferenceData!$B$4),"",ReferenceData!$B$4),"")</f>
        <v>CSHVASCA Index</v>
      </c>
      <c r="C4" t="str">
        <f>IFERROR(IF(0=LEN(ReferenceData!$C$4),"",ReferenceData!$C$4),"")</f>
        <v>PX385</v>
      </c>
      <c r="D4" t="str">
        <f>IFERROR(IF(0=LEN(ReferenceData!$D$4),"",ReferenceData!$D$4),"")</f>
        <v>INTERVAL_SUM</v>
      </c>
      <c r="E4" t="str">
        <f>IFERROR(IF(0=LEN(ReferenceData!$E$4),"",ReferenceData!$E$4),"")</f>
        <v>Dynamic</v>
      </c>
      <c r="F4">
        <f ca="1">IFERROR(IF(0=LEN(ReferenceData!$F$4),"",ReferenceData!$F$4),"")</f>
        <v>3471000</v>
      </c>
      <c r="G4">
        <f ca="1">IFERROR(IF(0=LEN(ReferenceData!$G$4),"",ReferenceData!$G$4),"")</f>
        <v>4101300</v>
      </c>
      <c r="H4">
        <f ca="1">IFERROR(IF(0=LEN(ReferenceData!$H$4),"",ReferenceData!$H$4),"")</f>
        <v>4478500</v>
      </c>
      <c r="I4">
        <f ca="1">IFERROR(IF(0=LEN(ReferenceData!$I$4),"",ReferenceData!$I$4),"")</f>
        <v>3686400</v>
      </c>
      <c r="J4">
        <f ca="1">IFERROR(IF(0=LEN(ReferenceData!$J$4),"",ReferenceData!$J$4),"")</f>
        <v>3909300</v>
      </c>
      <c r="K4">
        <f ca="1">IFERROR(IF(0=LEN(ReferenceData!$K$4),"",ReferenceData!$K$4),"")</f>
        <v>3881700</v>
      </c>
      <c r="L4">
        <f ca="1">IFERROR(IF(0=LEN(ReferenceData!$L$4),"",ReferenceData!$L$4),"")</f>
        <v>3628300</v>
      </c>
      <c r="M4">
        <f ca="1">IFERROR(IF(0=LEN(ReferenceData!$M$4),"",ReferenceData!$M$4),"")</f>
        <v>3362500</v>
      </c>
      <c r="N4">
        <f ca="1">IFERROR(IF(0=LEN(ReferenceData!$N$4),"",ReferenceData!$N$4),"")</f>
        <v>3223400</v>
      </c>
      <c r="O4">
        <f ca="1">IFERROR(IF(0=LEN(ReferenceData!$O$4),"",ReferenceData!$O$4),"")</f>
        <v>3236400</v>
      </c>
      <c r="P4">
        <f ca="1">IFERROR(IF(0=LEN(ReferenceData!$P$4),"",ReferenceData!$P$4),"")</f>
        <v>3512800</v>
      </c>
      <c r="Q4">
        <f ca="1">IFERROR(IF(0=LEN(ReferenceData!$Q$4),"",ReferenceData!$Q$4),"")</f>
        <v>3339600</v>
      </c>
      <c r="R4">
        <f ca="1">IFERROR(IF(0=LEN(ReferenceData!$R$4),"",ReferenceData!$R$4),"")</f>
        <v>3315400</v>
      </c>
    </row>
    <row r="5" spans="1:18" x14ac:dyDescent="0.25">
      <c r="A5" t="str">
        <f>IFERROR(IF(0=LEN(ReferenceData!$A$5),"",ReferenceData!$A$5),"")</f>
        <v xml:space="preserve">    Asia - Sub Saharan Africa</v>
      </c>
      <c r="B5" t="str">
        <f>IFERROR(IF(0=LEN(ReferenceData!$B$5),"",ReferenceData!$B$5),"")</f>
        <v>CSHVASSA Index</v>
      </c>
      <c r="C5" t="str">
        <f>IFERROR(IF(0=LEN(ReferenceData!$C$5),"",ReferenceData!$C$5),"")</f>
        <v>PX385</v>
      </c>
      <c r="D5" t="str">
        <f>IFERROR(IF(0=LEN(ReferenceData!$D$5),"",ReferenceData!$D$5),"")</f>
        <v>INTERVAL_SUM</v>
      </c>
      <c r="E5" t="str">
        <f>IFERROR(IF(0=LEN(ReferenceData!$E$5),"",ReferenceData!$E$5),"")</f>
        <v>Dynamic</v>
      </c>
      <c r="F5">
        <f ca="1">IFERROR(IF(0=LEN(ReferenceData!$F$5),"",ReferenceData!$F$5),"")</f>
        <v>2721800</v>
      </c>
      <c r="G5">
        <f ca="1">IFERROR(IF(0=LEN(ReferenceData!$G$5),"",ReferenceData!$G$5),"")</f>
        <v>3034900</v>
      </c>
      <c r="H5">
        <f ca="1">IFERROR(IF(0=LEN(ReferenceData!$H$5),"",ReferenceData!$H$5),"")</f>
        <v>3083600</v>
      </c>
      <c r="I5">
        <f ca="1">IFERROR(IF(0=LEN(ReferenceData!$I$5),"",ReferenceData!$I$5),"")</f>
        <v>3154800</v>
      </c>
      <c r="J5">
        <f ca="1">IFERROR(IF(0=LEN(ReferenceData!$J$5),"",ReferenceData!$J$5),"")</f>
        <v>3209600</v>
      </c>
      <c r="K5">
        <f ca="1">IFERROR(IF(0=LEN(ReferenceData!$K$5),"",ReferenceData!$K$5),"")</f>
        <v>3026200</v>
      </c>
      <c r="L5">
        <f ca="1">IFERROR(IF(0=LEN(ReferenceData!$L$5),"",ReferenceData!$L$5),"")</f>
        <v>2877900</v>
      </c>
      <c r="M5">
        <f ca="1">IFERROR(IF(0=LEN(ReferenceData!$M$5),"",ReferenceData!$M$5),"")</f>
        <v>2643900</v>
      </c>
      <c r="N5">
        <f ca="1">IFERROR(IF(0=LEN(ReferenceData!$N$5),"",ReferenceData!$N$5),"")</f>
        <v>2917200</v>
      </c>
      <c r="O5">
        <f ca="1">IFERROR(IF(0=LEN(ReferenceData!$O$5),"",ReferenceData!$O$5),"")</f>
        <v>3045700</v>
      </c>
      <c r="P5">
        <f ca="1">IFERROR(IF(0=LEN(ReferenceData!$P$5),"",ReferenceData!$P$5),"")</f>
        <v>2903500</v>
      </c>
      <c r="Q5">
        <f ca="1">IFERROR(IF(0=LEN(ReferenceData!$Q$5),"",ReferenceData!$Q$5),"")</f>
        <v>2579400</v>
      </c>
      <c r="R5">
        <f ca="1">IFERROR(IF(0=LEN(ReferenceData!$R$5),"",ReferenceData!$R$5),"")</f>
        <v>2520500</v>
      </c>
    </row>
    <row r="6" spans="1:18" x14ac:dyDescent="0.25">
      <c r="A6" t="str">
        <f>IFERROR(IF(0=LEN(ReferenceData!$A$6),"",ReferenceData!$A$6),"")</f>
        <v xml:space="preserve">    Asia - Australasia &amp; Oceania</v>
      </c>
      <c r="B6" t="str">
        <f>IFERROR(IF(0=LEN(ReferenceData!$B$6),"",ReferenceData!$B$6),"")</f>
        <v>CSHVAAUO Index</v>
      </c>
      <c r="C6" t="str">
        <f>IFERROR(IF(0=LEN(ReferenceData!$C$6),"",ReferenceData!$C$6),"")</f>
        <v>PX385</v>
      </c>
      <c r="D6" t="str">
        <f>IFERROR(IF(0=LEN(ReferenceData!$D$6),"",ReferenceData!$D$6),"")</f>
        <v>INTERVAL_SUM</v>
      </c>
      <c r="E6" t="str">
        <f>IFERROR(IF(0=LEN(ReferenceData!$E$6),"",ReferenceData!$E$6),"")</f>
        <v>Dynamic</v>
      </c>
      <c r="F6">
        <f ca="1">IFERROR(IF(0=LEN(ReferenceData!$F$6),"",ReferenceData!$F$6),"")</f>
        <v>1940000</v>
      </c>
      <c r="G6">
        <f ca="1">IFERROR(IF(0=LEN(ReferenceData!$G$6),"",ReferenceData!$G$6),"")</f>
        <v>2606700</v>
      </c>
      <c r="H6">
        <f ca="1">IFERROR(IF(0=LEN(ReferenceData!$H$6),"",ReferenceData!$H$6),"")</f>
        <v>2799700</v>
      </c>
      <c r="I6">
        <f ca="1">IFERROR(IF(0=LEN(ReferenceData!$I$6),"",ReferenceData!$I$6),"")</f>
        <v>2840200</v>
      </c>
      <c r="J6">
        <f ca="1">IFERROR(IF(0=LEN(ReferenceData!$J$6),"",ReferenceData!$J$6),"")</f>
        <v>2626700</v>
      </c>
      <c r="K6">
        <f ca="1">IFERROR(IF(0=LEN(ReferenceData!$K$6),"",ReferenceData!$K$6),"")</f>
        <v>2786900</v>
      </c>
      <c r="L6">
        <f ca="1">IFERROR(IF(0=LEN(ReferenceData!$L$6),"",ReferenceData!$L$6),"")</f>
        <v>2668900</v>
      </c>
      <c r="M6">
        <f ca="1">IFERROR(IF(0=LEN(ReferenceData!$M$6),"",ReferenceData!$M$6),"")</f>
        <v>2594200</v>
      </c>
      <c r="N6">
        <f ca="1">IFERROR(IF(0=LEN(ReferenceData!$N$6),"",ReferenceData!$N$6),"")</f>
        <v>2421500</v>
      </c>
      <c r="O6">
        <f ca="1">IFERROR(IF(0=LEN(ReferenceData!$O$6),"",ReferenceData!$O$6),"")</f>
        <v>2362300</v>
      </c>
      <c r="P6">
        <f ca="1">IFERROR(IF(0=LEN(ReferenceData!$P$6),"",ReferenceData!$P$6),"")</f>
        <v>2196900</v>
      </c>
      <c r="Q6">
        <f ca="1">IFERROR(IF(0=LEN(ReferenceData!$Q$6),"",ReferenceData!$Q$6),"")</f>
        <v>2121400</v>
      </c>
      <c r="R6">
        <f ca="1">IFERROR(IF(0=LEN(ReferenceData!$R$6),"",ReferenceData!$R$6),"")</f>
        <v>2045600</v>
      </c>
    </row>
    <row r="7" spans="1:18" x14ac:dyDescent="0.25">
      <c r="A7" t="str">
        <f>IFERROR(IF(0=LEN(ReferenceData!$A$7),"",ReferenceData!$A$7),"")</f>
        <v xml:space="preserve">    Asia - North America</v>
      </c>
      <c r="B7" t="str">
        <f>IFERROR(IF(0=LEN(ReferenceData!$B$7),"",ReferenceData!$B$7),"")</f>
        <v>CSHVANAR Index</v>
      </c>
      <c r="C7" t="str">
        <f>IFERROR(IF(0=LEN(ReferenceData!$C$7),"",ReferenceData!$C$7),"")</f>
        <v>PX385</v>
      </c>
      <c r="D7" t="str">
        <f>IFERROR(IF(0=LEN(ReferenceData!$D$7),"",ReferenceData!$D$7),"")</f>
        <v>INTERVAL_SUM</v>
      </c>
      <c r="E7" t="str">
        <f>IFERROR(IF(0=LEN(ReferenceData!$E$7),"",ReferenceData!$E$7),"")</f>
        <v>Dynamic</v>
      </c>
      <c r="F7">
        <f ca="1">IFERROR(IF(0=LEN(ReferenceData!$F$7),"",ReferenceData!$F$7),"")</f>
        <v>15537400</v>
      </c>
      <c r="G7">
        <f ca="1">IFERROR(IF(0=LEN(ReferenceData!$G$7),"",ReferenceData!$G$7),"")</f>
        <v>22007500</v>
      </c>
      <c r="H7">
        <f ca="1">IFERROR(IF(0=LEN(ReferenceData!$H$7),"",ReferenceData!$H$7),"")</f>
        <v>23783300</v>
      </c>
      <c r="I7">
        <f ca="1">IFERROR(IF(0=LEN(ReferenceData!$I$7),"",ReferenceData!$I$7),"")</f>
        <v>20161400</v>
      </c>
      <c r="J7">
        <f ca="1">IFERROR(IF(0=LEN(ReferenceData!$J$7),"",ReferenceData!$J$7),"")</f>
        <v>18793800</v>
      </c>
      <c r="K7">
        <f ca="1">IFERROR(IF(0=LEN(ReferenceData!$K$7),"",ReferenceData!$K$7),"")</f>
        <v>19241400</v>
      </c>
      <c r="L7">
        <f ca="1">IFERROR(IF(0=LEN(ReferenceData!$L$7),"",ReferenceData!$L$7),"")</f>
        <v>18045400</v>
      </c>
      <c r="M7">
        <f ca="1">IFERROR(IF(0=LEN(ReferenceData!$M$7),"",ReferenceData!$M$7),"")</f>
        <v>17216800</v>
      </c>
      <c r="N7">
        <f ca="1">IFERROR(IF(0=LEN(ReferenceData!$N$7),"",ReferenceData!$N$7),"")</f>
        <v>16393100</v>
      </c>
      <c r="O7">
        <f ca="1">IFERROR(IF(0=LEN(ReferenceData!$O$7),"",ReferenceData!$O$7),"")</f>
        <v>15492100</v>
      </c>
      <c r="P7">
        <f ca="1">IFERROR(IF(0=LEN(ReferenceData!$P$7),"",ReferenceData!$P$7),"")</f>
        <v>14620100</v>
      </c>
      <c r="Q7">
        <f ca="1">IFERROR(IF(0=LEN(ReferenceData!$Q$7),"",ReferenceData!$Q$7),"")</f>
        <v>14857600</v>
      </c>
      <c r="R7">
        <f ca="1">IFERROR(IF(0=LEN(ReferenceData!$R$7),"",ReferenceData!$R$7),"")</f>
        <v>14259300</v>
      </c>
    </row>
    <row r="8" spans="1:18" x14ac:dyDescent="0.25">
      <c r="A8" t="str">
        <f>IFERROR(IF(0=LEN(ReferenceData!$A$8),"",ReferenceData!$A$8),"")</f>
        <v xml:space="preserve">    Asia - Asia</v>
      </c>
      <c r="B8" t="str">
        <f>IFERROR(IF(0=LEN(ReferenceData!$B$8),"",ReferenceData!$B$8),"")</f>
        <v>CSHVAASR Index</v>
      </c>
      <c r="C8" t="str">
        <f>IFERROR(IF(0=LEN(ReferenceData!$C$8),"",ReferenceData!$C$8),"")</f>
        <v>PX385</v>
      </c>
      <c r="D8" t="str">
        <f>IFERROR(IF(0=LEN(ReferenceData!$D$8),"",ReferenceData!$D$8),"")</f>
        <v>INTERVAL_SUM</v>
      </c>
      <c r="E8" t="str">
        <f>IFERROR(IF(0=LEN(ReferenceData!$E$8),"",ReferenceData!$E$8),"")</f>
        <v>Dynamic</v>
      </c>
      <c r="F8">
        <f ca="1">IFERROR(IF(0=LEN(ReferenceData!$F$8),"",ReferenceData!$F$8),"")</f>
        <v>33488300</v>
      </c>
      <c r="G8">
        <f ca="1">IFERROR(IF(0=LEN(ReferenceData!$G$8),"",ReferenceData!$G$8),"")</f>
        <v>46604100</v>
      </c>
      <c r="H8">
        <f ca="1">IFERROR(IF(0=LEN(ReferenceData!$H$8),"",ReferenceData!$H$8),"")</f>
        <v>47146300</v>
      </c>
      <c r="I8">
        <f ca="1">IFERROR(IF(0=LEN(ReferenceData!$I$8),"",ReferenceData!$I$8),"")</f>
        <v>43210100</v>
      </c>
      <c r="J8">
        <f ca="1">IFERROR(IF(0=LEN(ReferenceData!$J$8),"",ReferenceData!$J$8),"")</f>
        <v>42577400</v>
      </c>
      <c r="K8">
        <f ca="1">IFERROR(IF(0=LEN(ReferenceData!$K$8),"",ReferenceData!$K$8),"")</f>
        <v>42403300</v>
      </c>
      <c r="L8">
        <f ca="1">IFERROR(IF(0=LEN(ReferenceData!$L$8),"",ReferenceData!$L$8),"")</f>
        <v>40803400</v>
      </c>
      <c r="M8">
        <f ca="1">IFERROR(IF(0=LEN(ReferenceData!$M$8),"",ReferenceData!$M$8),"")</f>
        <v>39213600</v>
      </c>
      <c r="N8">
        <f ca="1">IFERROR(IF(0=LEN(ReferenceData!$N$8),"",ReferenceData!$N$8),"")</f>
        <v>37436800</v>
      </c>
      <c r="O8">
        <f ca="1">IFERROR(IF(0=LEN(ReferenceData!$O$8),"",ReferenceData!$O$8),"")</f>
        <v>36696600</v>
      </c>
      <c r="P8">
        <f ca="1">IFERROR(IF(0=LEN(ReferenceData!$P$8),"",ReferenceData!$P$8),"")</f>
        <v>35489300</v>
      </c>
      <c r="Q8">
        <f ca="1">IFERROR(IF(0=LEN(ReferenceData!$Q$8),"",ReferenceData!$Q$8),"")</f>
        <v>33525600</v>
      </c>
      <c r="R8">
        <f ca="1">IFERROR(IF(0=LEN(ReferenceData!$R$8),"",ReferenceData!$R$8),"")</f>
        <v>31144200</v>
      </c>
    </row>
    <row r="9" spans="1:18" x14ac:dyDescent="0.25">
      <c r="A9" t="str">
        <f>IFERROR(IF(0=LEN(ReferenceData!$A$9),"",ReferenceData!$A$9),"")</f>
        <v xml:space="preserve">    Asia - Europe</v>
      </c>
      <c r="B9" t="str">
        <f>IFERROR(IF(0=LEN(ReferenceData!$B$9),"",ReferenceData!$B$9),"")</f>
        <v>CSHVAEUR Index</v>
      </c>
      <c r="C9" t="str">
        <f>IFERROR(IF(0=LEN(ReferenceData!$C$9),"",ReferenceData!$C$9),"")</f>
        <v>PX385</v>
      </c>
      <c r="D9" t="str">
        <f>IFERROR(IF(0=LEN(ReferenceData!$D$9),"",ReferenceData!$D$9),"")</f>
        <v>INTERVAL_SUM</v>
      </c>
      <c r="E9" t="str">
        <f>IFERROR(IF(0=LEN(ReferenceData!$E$9),"",ReferenceData!$E$9),"")</f>
        <v>Dynamic</v>
      </c>
      <c r="F9">
        <f ca="1">IFERROR(IF(0=LEN(ReferenceData!$F$9),"",ReferenceData!$F$9),"")</f>
        <v>12532800</v>
      </c>
      <c r="G9">
        <f ca="1">IFERROR(IF(0=LEN(ReferenceData!$G$9),"",ReferenceData!$G$9),"")</f>
        <v>15396800</v>
      </c>
      <c r="H9">
        <f ca="1">IFERROR(IF(0=LEN(ReferenceData!$H$9),"",ReferenceData!$H$9),"")</f>
        <v>17069000</v>
      </c>
      <c r="I9">
        <f ca="1">IFERROR(IF(0=LEN(ReferenceData!$I$9),"",ReferenceData!$I$9),"")</f>
        <v>15768600</v>
      </c>
      <c r="J9">
        <f ca="1">IFERROR(IF(0=LEN(ReferenceData!$J$9),"",ReferenceData!$J$9),"")</f>
        <v>16603300</v>
      </c>
      <c r="K9">
        <f ca="1">IFERROR(IF(0=LEN(ReferenceData!$K$9),"",ReferenceData!$K$9),"")</f>
        <v>16186700</v>
      </c>
      <c r="L9">
        <f ca="1">IFERROR(IF(0=LEN(ReferenceData!$L$9),"",ReferenceData!$L$9),"")</f>
        <v>15865900</v>
      </c>
      <c r="M9">
        <f ca="1">IFERROR(IF(0=LEN(ReferenceData!$M$9),"",ReferenceData!$M$9),"")</f>
        <v>15190200</v>
      </c>
      <c r="N9">
        <f ca="1">IFERROR(IF(0=LEN(ReferenceData!$N$9),"",ReferenceData!$N$9),"")</f>
        <v>14902100</v>
      </c>
      <c r="O9">
        <f ca="1">IFERROR(IF(0=LEN(ReferenceData!$O$9),"",ReferenceData!$O$9),"")</f>
        <v>15385700</v>
      </c>
      <c r="P9">
        <f ca="1">IFERROR(IF(0=LEN(ReferenceData!$P$9),"",ReferenceData!$P$9),"")</f>
        <v>14359800</v>
      </c>
      <c r="Q9">
        <f ca="1">IFERROR(IF(0=LEN(ReferenceData!$Q$9),"",ReferenceData!$Q$9),"")</f>
        <v>13640500</v>
      </c>
      <c r="R9">
        <f ca="1">IFERROR(IF(0=LEN(ReferenceData!$R$9),"",ReferenceData!$R$9),"")</f>
        <v>14192400</v>
      </c>
    </row>
    <row r="10" spans="1:18" x14ac:dyDescent="0.25">
      <c r="A10" t="str">
        <f>IFERROR(IF(0=LEN(ReferenceData!$A$10),"",ReferenceData!$A$10),"")</f>
        <v xml:space="preserve">    Asia - Indian Sub Cont. &amp; Middle East</v>
      </c>
      <c r="B10" t="str">
        <f>IFERROR(IF(0=LEN(ReferenceData!$B$10),"",ReferenceData!$B$10),"")</f>
        <v>CSHVAIME Index</v>
      </c>
      <c r="C10" t="str">
        <f>IFERROR(IF(0=LEN(ReferenceData!$C$10),"",ReferenceData!$C$10),"")</f>
        <v>PX385</v>
      </c>
      <c r="D10" t="str">
        <f>IFERROR(IF(0=LEN(ReferenceData!$D$10),"",ReferenceData!$D$10),"")</f>
        <v>INTERVAL_SUM</v>
      </c>
      <c r="E10" t="str">
        <f>IFERROR(IF(0=LEN(ReferenceData!$E$10),"",ReferenceData!$E$10),"")</f>
        <v>Dynamic</v>
      </c>
      <c r="F10">
        <f ca="1">IFERROR(IF(0=LEN(ReferenceData!$F$10),"",ReferenceData!$F$10),"")</f>
        <v>6695400</v>
      </c>
      <c r="G10">
        <f ca="1">IFERROR(IF(0=LEN(ReferenceData!$G$10),"",ReferenceData!$G$10),"")</f>
        <v>7679000</v>
      </c>
      <c r="H10">
        <f ca="1">IFERROR(IF(0=LEN(ReferenceData!$H$10),"",ReferenceData!$H$10),"")</f>
        <v>7821500</v>
      </c>
      <c r="I10">
        <f ca="1">IFERROR(IF(0=LEN(ReferenceData!$I$10),"",ReferenceData!$I$10),"")</f>
        <v>6454500</v>
      </c>
      <c r="J10">
        <f ca="1">IFERROR(IF(0=LEN(ReferenceData!$J$10),"",ReferenceData!$J$10),"")</f>
        <v>7046700</v>
      </c>
      <c r="K10">
        <f ca="1">IFERROR(IF(0=LEN(ReferenceData!$K$10),"",ReferenceData!$K$10),"")</f>
        <v>7275300</v>
      </c>
      <c r="L10">
        <f ca="1">IFERROR(IF(0=LEN(ReferenceData!$L$10),"",ReferenceData!$L$10),"")</f>
        <v>7532000</v>
      </c>
      <c r="M10">
        <f ca="1">IFERROR(IF(0=LEN(ReferenceData!$M$10),"",ReferenceData!$M$10),"")</f>
        <v>7225500</v>
      </c>
      <c r="N10">
        <f ca="1">IFERROR(IF(0=LEN(ReferenceData!$N$10),"",ReferenceData!$N$10),"")</f>
        <v>6836100</v>
      </c>
      <c r="O10">
        <f ca="1">IFERROR(IF(0=LEN(ReferenceData!$O$10),"",ReferenceData!$O$10),"")</f>
        <v>6471900</v>
      </c>
      <c r="P10">
        <f ca="1">IFERROR(IF(0=LEN(ReferenceData!$P$10),"",ReferenceData!$P$10),"")</f>
        <v>5927400</v>
      </c>
      <c r="Q10">
        <f ca="1">IFERROR(IF(0=LEN(ReferenceData!$Q$10),"",ReferenceData!$Q$10),"")</f>
        <v>5696900</v>
      </c>
      <c r="R10">
        <f ca="1">IFERROR(IF(0=LEN(ReferenceData!$R$10),"",ReferenceData!$R$10),"")</f>
        <v>5631200</v>
      </c>
    </row>
    <row r="11" spans="1:18" x14ac:dyDescent="0.25">
      <c r="A11" t="str">
        <f>IFERROR(IF(0=LEN(ReferenceData!$A$11),"",ReferenceData!$A$11),"")</f>
        <v xml:space="preserve">    Australasia &amp; Oceania - South &amp; Central America</v>
      </c>
      <c r="B11" t="str">
        <f>IFERROR(IF(0=LEN(ReferenceData!$B$11),"",ReferenceData!$B$11),"")</f>
        <v>CSHVOSCA Index</v>
      </c>
      <c r="C11" t="str">
        <f>IFERROR(IF(0=LEN(ReferenceData!$C$11),"",ReferenceData!$C$11),"")</f>
        <v>PX385</v>
      </c>
      <c r="D11" t="str">
        <f>IFERROR(IF(0=LEN(ReferenceData!$D$11),"",ReferenceData!$D$11),"")</f>
        <v>INTERVAL_SUM</v>
      </c>
      <c r="E11" t="str">
        <f>IFERROR(IF(0=LEN(ReferenceData!$E$11),"",ReferenceData!$E$11),"")</f>
        <v>Dynamic</v>
      </c>
      <c r="F11">
        <f ca="1">IFERROR(IF(0=LEN(ReferenceData!$F$11),"",ReferenceData!$F$11),"")</f>
        <v>11200</v>
      </c>
      <c r="G11">
        <f ca="1">IFERROR(IF(0=LEN(ReferenceData!$G$11),"",ReferenceData!$G$11),"")</f>
        <v>20700</v>
      </c>
      <c r="H11">
        <f ca="1">IFERROR(IF(0=LEN(ReferenceData!$H$11),"",ReferenceData!$H$11),"")</f>
        <v>21600</v>
      </c>
      <c r="I11">
        <f ca="1">IFERROR(IF(0=LEN(ReferenceData!$I$11),"",ReferenceData!$I$11),"")</f>
        <v>19100</v>
      </c>
      <c r="J11">
        <f ca="1">IFERROR(IF(0=LEN(ReferenceData!$J$11),"",ReferenceData!$J$11),"")</f>
        <v>20700</v>
      </c>
      <c r="K11">
        <f ca="1">IFERROR(IF(0=LEN(ReferenceData!$K$11),"",ReferenceData!$K$11),"")</f>
        <v>22600</v>
      </c>
      <c r="L11">
        <f ca="1">IFERROR(IF(0=LEN(ReferenceData!$L$11),"",ReferenceData!$L$11),"")</f>
        <v>22200</v>
      </c>
      <c r="M11">
        <f ca="1">IFERROR(IF(0=LEN(ReferenceData!$M$11),"",ReferenceData!$M$11),"")</f>
        <v>22300</v>
      </c>
      <c r="N11">
        <f ca="1">IFERROR(IF(0=LEN(ReferenceData!$N$11),"",ReferenceData!$N$11),"")</f>
        <v>30200</v>
      </c>
      <c r="O11">
        <f ca="1">IFERROR(IF(0=LEN(ReferenceData!$O$11),"",ReferenceData!$O$11),"")</f>
        <v>28100</v>
      </c>
      <c r="P11">
        <f ca="1">IFERROR(IF(0=LEN(ReferenceData!$P$11),"",ReferenceData!$P$11),"")</f>
        <v>30000</v>
      </c>
      <c r="Q11">
        <f ca="1">IFERROR(IF(0=LEN(ReferenceData!$Q$11),"",ReferenceData!$Q$11),"")</f>
        <v>32900</v>
      </c>
      <c r="R11">
        <f ca="1">IFERROR(IF(0=LEN(ReferenceData!$R$11),"",ReferenceData!$R$11),"")</f>
        <v>35400</v>
      </c>
    </row>
    <row r="12" spans="1:18" x14ac:dyDescent="0.25">
      <c r="A12" t="str">
        <f>IFERROR(IF(0=LEN(ReferenceData!$A$12),"",ReferenceData!$A$12),"")</f>
        <v xml:space="preserve">    Australasia &amp; Oceania - Europe</v>
      </c>
      <c r="B12" t="str">
        <f>IFERROR(IF(0=LEN(ReferenceData!$B$12),"",ReferenceData!$B$12),"")</f>
        <v>CSHVOEUR Index</v>
      </c>
      <c r="C12" t="str">
        <f>IFERROR(IF(0=LEN(ReferenceData!$C$12),"",ReferenceData!$C$12),"")</f>
        <v>PX385</v>
      </c>
      <c r="D12" t="str">
        <f>IFERROR(IF(0=LEN(ReferenceData!$D$12),"",ReferenceData!$D$12),"")</f>
        <v>INTERVAL_SUM</v>
      </c>
      <c r="E12" t="str">
        <f>IFERROR(IF(0=LEN(ReferenceData!$E$12),"",ReferenceData!$E$12),"")</f>
        <v>Dynamic</v>
      </c>
      <c r="F12">
        <f ca="1">IFERROR(IF(0=LEN(ReferenceData!$F$12),"",ReferenceData!$F$12),"")</f>
        <v>129900</v>
      </c>
      <c r="G12">
        <f ca="1">IFERROR(IF(0=LEN(ReferenceData!$G$12),"",ReferenceData!$G$12),"")</f>
        <v>183800</v>
      </c>
      <c r="H12">
        <f ca="1">IFERROR(IF(0=LEN(ReferenceData!$H$12),"",ReferenceData!$H$12),"")</f>
        <v>188100</v>
      </c>
      <c r="I12">
        <f ca="1">IFERROR(IF(0=LEN(ReferenceData!$I$12),"",ReferenceData!$I$12),"")</f>
        <v>185400</v>
      </c>
      <c r="J12">
        <f ca="1">IFERROR(IF(0=LEN(ReferenceData!$J$12),"",ReferenceData!$J$12),"")</f>
        <v>197600</v>
      </c>
      <c r="K12">
        <f ca="1">IFERROR(IF(0=LEN(ReferenceData!$K$12),"",ReferenceData!$K$12),"")</f>
        <v>203700</v>
      </c>
      <c r="L12">
        <f ca="1">IFERROR(IF(0=LEN(ReferenceData!$L$12),"",ReferenceData!$L$12),"")</f>
        <v>184000</v>
      </c>
      <c r="M12">
        <f ca="1">IFERROR(IF(0=LEN(ReferenceData!$M$12),"",ReferenceData!$M$12),"")</f>
        <v>187300</v>
      </c>
      <c r="N12">
        <f ca="1">IFERROR(IF(0=LEN(ReferenceData!$N$12),"",ReferenceData!$N$12),"")</f>
        <v>184700</v>
      </c>
      <c r="O12">
        <f ca="1">IFERROR(IF(0=LEN(ReferenceData!$O$12),"",ReferenceData!$O$12),"")</f>
        <v>184000</v>
      </c>
      <c r="P12">
        <f ca="1">IFERROR(IF(0=LEN(ReferenceData!$P$12),"",ReferenceData!$P$12),"")</f>
        <v>176000</v>
      </c>
      <c r="Q12">
        <f ca="1">IFERROR(IF(0=LEN(ReferenceData!$Q$12),"",ReferenceData!$Q$12),"")</f>
        <v>181200</v>
      </c>
      <c r="R12">
        <f ca="1">IFERROR(IF(0=LEN(ReferenceData!$R$12),"",ReferenceData!$R$12),"")</f>
        <v>195100</v>
      </c>
    </row>
    <row r="13" spans="1:18" x14ac:dyDescent="0.25">
      <c r="A13" t="str">
        <f>IFERROR(IF(0=LEN(ReferenceData!$A$13),"",ReferenceData!$A$13),"")</f>
        <v xml:space="preserve">    Australasia &amp; Oceania - Asia</v>
      </c>
      <c r="B13" t="str">
        <f>IFERROR(IF(0=LEN(ReferenceData!$B$13),"",ReferenceData!$B$13),"")</f>
        <v>CSHVOASR Index</v>
      </c>
      <c r="C13" t="str">
        <f>IFERROR(IF(0=LEN(ReferenceData!$C$13),"",ReferenceData!$C$13),"")</f>
        <v>PX385</v>
      </c>
      <c r="D13" t="str">
        <f>IFERROR(IF(0=LEN(ReferenceData!$D$13),"",ReferenceData!$D$13),"")</f>
        <v>INTERVAL_SUM</v>
      </c>
      <c r="E13" t="str">
        <f>IFERROR(IF(0=LEN(ReferenceData!$E$13),"",ReferenceData!$E$13),"")</f>
        <v>Dynamic</v>
      </c>
      <c r="F13">
        <f ca="1">IFERROR(IF(0=LEN(ReferenceData!$F$13),"",ReferenceData!$F$13),"")</f>
        <v>1331400</v>
      </c>
      <c r="G13">
        <f ca="1">IFERROR(IF(0=LEN(ReferenceData!$G$13),"",ReferenceData!$G$13),"")</f>
        <v>1660800</v>
      </c>
      <c r="H13">
        <f ca="1">IFERROR(IF(0=LEN(ReferenceData!$H$13),"",ReferenceData!$H$13),"")</f>
        <v>1616300</v>
      </c>
      <c r="I13">
        <f ca="1">IFERROR(IF(0=LEN(ReferenceData!$I$13),"",ReferenceData!$I$13),"")</f>
        <v>1592100</v>
      </c>
      <c r="J13">
        <f ca="1">IFERROR(IF(0=LEN(ReferenceData!$J$13),"",ReferenceData!$J$13),"")</f>
        <v>1581300</v>
      </c>
      <c r="K13">
        <f ca="1">IFERROR(IF(0=LEN(ReferenceData!$K$13),"",ReferenceData!$K$13),"")</f>
        <v>1650600</v>
      </c>
      <c r="L13">
        <f ca="1">IFERROR(IF(0=LEN(ReferenceData!$L$13),"",ReferenceData!$L$13),"")</f>
        <v>1617100</v>
      </c>
      <c r="M13">
        <f ca="1">IFERROR(IF(0=LEN(ReferenceData!$M$13),"",ReferenceData!$M$13),"")</f>
        <v>1517000</v>
      </c>
      <c r="N13">
        <f ca="1">IFERROR(IF(0=LEN(ReferenceData!$N$13),"",ReferenceData!$N$13),"")</f>
        <v>1413400</v>
      </c>
      <c r="O13">
        <f ca="1">IFERROR(IF(0=LEN(ReferenceData!$O$13),"",ReferenceData!$O$13),"")</f>
        <v>1452400</v>
      </c>
      <c r="P13">
        <f ca="1">IFERROR(IF(0=LEN(ReferenceData!$P$13),"",ReferenceData!$P$13),"")</f>
        <v>1453800</v>
      </c>
      <c r="Q13">
        <f ca="1">IFERROR(IF(0=LEN(ReferenceData!$Q$13),"",ReferenceData!$Q$13),"")</f>
        <v>1374800</v>
      </c>
      <c r="R13">
        <f ca="1">IFERROR(IF(0=LEN(ReferenceData!$R$13),"",ReferenceData!$R$13),"")</f>
        <v>1306900</v>
      </c>
    </row>
    <row r="14" spans="1:18" x14ac:dyDescent="0.25">
      <c r="A14" t="str">
        <f>IFERROR(IF(0=LEN(ReferenceData!$A$14),"",ReferenceData!$A$14),"")</f>
        <v xml:space="preserve">    Australasia &amp; Oceania - North America</v>
      </c>
      <c r="B14" t="str">
        <f>IFERROR(IF(0=LEN(ReferenceData!$B$14),"",ReferenceData!$B$14),"")</f>
        <v>CSHVONAR Index</v>
      </c>
      <c r="C14" t="str">
        <f>IFERROR(IF(0=LEN(ReferenceData!$C$14),"",ReferenceData!$C$14),"")</f>
        <v>PX385</v>
      </c>
      <c r="D14" t="str">
        <f>IFERROR(IF(0=LEN(ReferenceData!$D$14),"",ReferenceData!$D$14),"")</f>
        <v>INTERVAL_SUM</v>
      </c>
      <c r="E14" t="str">
        <f>IFERROR(IF(0=LEN(ReferenceData!$E$14),"",ReferenceData!$E$14),"")</f>
        <v>Dynamic</v>
      </c>
      <c r="F14">
        <f ca="1">IFERROR(IF(0=LEN(ReferenceData!$F$14),"",ReferenceData!$F$14),"")</f>
        <v>163700</v>
      </c>
      <c r="G14">
        <f ca="1">IFERROR(IF(0=LEN(ReferenceData!$G$14),"",ReferenceData!$G$14),"")</f>
        <v>222400</v>
      </c>
      <c r="H14">
        <f ca="1">IFERROR(IF(0=LEN(ReferenceData!$H$14),"",ReferenceData!$H$14),"")</f>
        <v>225600</v>
      </c>
      <c r="I14">
        <f ca="1">IFERROR(IF(0=LEN(ReferenceData!$I$14),"",ReferenceData!$I$14),"")</f>
        <v>217200</v>
      </c>
      <c r="J14">
        <f ca="1">IFERROR(IF(0=LEN(ReferenceData!$J$14),"",ReferenceData!$J$14),"")</f>
        <v>227600</v>
      </c>
      <c r="K14">
        <f ca="1">IFERROR(IF(0=LEN(ReferenceData!$K$14),"",ReferenceData!$K$14),"")</f>
        <v>231900</v>
      </c>
      <c r="L14">
        <f ca="1">IFERROR(IF(0=LEN(ReferenceData!$L$14),"",ReferenceData!$L$14),"")</f>
        <v>222300</v>
      </c>
      <c r="M14">
        <f ca="1">IFERROR(IF(0=LEN(ReferenceData!$M$14),"",ReferenceData!$M$14),"")</f>
        <v>223100</v>
      </c>
      <c r="N14">
        <f ca="1">IFERROR(IF(0=LEN(ReferenceData!$N$14),"",ReferenceData!$N$14),"")</f>
        <v>234400</v>
      </c>
      <c r="O14">
        <f ca="1">IFERROR(IF(0=LEN(ReferenceData!$O$14),"",ReferenceData!$O$14),"")</f>
        <v>226100</v>
      </c>
      <c r="P14">
        <f ca="1">IFERROR(IF(0=LEN(ReferenceData!$P$14),"",ReferenceData!$P$14),"")</f>
        <v>200300</v>
      </c>
      <c r="Q14">
        <f ca="1">IFERROR(IF(0=LEN(ReferenceData!$Q$14),"",ReferenceData!$Q$14),"")</f>
        <v>197500</v>
      </c>
      <c r="R14">
        <f ca="1">IFERROR(IF(0=LEN(ReferenceData!$R$14),"",ReferenceData!$R$14),"")</f>
        <v>184200</v>
      </c>
    </row>
    <row r="15" spans="1:18" x14ac:dyDescent="0.25">
      <c r="A15" t="str">
        <f>IFERROR(IF(0=LEN(ReferenceData!$A$15),"",ReferenceData!$A$15),"")</f>
        <v xml:space="preserve">    Australasia &amp; Oceania - Australasia &amp; Oceania</v>
      </c>
      <c r="B15" t="str">
        <f>IFERROR(IF(0=LEN(ReferenceData!$B$15),"",ReferenceData!$B$15),"")</f>
        <v>CSHVOAUO Index</v>
      </c>
      <c r="C15" t="str">
        <f>IFERROR(IF(0=LEN(ReferenceData!$C$15),"",ReferenceData!$C$15),"")</f>
        <v>PX385</v>
      </c>
      <c r="D15" t="str">
        <f>IFERROR(IF(0=LEN(ReferenceData!$D$15),"",ReferenceData!$D$15),"")</f>
        <v>INTERVAL_SUM</v>
      </c>
      <c r="E15" t="str">
        <f>IFERROR(IF(0=LEN(ReferenceData!$E$15),"",ReferenceData!$E$15),"")</f>
        <v>Dynamic</v>
      </c>
      <c r="F15">
        <f ca="1">IFERROR(IF(0=LEN(ReferenceData!$F$15),"",ReferenceData!$F$15),"")</f>
        <v>247500</v>
      </c>
      <c r="G15">
        <f ca="1">IFERROR(IF(0=LEN(ReferenceData!$G$15),"",ReferenceData!$G$15),"")</f>
        <v>380900</v>
      </c>
      <c r="H15">
        <f ca="1">IFERROR(IF(0=LEN(ReferenceData!$H$15),"",ReferenceData!$H$15),"")</f>
        <v>400400</v>
      </c>
      <c r="I15">
        <f ca="1">IFERROR(IF(0=LEN(ReferenceData!$I$15),"",ReferenceData!$I$15),"")</f>
        <v>453300</v>
      </c>
      <c r="J15">
        <f ca="1">IFERROR(IF(0=LEN(ReferenceData!$J$15),"",ReferenceData!$J$15),"")</f>
        <v>444900</v>
      </c>
      <c r="K15">
        <f ca="1">IFERROR(IF(0=LEN(ReferenceData!$K$15),"",ReferenceData!$K$15),"")</f>
        <v>489600</v>
      </c>
      <c r="L15">
        <f ca="1">IFERROR(IF(0=LEN(ReferenceData!$L$15),"",ReferenceData!$L$15),"")</f>
        <v>508300</v>
      </c>
      <c r="M15">
        <f ca="1">IFERROR(IF(0=LEN(ReferenceData!$M$15),"",ReferenceData!$M$15),"")</f>
        <v>489100</v>
      </c>
      <c r="N15">
        <f ca="1">IFERROR(IF(0=LEN(ReferenceData!$N$15),"",ReferenceData!$N$15),"")</f>
        <v>457600</v>
      </c>
      <c r="O15">
        <f ca="1">IFERROR(IF(0=LEN(ReferenceData!$O$15),"",ReferenceData!$O$15),"")</f>
        <v>449800</v>
      </c>
      <c r="P15">
        <f ca="1">IFERROR(IF(0=LEN(ReferenceData!$P$15),"",ReferenceData!$P$15),"")</f>
        <v>420800</v>
      </c>
      <c r="Q15">
        <f ca="1">IFERROR(IF(0=LEN(ReferenceData!$Q$15),"",ReferenceData!$Q$15),"")</f>
        <v>414900</v>
      </c>
      <c r="R15">
        <f ca="1">IFERROR(IF(0=LEN(ReferenceData!$R$15),"",ReferenceData!$R$15),"")</f>
        <v>438400</v>
      </c>
    </row>
    <row r="16" spans="1:18" x14ac:dyDescent="0.25">
      <c r="A16" t="str">
        <f>IFERROR(IF(0=LEN(ReferenceData!$A$16),"",ReferenceData!$A$16),"")</f>
        <v xml:space="preserve">    Australasia &amp; Oceania - Sub Saharan Africa</v>
      </c>
      <c r="B16" t="str">
        <f>IFERROR(IF(0=LEN(ReferenceData!$B$16),"",ReferenceData!$B$16),"")</f>
        <v>CSHVOSSA Index</v>
      </c>
      <c r="C16" t="str">
        <f>IFERROR(IF(0=LEN(ReferenceData!$C$16),"",ReferenceData!$C$16),"")</f>
        <v>PX385</v>
      </c>
      <c r="D16" t="str">
        <f>IFERROR(IF(0=LEN(ReferenceData!$D$16),"",ReferenceData!$D$16),"")</f>
        <v>INTERVAL_SUM</v>
      </c>
      <c r="E16" t="str">
        <f>IFERROR(IF(0=LEN(ReferenceData!$E$16),"",ReferenceData!$E$16),"")</f>
        <v>Dynamic</v>
      </c>
      <c r="F16">
        <f ca="1">IFERROR(IF(0=LEN(ReferenceData!$F$16),"",ReferenceData!$F$16),"")</f>
        <v>31900</v>
      </c>
      <c r="G16">
        <f ca="1">IFERROR(IF(0=LEN(ReferenceData!$G$16),"",ReferenceData!$G$16),"")</f>
        <v>52100</v>
      </c>
      <c r="H16">
        <f ca="1">IFERROR(IF(0=LEN(ReferenceData!$H$16),"",ReferenceData!$H$16),"")</f>
        <v>54800</v>
      </c>
      <c r="I16">
        <f ca="1">IFERROR(IF(0=LEN(ReferenceData!$I$16),"",ReferenceData!$I$16),"")</f>
        <v>44100</v>
      </c>
      <c r="J16">
        <f ca="1">IFERROR(IF(0=LEN(ReferenceData!$J$16),"",ReferenceData!$J$16),"")</f>
        <v>48100</v>
      </c>
      <c r="K16">
        <f ca="1">IFERROR(IF(0=LEN(ReferenceData!$K$16),"",ReferenceData!$K$16),"")</f>
        <v>50800</v>
      </c>
      <c r="L16">
        <f ca="1">IFERROR(IF(0=LEN(ReferenceData!$L$16),"",ReferenceData!$L$16),"")</f>
        <v>51400</v>
      </c>
      <c r="M16">
        <f ca="1">IFERROR(IF(0=LEN(ReferenceData!$M$16),"",ReferenceData!$M$16),"")</f>
        <v>48600</v>
      </c>
      <c r="N16">
        <f ca="1">IFERROR(IF(0=LEN(ReferenceData!$N$16),"",ReferenceData!$N$16),"")</f>
        <v>52000</v>
      </c>
      <c r="O16">
        <f ca="1">IFERROR(IF(0=LEN(ReferenceData!$O$16),"",ReferenceData!$O$16),"")</f>
        <v>47600</v>
      </c>
      <c r="P16">
        <f ca="1">IFERROR(IF(0=LEN(ReferenceData!$P$16),"",ReferenceData!$P$16),"")</f>
        <v>53100</v>
      </c>
      <c r="Q16">
        <f ca="1">IFERROR(IF(0=LEN(ReferenceData!$Q$16),"",ReferenceData!$Q$16),"")</f>
        <v>53300</v>
      </c>
      <c r="R16">
        <f ca="1">IFERROR(IF(0=LEN(ReferenceData!$R$16),"",ReferenceData!$R$16),"")</f>
        <v>50400</v>
      </c>
    </row>
    <row r="17" spans="1:18" x14ac:dyDescent="0.25">
      <c r="A17" t="str">
        <f>IFERROR(IF(0=LEN(ReferenceData!$A$17),"",ReferenceData!$A$17),"")</f>
        <v xml:space="preserve">    Australasia &amp; Oceania - Indian Sub Cont. &amp; Middle East</v>
      </c>
      <c r="B17" t="str">
        <f>IFERROR(IF(0=LEN(ReferenceData!$B$17),"",ReferenceData!$B$17),"")</f>
        <v>CSHVOIME Index</v>
      </c>
      <c r="C17" t="str">
        <f>IFERROR(IF(0=LEN(ReferenceData!$C$17),"",ReferenceData!$C$17),"")</f>
        <v>PX385</v>
      </c>
      <c r="D17" t="str">
        <f>IFERROR(IF(0=LEN(ReferenceData!$D$17),"",ReferenceData!$D$17),"")</f>
        <v>INTERVAL_SUM</v>
      </c>
      <c r="E17" t="str">
        <f>IFERROR(IF(0=LEN(ReferenceData!$E$17),"",ReferenceData!$E$17),"")</f>
        <v>Dynamic</v>
      </c>
      <c r="F17">
        <f ca="1">IFERROR(IF(0=LEN(ReferenceData!$F$17),"",ReferenceData!$F$17),"")</f>
        <v>177800</v>
      </c>
      <c r="G17">
        <f ca="1">IFERROR(IF(0=LEN(ReferenceData!$G$17),"",ReferenceData!$G$17),"")</f>
        <v>213800</v>
      </c>
      <c r="H17">
        <f ca="1">IFERROR(IF(0=LEN(ReferenceData!$H$17),"",ReferenceData!$H$17),"")</f>
        <v>262700</v>
      </c>
      <c r="I17">
        <f ca="1">IFERROR(IF(0=LEN(ReferenceData!$I$17),"",ReferenceData!$I$17),"")</f>
        <v>253700</v>
      </c>
      <c r="J17">
        <f ca="1">IFERROR(IF(0=LEN(ReferenceData!$J$17),"",ReferenceData!$J$17),"")</f>
        <v>282500</v>
      </c>
      <c r="K17">
        <f ca="1">IFERROR(IF(0=LEN(ReferenceData!$K$17),"",ReferenceData!$K$17),"")</f>
        <v>262900</v>
      </c>
      <c r="L17">
        <f ca="1">IFERROR(IF(0=LEN(ReferenceData!$L$17),"",ReferenceData!$L$17),"")</f>
        <v>452200</v>
      </c>
      <c r="M17">
        <f ca="1">IFERROR(IF(0=LEN(ReferenceData!$M$17),"",ReferenceData!$M$17),"")</f>
        <v>365100</v>
      </c>
      <c r="N17">
        <f ca="1">IFERROR(IF(0=LEN(ReferenceData!$N$17),"",ReferenceData!$N$17),"")</f>
        <v>336000</v>
      </c>
      <c r="O17">
        <f ca="1">IFERROR(IF(0=LEN(ReferenceData!$O$17),"",ReferenceData!$O$17),"")</f>
        <v>250500</v>
      </c>
      <c r="P17">
        <f ca="1">IFERROR(IF(0=LEN(ReferenceData!$P$17),"",ReferenceData!$P$17),"")</f>
        <v>206500</v>
      </c>
      <c r="Q17">
        <f ca="1">IFERROR(IF(0=LEN(ReferenceData!$Q$17),"",ReferenceData!$Q$17),"")</f>
        <v>223900</v>
      </c>
      <c r="R17">
        <f ca="1">IFERROR(IF(0=LEN(ReferenceData!$R$17),"",ReferenceData!$R$17),"")</f>
        <v>194700</v>
      </c>
    </row>
    <row r="18" spans="1:18" x14ac:dyDescent="0.25">
      <c r="A18" t="str">
        <f>IFERROR(IF(0=LEN(ReferenceData!$A$18),"",ReferenceData!$A$18),"")</f>
        <v xml:space="preserve">    Europe - Europe</v>
      </c>
      <c r="B18" t="str">
        <f>IFERROR(IF(0=LEN(ReferenceData!$B$18),"",ReferenceData!$B$18),"")</f>
        <v>CSHVEEUR Index</v>
      </c>
      <c r="C18" t="str">
        <f>IFERROR(IF(0=LEN(ReferenceData!$C$18),"",ReferenceData!$C$18),"")</f>
        <v>PX385</v>
      </c>
      <c r="D18" t="str">
        <f>IFERROR(IF(0=LEN(ReferenceData!$D$18),"",ReferenceData!$D$18),"")</f>
        <v>INTERVAL_SUM</v>
      </c>
      <c r="E18" t="str">
        <f>IFERROR(IF(0=LEN(ReferenceData!$E$18),"",ReferenceData!$E$18),"")</f>
        <v>Dynamic</v>
      </c>
      <c r="F18">
        <f ca="1">IFERROR(IF(0=LEN(ReferenceData!$F$18),"",ReferenceData!$F$18),"")</f>
        <v>5716800</v>
      </c>
      <c r="G18">
        <f ca="1">IFERROR(IF(0=LEN(ReferenceData!$G$18),"",ReferenceData!$G$18),"")</f>
        <v>8178400</v>
      </c>
      <c r="H18">
        <f ca="1">IFERROR(IF(0=LEN(ReferenceData!$H$18),"",ReferenceData!$H$18),"")</f>
        <v>8933400</v>
      </c>
      <c r="I18">
        <f ca="1">IFERROR(IF(0=LEN(ReferenceData!$I$18),"",ReferenceData!$I$18),"")</f>
        <v>8201800</v>
      </c>
      <c r="J18">
        <f ca="1">IFERROR(IF(0=LEN(ReferenceData!$J$18),"",ReferenceData!$J$18),"")</f>
        <v>8222700</v>
      </c>
      <c r="K18">
        <f ca="1">IFERROR(IF(0=LEN(ReferenceData!$K$18),"",ReferenceData!$K$18),"")</f>
        <v>7732100</v>
      </c>
      <c r="L18">
        <f ca="1">IFERROR(IF(0=LEN(ReferenceData!$L$18),"",ReferenceData!$L$18),"")</f>
        <v>7255800</v>
      </c>
      <c r="M18">
        <f ca="1">IFERROR(IF(0=LEN(ReferenceData!$M$18),"",ReferenceData!$M$18),"")</f>
        <v>7034900</v>
      </c>
      <c r="N18">
        <f ca="1">IFERROR(IF(0=LEN(ReferenceData!$N$18),"",ReferenceData!$N$18),"")</f>
        <v>6764300</v>
      </c>
      <c r="O18">
        <f ca="1">IFERROR(IF(0=LEN(ReferenceData!$O$18),"",ReferenceData!$O$18),"")</f>
        <v>6709800</v>
      </c>
      <c r="P18">
        <f ca="1">IFERROR(IF(0=LEN(ReferenceData!$P$18),"",ReferenceData!$P$18),"")</f>
        <v>6263900</v>
      </c>
      <c r="Q18">
        <f ca="1">IFERROR(IF(0=LEN(ReferenceData!$Q$18),"",ReferenceData!$Q$18),"")</f>
        <v>6010300</v>
      </c>
      <c r="R18">
        <f ca="1">IFERROR(IF(0=LEN(ReferenceData!$R$18),"",ReferenceData!$R$18),"")</f>
        <v>5959700</v>
      </c>
    </row>
    <row r="19" spans="1:18" x14ac:dyDescent="0.25">
      <c r="A19" t="str">
        <f>IFERROR(IF(0=LEN(ReferenceData!$A$19),"",ReferenceData!$A$19),"")</f>
        <v xml:space="preserve">    Europe - Asia</v>
      </c>
      <c r="B19" t="str">
        <f>IFERROR(IF(0=LEN(ReferenceData!$B$19),"",ReferenceData!$B$19),"")</f>
        <v>CSHVEASR Index</v>
      </c>
      <c r="C19" t="str">
        <f>IFERROR(IF(0=LEN(ReferenceData!$C$19),"",ReferenceData!$C$19),"")</f>
        <v>PX385</v>
      </c>
      <c r="D19" t="str">
        <f>IFERROR(IF(0=LEN(ReferenceData!$D$19),"",ReferenceData!$D$19),"")</f>
        <v>INTERVAL_SUM</v>
      </c>
      <c r="E19" t="str">
        <f>IFERROR(IF(0=LEN(ReferenceData!$E$19),"",ReferenceData!$E$19),"")</f>
        <v>Dynamic</v>
      </c>
      <c r="F19">
        <f ca="1">IFERROR(IF(0=LEN(ReferenceData!$F$19),"",ReferenceData!$F$19),"")</f>
        <v>4749500</v>
      </c>
      <c r="G19">
        <f ca="1">IFERROR(IF(0=LEN(ReferenceData!$G$19),"",ReferenceData!$G$19),"")</f>
        <v>6730800</v>
      </c>
      <c r="H19">
        <f ca="1">IFERROR(IF(0=LEN(ReferenceData!$H$19),"",ReferenceData!$H$19),"")</f>
        <v>7750800</v>
      </c>
      <c r="I19">
        <f ca="1">IFERROR(IF(0=LEN(ReferenceData!$I$19),"",ReferenceData!$I$19),"")</f>
        <v>8209400</v>
      </c>
      <c r="J19">
        <f ca="1">IFERROR(IF(0=LEN(ReferenceData!$J$19),"",ReferenceData!$J$19),"")</f>
        <v>8134100</v>
      </c>
      <c r="K19">
        <f ca="1">IFERROR(IF(0=LEN(ReferenceData!$K$19),"",ReferenceData!$K$19),"")</f>
        <v>7649500</v>
      </c>
      <c r="L19">
        <f ca="1">IFERROR(IF(0=LEN(ReferenceData!$L$19),"",ReferenceData!$L$19),"")</f>
        <v>7892400</v>
      </c>
      <c r="M19">
        <f ca="1">IFERROR(IF(0=LEN(ReferenceData!$M$19),"",ReferenceData!$M$19),"")</f>
        <v>7460800</v>
      </c>
      <c r="N19">
        <f ca="1">IFERROR(IF(0=LEN(ReferenceData!$N$19),"",ReferenceData!$N$19),"")</f>
        <v>6930000</v>
      </c>
      <c r="O19">
        <f ca="1">IFERROR(IF(0=LEN(ReferenceData!$O$19),"",ReferenceData!$O$19),"")</f>
        <v>6853700</v>
      </c>
      <c r="P19">
        <f ca="1">IFERROR(IF(0=LEN(ReferenceData!$P$19),"",ReferenceData!$P$19),"")</f>
        <v>6861100</v>
      </c>
      <c r="Q19">
        <f ca="1">IFERROR(IF(0=LEN(ReferenceData!$Q$19),"",ReferenceData!$Q$19),"")</f>
        <v>6508100</v>
      </c>
      <c r="R19">
        <f ca="1">IFERROR(IF(0=LEN(ReferenceData!$R$19),"",ReferenceData!$R$19),"")</f>
        <v>6230500</v>
      </c>
    </row>
    <row r="20" spans="1:18" x14ac:dyDescent="0.25">
      <c r="A20" t="str">
        <f>IFERROR(IF(0=LEN(ReferenceData!$A$20),"",ReferenceData!$A$20),"")</f>
        <v xml:space="preserve">    Europe - North America</v>
      </c>
      <c r="B20" t="str">
        <f>IFERROR(IF(0=LEN(ReferenceData!$B$20),"",ReferenceData!$B$20),"")</f>
        <v>CSHVENAR Index</v>
      </c>
      <c r="C20" t="str">
        <f>IFERROR(IF(0=LEN(ReferenceData!$C$20),"",ReferenceData!$C$20),"")</f>
        <v>PX385</v>
      </c>
      <c r="D20" t="str">
        <f>IFERROR(IF(0=LEN(ReferenceData!$D$20),"",ReferenceData!$D$20),"")</f>
        <v>INTERVAL_SUM</v>
      </c>
      <c r="E20" t="str">
        <f>IFERROR(IF(0=LEN(ReferenceData!$E$20),"",ReferenceData!$E$20),"")</f>
        <v>Dynamic</v>
      </c>
      <c r="F20">
        <f ca="1">IFERROR(IF(0=LEN(ReferenceData!$F$20),"",ReferenceData!$F$20),"")</f>
        <v>3665100</v>
      </c>
      <c r="G20">
        <f ca="1">IFERROR(IF(0=LEN(ReferenceData!$G$20),"",ReferenceData!$G$20),"")</f>
        <v>5520200</v>
      </c>
      <c r="H20">
        <f ca="1">IFERROR(IF(0=LEN(ReferenceData!$H$20),"",ReferenceData!$H$20),"")</f>
        <v>5627800</v>
      </c>
      <c r="I20">
        <f ca="1">IFERROR(IF(0=LEN(ReferenceData!$I$20),"",ReferenceData!$I$20),"")</f>
        <v>5010800</v>
      </c>
      <c r="J20">
        <f ca="1">IFERROR(IF(0=LEN(ReferenceData!$J$20),"",ReferenceData!$J$20),"")</f>
        <v>5102000</v>
      </c>
      <c r="K20">
        <f ca="1">IFERROR(IF(0=LEN(ReferenceData!$K$20),"",ReferenceData!$K$20),"")</f>
        <v>4978300</v>
      </c>
      <c r="L20">
        <f ca="1">IFERROR(IF(0=LEN(ReferenceData!$L$20),"",ReferenceData!$L$20),"")</f>
        <v>4683700</v>
      </c>
      <c r="M20">
        <f ca="1">IFERROR(IF(0=LEN(ReferenceData!$M$20),"",ReferenceData!$M$20),"")</f>
        <v>4326100</v>
      </c>
      <c r="N20">
        <f ca="1">IFERROR(IF(0=LEN(ReferenceData!$N$20),"",ReferenceData!$N$20),"")</f>
        <v>4178800</v>
      </c>
      <c r="O20">
        <f ca="1">IFERROR(IF(0=LEN(ReferenceData!$O$20),"",ReferenceData!$O$20),"")</f>
        <v>3917300</v>
      </c>
      <c r="P20">
        <f ca="1">IFERROR(IF(0=LEN(ReferenceData!$P$20),"",ReferenceData!$P$20),"")</f>
        <v>3586100</v>
      </c>
      <c r="Q20">
        <f ca="1">IFERROR(IF(0=LEN(ReferenceData!$Q$20),"",ReferenceData!$Q$20),"")</f>
        <v>3469100</v>
      </c>
      <c r="R20">
        <f ca="1">IFERROR(IF(0=LEN(ReferenceData!$R$20),"",ReferenceData!$R$20),"")</f>
        <v>3286000</v>
      </c>
    </row>
    <row r="21" spans="1:18" x14ac:dyDescent="0.25">
      <c r="A21" t="str">
        <f>IFERROR(IF(0=LEN(ReferenceData!$A$21),"",ReferenceData!$A$21),"")</f>
        <v xml:space="preserve">    Europe - Australasia &amp; Oceania</v>
      </c>
      <c r="B21" t="str">
        <f>IFERROR(IF(0=LEN(ReferenceData!$B$21),"",ReferenceData!$B$21),"")</f>
        <v>CSHVEAUO Index</v>
      </c>
      <c r="C21" t="str">
        <f>IFERROR(IF(0=LEN(ReferenceData!$C$21),"",ReferenceData!$C$21),"")</f>
        <v>PX385</v>
      </c>
      <c r="D21" t="str">
        <f>IFERROR(IF(0=LEN(ReferenceData!$D$21),"",ReferenceData!$D$21),"")</f>
        <v>INTERVAL_SUM</v>
      </c>
      <c r="E21" t="str">
        <f>IFERROR(IF(0=LEN(ReferenceData!$E$21),"",ReferenceData!$E$21),"")</f>
        <v>Dynamic</v>
      </c>
      <c r="F21">
        <f ca="1">IFERROR(IF(0=LEN(ReferenceData!$F$21),"",ReferenceData!$F$21),"")</f>
        <v>456500</v>
      </c>
      <c r="G21">
        <f ca="1">IFERROR(IF(0=LEN(ReferenceData!$G$21),"",ReferenceData!$G$21),"")</f>
        <v>711300</v>
      </c>
      <c r="H21">
        <f ca="1">IFERROR(IF(0=LEN(ReferenceData!$H$21),"",ReferenceData!$H$21),"")</f>
        <v>754100</v>
      </c>
      <c r="I21">
        <f ca="1">IFERROR(IF(0=LEN(ReferenceData!$I$21),"",ReferenceData!$I$21),"")</f>
        <v>699300</v>
      </c>
      <c r="J21">
        <f ca="1">IFERROR(IF(0=LEN(ReferenceData!$J$21),"",ReferenceData!$J$21),"")</f>
        <v>723100</v>
      </c>
      <c r="K21">
        <f ca="1">IFERROR(IF(0=LEN(ReferenceData!$K$21),"",ReferenceData!$K$21),"")</f>
        <v>756600</v>
      </c>
      <c r="L21">
        <f ca="1">IFERROR(IF(0=LEN(ReferenceData!$L$21),"",ReferenceData!$L$21),"")</f>
        <v>690800</v>
      </c>
      <c r="M21">
        <f ca="1">IFERROR(IF(0=LEN(ReferenceData!$M$21),"",ReferenceData!$M$21),"")</f>
        <v>603100</v>
      </c>
      <c r="N21">
        <f ca="1">IFERROR(IF(0=LEN(ReferenceData!$N$21),"",ReferenceData!$N$21),"")</f>
        <v>558200</v>
      </c>
      <c r="O21">
        <f ca="1">IFERROR(IF(0=LEN(ReferenceData!$O$21),"",ReferenceData!$O$21),"")</f>
        <v>545800</v>
      </c>
      <c r="P21">
        <f ca="1">IFERROR(IF(0=LEN(ReferenceData!$P$21),"",ReferenceData!$P$21),"")</f>
        <v>530800</v>
      </c>
      <c r="Q21">
        <f ca="1">IFERROR(IF(0=LEN(ReferenceData!$Q$21),"",ReferenceData!$Q$21),"")</f>
        <v>504300</v>
      </c>
      <c r="R21">
        <f ca="1">IFERROR(IF(0=LEN(ReferenceData!$R$21),"",ReferenceData!$R$21),"")</f>
        <v>480400</v>
      </c>
    </row>
    <row r="22" spans="1:18" x14ac:dyDescent="0.25">
      <c r="A22" t="str">
        <f>IFERROR(IF(0=LEN(ReferenceData!$A$22),"",ReferenceData!$A$22),"")</f>
        <v xml:space="preserve">    Europe - Sub Saharan Africa</v>
      </c>
      <c r="B22" t="str">
        <f>IFERROR(IF(0=LEN(ReferenceData!$B$22),"",ReferenceData!$B$22),"")</f>
        <v>CSHVESSA Index</v>
      </c>
      <c r="C22" t="str">
        <f>IFERROR(IF(0=LEN(ReferenceData!$C$22),"",ReferenceData!$C$22),"")</f>
        <v>PX385</v>
      </c>
      <c r="D22" t="str">
        <f>IFERROR(IF(0=LEN(ReferenceData!$D$22),"",ReferenceData!$D$22),"")</f>
        <v>INTERVAL_SUM</v>
      </c>
      <c r="E22" t="str">
        <f>IFERROR(IF(0=LEN(ReferenceData!$E$22),"",ReferenceData!$E$22),"")</f>
        <v>Dynamic</v>
      </c>
      <c r="F22">
        <f ca="1">IFERROR(IF(0=LEN(ReferenceData!$F$22),"",ReferenceData!$F$22),"")</f>
        <v>1553500</v>
      </c>
      <c r="G22">
        <f ca="1">IFERROR(IF(0=LEN(ReferenceData!$G$22),"",ReferenceData!$G$22),"")</f>
        <v>2208300</v>
      </c>
      <c r="H22">
        <f ca="1">IFERROR(IF(0=LEN(ReferenceData!$H$22),"",ReferenceData!$H$22),"")</f>
        <v>2216400</v>
      </c>
      <c r="I22">
        <f ca="1">IFERROR(IF(0=LEN(ReferenceData!$I$22),"",ReferenceData!$I$22),"")</f>
        <v>2058100</v>
      </c>
      <c r="J22">
        <f ca="1">IFERROR(IF(0=LEN(ReferenceData!$J$22),"",ReferenceData!$J$22),"")</f>
        <v>2173700</v>
      </c>
      <c r="K22">
        <f ca="1">IFERROR(IF(0=LEN(ReferenceData!$K$22),"",ReferenceData!$K$22),"")</f>
        <v>2100900</v>
      </c>
      <c r="L22">
        <f ca="1">IFERROR(IF(0=LEN(ReferenceData!$L$22),"",ReferenceData!$L$22),"")</f>
        <v>2016400</v>
      </c>
      <c r="M22">
        <f ca="1">IFERROR(IF(0=LEN(ReferenceData!$M$22),"",ReferenceData!$M$22),"")</f>
        <v>1895400</v>
      </c>
      <c r="N22">
        <f ca="1">IFERROR(IF(0=LEN(ReferenceData!$N$22),"",ReferenceData!$N$22),"")</f>
        <v>2062500</v>
      </c>
      <c r="O22">
        <f ca="1">IFERROR(IF(0=LEN(ReferenceData!$O$22),"",ReferenceData!$O$22),"")</f>
        <v>1986200</v>
      </c>
      <c r="P22">
        <f ca="1">IFERROR(IF(0=LEN(ReferenceData!$P$22),"",ReferenceData!$P$22),"")</f>
        <v>2048300</v>
      </c>
      <c r="Q22">
        <f ca="1">IFERROR(IF(0=LEN(ReferenceData!$Q$22),"",ReferenceData!$Q$22),"")</f>
        <v>1887800</v>
      </c>
      <c r="R22">
        <f ca="1">IFERROR(IF(0=LEN(ReferenceData!$R$22),"",ReferenceData!$R$22),"")</f>
        <v>1759000</v>
      </c>
    </row>
    <row r="23" spans="1:18" x14ac:dyDescent="0.25">
      <c r="A23" t="str">
        <f>IFERROR(IF(0=LEN(ReferenceData!$A$23),"",ReferenceData!$A$23),"")</f>
        <v xml:space="preserve">    Europe - Indian Sub Cont. &amp; Middle East</v>
      </c>
      <c r="B23" t="str">
        <f>IFERROR(IF(0=LEN(ReferenceData!$B$23),"",ReferenceData!$B$23),"")</f>
        <v>CSHVEIME Index</v>
      </c>
      <c r="C23" t="str">
        <f>IFERROR(IF(0=LEN(ReferenceData!$C$23),"",ReferenceData!$C$23),"")</f>
        <v>PX385</v>
      </c>
      <c r="D23" t="str">
        <f>IFERROR(IF(0=LEN(ReferenceData!$D$23),"",ReferenceData!$D$23),"")</f>
        <v>INTERVAL_SUM</v>
      </c>
      <c r="E23" t="str">
        <f>IFERROR(IF(0=LEN(ReferenceData!$E$23),"",ReferenceData!$E$23),"")</f>
        <v>Dynamic</v>
      </c>
      <c r="F23">
        <f ca="1">IFERROR(IF(0=LEN(ReferenceData!$F$23),"",ReferenceData!$F$23),"")</f>
        <v>2827800</v>
      </c>
      <c r="G23">
        <f ca="1">IFERROR(IF(0=LEN(ReferenceData!$G$23),"",ReferenceData!$G$23),"")</f>
        <v>3846400</v>
      </c>
      <c r="H23">
        <f ca="1">IFERROR(IF(0=LEN(ReferenceData!$H$23),"",ReferenceData!$H$23),"")</f>
        <v>3711900</v>
      </c>
      <c r="I23">
        <f ca="1">IFERROR(IF(0=LEN(ReferenceData!$I$23),"",ReferenceData!$I$23),"")</f>
        <v>3794700</v>
      </c>
      <c r="J23">
        <f ca="1">IFERROR(IF(0=LEN(ReferenceData!$J$23),"",ReferenceData!$J$23),"")</f>
        <v>4037500</v>
      </c>
      <c r="K23">
        <f ca="1">IFERROR(IF(0=LEN(ReferenceData!$K$23),"",ReferenceData!$K$23),"")</f>
        <v>3964900</v>
      </c>
      <c r="L23">
        <f ca="1">IFERROR(IF(0=LEN(ReferenceData!$L$23),"",ReferenceData!$L$23),"")</f>
        <v>3878100</v>
      </c>
      <c r="M23">
        <f ca="1">IFERROR(IF(0=LEN(ReferenceData!$M$23),"",ReferenceData!$M$23),"")</f>
        <v>3827300</v>
      </c>
      <c r="N23">
        <f ca="1">IFERROR(IF(0=LEN(ReferenceData!$N$23),"",ReferenceData!$N$23),"")</f>
        <v>3630200</v>
      </c>
      <c r="O23">
        <f ca="1">IFERROR(IF(0=LEN(ReferenceData!$O$23),"",ReferenceData!$O$23),"")</f>
        <v>3376000</v>
      </c>
      <c r="P23">
        <f ca="1">IFERROR(IF(0=LEN(ReferenceData!$P$23),"",ReferenceData!$P$23),"")</f>
        <v>3090800</v>
      </c>
      <c r="Q23">
        <f ca="1">IFERROR(IF(0=LEN(ReferenceData!$Q$23),"",ReferenceData!$Q$23),"")</f>
        <v>3146400</v>
      </c>
      <c r="R23">
        <f ca="1">IFERROR(IF(0=LEN(ReferenceData!$R$23),"",ReferenceData!$R$23),"")</f>
        <v>3006700</v>
      </c>
    </row>
    <row r="24" spans="1:18" x14ac:dyDescent="0.25">
      <c r="A24" t="str">
        <f>IFERROR(IF(0=LEN(ReferenceData!$A$24),"",ReferenceData!$A$24),"")</f>
        <v xml:space="preserve">    Europe - South &amp; Central America</v>
      </c>
      <c r="B24" t="str">
        <f>IFERROR(IF(0=LEN(ReferenceData!$B$24),"",ReferenceData!$B$24),"")</f>
        <v>CSHVESCA Index</v>
      </c>
      <c r="C24" t="str">
        <f>IFERROR(IF(0=LEN(ReferenceData!$C$24),"",ReferenceData!$C$24),"")</f>
        <v>PX385</v>
      </c>
      <c r="D24" t="str">
        <f>IFERROR(IF(0=LEN(ReferenceData!$D$24),"",ReferenceData!$D$24),"")</f>
        <v>INTERVAL_SUM</v>
      </c>
      <c r="E24" t="str">
        <f>IFERROR(IF(0=LEN(ReferenceData!$E$24),"",ReferenceData!$E$24),"")</f>
        <v>Dynamic</v>
      </c>
      <c r="F24">
        <f ca="1">IFERROR(IF(0=LEN(ReferenceData!$F$24),"",ReferenceData!$F$24),"")</f>
        <v>1243800</v>
      </c>
      <c r="G24">
        <f ca="1">IFERROR(IF(0=LEN(ReferenceData!$G$24),"",ReferenceData!$G$24),"")</f>
        <v>1927900</v>
      </c>
      <c r="H24">
        <f ca="1">IFERROR(IF(0=LEN(ReferenceData!$H$24),"",ReferenceData!$H$24),"")</f>
        <v>2110900</v>
      </c>
      <c r="I24">
        <f ca="1">IFERROR(IF(0=LEN(ReferenceData!$I$24),"",ReferenceData!$I$24),"")</f>
        <v>1791000</v>
      </c>
      <c r="J24">
        <f ca="1">IFERROR(IF(0=LEN(ReferenceData!$J$24),"",ReferenceData!$J$24),"")</f>
        <v>1870800</v>
      </c>
      <c r="K24">
        <f ca="1">IFERROR(IF(0=LEN(ReferenceData!$K$24),"",ReferenceData!$K$24),"")</f>
        <v>1907400</v>
      </c>
      <c r="L24">
        <f ca="1">IFERROR(IF(0=LEN(ReferenceData!$L$24),"",ReferenceData!$L$24),"")</f>
        <v>1800300</v>
      </c>
      <c r="M24">
        <f ca="1">IFERROR(IF(0=LEN(ReferenceData!$M$24),"",ReferenceData!$M$24),"")</f>
        <v>1615000</v>
      </c>
      <c r="N24">
        <f ca="1">IFERROR(IF(0=LEN(ReferenceData!$N$24),"",ReferenceData!$N$24),"")</f>
        <v>1578500</v>
      </c>
      <c r="O24">
        <f ca="1">IFERROR(IF(0=LEN(ReferenceData!$O$24),"",ReferenceData!$O$24),"")</f>
        <v>1590900</v>
      </c>
      <c r="P24">
        <f ca="1">IFERROR(IF(0=LEN(ReferenceData!$P$24),"",ReferenceData!$P$24),"")</f>
        <v>1631800</v>
      </c>
      <c r="Q24">
        <f ca="1">IFERROR(IF(0=LEN(ReferenceData!$Q$24),"",ReferenceData!$Q$24),"")</f>
        <v>1558200</v>
      </c>
      <c r="R24">
        <f ca="1">IFERROR(IF(0=LEN(ReferenceData!$R$24),"",ReferenceData!$R$24),"")</f>
        <v>1475100</v>
      </c>
    </row>
    <row r="25" spans="1:18" x14ac:dyDescent="0.25">
      <c r="A25" t="str">
        <f>IFERROR(IF(0=LEN(ReferenceData!$A$25),"",ReferenceData!$A$25),"")</f>
        <v xml:space="preserve">    Indian Sub Cont. &amp; Middle East - Australasia &amp; Oceania</v>
      </c>
      <c r="B25" t="str">
        <f>IFERROR(IF(0=LEN(ReferenceData!$B$25),"",ReferenceData!$B$25),"")</f>
        <v>CSHVIAUO Index</v>
      </c>
      <c r="C25" t="str">
        <f>IFERROR(IF(0=LEN(ReferenceData!$C$25),"",ReferenceData!$C$25),"")</f>
        <v>PX385</v>
      </c>
      <c r="D25" t="str">
        <f>IFERROR(IF(0=LEN(ReferenceData!$D$25),"",ReferenceData!$D$25),"")</f>
        <v>INTERVAL_SUM</v>
      </c>
      <c r="E25" t="str">
        <f>IFERROR(IF(0=LEN(ReferenceData!$E$25),"",ReferenceData!$E$25),"")</f>
        <v>Dynamic</v>
      </c>
      <c r="F25">
        <f ca="1">IFERROR(IF(0=LEN(ReferenceData!$F$25),"",ReferenceData!$F$25),"")</f>
        <v>116700</v>
      </c>
      <c r="G25">
        <f ca="1">IFERROR(IF(0=LEN(ReferenceData!$G$25),"",ReferenceData!$G$25),"")</f>
        <v>149600</v>
      </c>
      <c r="H25">
        <f ca="1">IFERROR(IF(0=LEN(ReferenceData!$H$25),"",ReferenceData!$H$25),"")</f>
        <v>158200</v>
      </c>
      <c r="I25">
        <f ca="1">IFERROR(IF(0=LEN(ReferenceData!$I$25),"",ReferenceData!$I$25),"")</f>
        <v>162700</v>
      </c>
      <c r="J25">
        <f ca="1">IFERROR(IF(0=LEN(ReferenceData!$J$25),"",ReferenceData!$J$25),"")</f>
        <v>156000</v>
      </c>
      <c r="K25">
        <f ca="1">IFERROR(IF(0=LEN(ReferenceData!$K$25),"",ReferenceData!$K$25),"")</f>
        <v>157200</v>
      </c>
      <c r="L25">
        <f ca="1">IFERROR(IF(0=LEN(ReferenceData!$L$25),"",ReferenceData!$L$25),"")</f>
        <v>190100</v>
      </c>
      <c r="M25">
        <f ca="1">IFERROR(IF(0=LEN(ReferenceData!$M$25),"",ReferenceData!$M$25),"")</f>
        <v>191900</v>
      </c>
      <c r="N25">
        <f ca="1">IFERROR(IF(0=LEN(ReferenceData!$N$25),"",ReferenceData!$N$25),"")</f>
        <v>174100</v>
      </c>
      <c r="O25">
        <f ca="1">IFERROR(IF(0=LEN(ReferenceData!$O$25),"",ReferenceData!$O$25),"")</f>
        <v>163600</v>
      </c>
      <c r="P25">
        <f ca="1">IFERROR(IF(0=LEN(ReferenceData!$P$25),"",ReferenceData!$P$25),"")</f>
        <v>130000</v>
      </c>
      <c r="Q25">
        <f ca="1">IFERROR(IF(0=LEN(ReferenceData!$Q$25),"",ReferenceData!$Q$25),"")</f>
        <v>109500</v>
      </c>
      <c r="R25">
        <f ca="1">IFERROR(IF(0=LEN(ReferenceData!$R$25),"",ReferenceData!$R$25),"")</f>
        <v>101400</v>
      </c>
    </row>
    <row r="26" spans="1:18" x14ac:dyDescent="0.25">
      <c r="A26" t="str">
        <f>IFERROR(IF(0=LEN(ReferenceData!$A$26),"",ReferenceData!$A$26),"")</f>
        <v xml:space="preserve">    Indian Sub Cont. &amp; Middle East - North America</v>
      </c>
      <c r="B26" t="str">
        <f>IFERROR(IF(0=LEN(ReferenceData!$B$26),"",ReferenceData!$B$26),"")</f>
        <v>CSHVINAR Index</v>
      </c>
      <c r="C26" t="str">
        <f>IFERROR(IF(0=LEN(ReferenceData!$C$26),"",ReferenceData!$C$26),"")</f>
        <v>PX385</v>
      </c>
      <c r="D26" t="str">
        <f>IFERROR(IF(0=LEN(ReferenceData!$D$26),"",ReferenceData!$D$26),"")</f>
        <v>INTERVAL_SUM</v>
      </c>
      <c r="E26" t="str">
        <f>IFERROR(IF(0=LEN(ReferenceData!$E$26),"",ReferenceData!$E$26),"")</f>
        <v>Dynamic</v>
      </c>
      <c r="F26">
        <f ca="1">IFERROR(IF(0=LEN(ReferenceData!$F$26),"",ReferenceData!$F$26),"")</f>
        <v>1335500</v>
      </c>
      <c r="G26">
        <f ca="1">IFERROR(IF(0=LEN(ReferenceData!$G$26),"",ReferenceData!$G$26),"")</f>
        <v>1841900</v>
      </c>
      <c r="H26">
        <f ca="1">IFERROR(IF(0=LEN(ReferenceData!$H$26),"",ReferenceData!$H$26),"")</f>
        <v>1940500</v>
      </c>
      <c r="I26">
        <f ca="1">IFERROR(IF(0=LEN(ReferenceData!$I$26),"",ReferenceData!$I$26),"")</f>
        <v>1458100</v>
      </c>
      <c r="J26">
        <f ca="1">IFERROR(IF(0=LEN(ReferenceData!$J$26),"",ReferenceData!$J$26),"")</f>
        <v>1436100</v>
      </c>
      <c r="K26">
        <f ca="1">IFERROR(IF(0=LEN(ReferenceData!$K$26),"",ReferenceData!$K$26),"")</f>
        <v>1348800</v>
      </c>
      <c r="L26">
        <f ca="1">IFERROR(IF(0=LEN(ReferenceData!$L$26),"",ReferenceData!$L$26),"")</f>
        <v>1183400</v>
      </c>
      <c r="M26">
        <f ca="1">IFERROR(IF(0=LEN(ReferenceData!$M$26),"",ReferenceData!$M$26),"")</f>
        <v>1126100</v>
      </c>
      <c r="N26">
        <f ca="1">IFERROR(IF(0=LEN(ReferenceData!$N$26),"",ReferenceData!$N$26),"")</f>
        <v>1063900</v>
      </c>
      <c r="O26">
        <f ca="1">IFERROR(IF(0=LEN(ReferenceData!$O$26),"",ReferenceData!$O$26),"")</f>
        <v>990200</v>
      </c>
      <c r="P26">
        <f ca="1">IFERROR(IF(0=LEN(ReferenceData!$P$26),"",ReferenceData!$P$26),"")</f>
        <v>892400</v>
      </c>
      <c r="Q26">
        <f ca="1">IFERROR(IF(0=LEN(ReferenceData!$Q$26),"",ReferenceData!$Q$26),"")</f>
        <v>948500</v>
      </c>
      <c r="R26">
        <f ca="1">IFERROR(IF(0=LEN(ReferenceData!$R$26),"",ReferenceData!$R$26),"")</f>
        <v>929400</v>
      </c>
    </row>
    <row r="27" spans="1:18" x14ac:dyDescent="0.25">
      <c r="A27" t="str">
        <f>IFERROR(IF(0=LEN(ReferenceData!$A$27),"",ReferenceData!$A$27),"")</f>
        <v xml:space="preserve">    Indian Sub Cont. &amp; Middle East - Asia</v>
      </c>
      <c r="B27" t="str">
        <f>IFERROR(IF(0=LEN(ReferenceData!$B$27),"",ReferenceData!$B$27),"")</f>
        <v>CSHVIASR Index</v>
      </c>
      <c r="C27" t="str">
        <f>IFERROR(IF(0=LEN(ReferenceData!$C$27),"",ReferenceData!$C$27),"")</f>
        <v>PX385</v>
      </c>
      <c r="D27" t="str">
        <f>IFERROR(IF(0=LEN(ReferenceData!$D$27),"",ReferenceData!$D$27),"")</f>
        <v>INTERVAL_SUM</v>
      </c>
      <c r="E27" t="str">
        <f>IFERROR(IF(0=LEN(ReferenceData!$E$27),"",ReferenceData!$E$27),"")</f>
        <v>Dynamic</v>
      </c>
      <c r="F27">
        <f ca="1">IFERROR(IF(0=LEN(ReferenceData!$F$27),"",ReferenceData!$F$27),"")</f>
        <v>2374800</v>
      </c>
      <c r="G27">
        <f ca="1">IFERROR(IF(0=LEN(ReferenceData!$G$27),"",ReferenceData!$G$27),"")</f>
        <v>3223700</v>
      </c>
      <c r="H27">
        <f ca="1">IFERROR(IF(0=LEN(ReferenceData!$H$27),"",ReferenceData!$H$27),"")</f>
        <v>3005300</v>
      </c>
      <c r="I27">
        <f ca="1">IFERROR(IF(0=LEN(ReferenceData!$I$27),"",ReferenceData!$I$27),"")</f>
        <v>3139900</v>
      </c>
      <c r="J27">
        <f ca="1">IFERROR(IF(0=LEN(ReferenceData!$J$27),"",ReferenceData!$J$27),"")</f>
        <v>2831600</v>
      </c>
      <c r="K27">
        <f ca="1">IFERROR(IF(0=LEN(ReferenceData!$K$27),"",ReferenceData!$K$27),"")</f>
        <v>2993000</v>
      </c>
      <c r="L27">
        <f ca="1">IFERROR(IF(0=LEN(ReferenceData!$L$27),"",ReferenceData!$L$27),"")</f>
        <v>2843000</v>
      </c>
      <c r="M27">
        <f ca="1">IFERROR(IF(0=LEN(ReferenceData!$M$27),"",ReferenceData!$M$27),"")</f>
        <v>2633000</v>
      </c>
      <c r="N27">
        <f ca="1">IFERROR(IF(0=LEN(ReferenceData!$N$27),"",ReferenceData!$N$27),"")</f>
        <v>2499300</v>
      </c>
      <c r="O27">
        <f ca="1">IFERROR(IF(0=LEN(ReferenceData!$O$27),"",ReferenceData!$O$27),"")</f>
        <v>2464100</v>
      </c>
      <c r="P27">
        <f ca="1">IFERROR(IF(0=LEN(ReferenceData!$P$27),"",ReferenceData!$P$27),"")</f>
        <v>2484600</v>
      </c>
      <c r="Q27">
        <f ca="1">IFERROR(IF(0=LEN(ReferenceData!$Q$27),"",ReferenceData!$Q$27),"")</f>
        <v>2331700</v>
      </c>
      <c r="R27">
        <f ca="1">IFERROR(IF(0=LEN(ReferenceData!$R$27),"",ReferenceData!$R$27),"")</f>
        <v>2260600</v>
      </c>
    </row>
    <row r="28" spans="1:18" x14ac:dyDescent="0.25">
      <c r="A28" t="str">
        <f>IFERROR(IF(0=LEN(ReferenceData!$A$28),"",ReferenceData!$A$28),"")</f>
        <v xml:space="preserve">    Indian Sub Cont. &amp; Middle East - Europe</v>
      </c>
      <c r="B28" t="str">
        <f>IFERROR(IF(0=LEN(ReferenceData!$B$28),"",ReferenceData!$B$28),"")</f>
        <v>CSHVIEUR Index</v>
      </c>
      <c r="C28" t="str">
        <f>IFERROR(IF(0=LEN(ReferenceData!$C$28),"",ReferenceData!$C$28),"")</f>
        <v>PX385</v>
      </c>
      <c r="D28" t="str">
        <f>IFERROR(IF(0=LEN(ReferenceData!$D$28),"",ReferenceData!$D$28),"")</f>
        <v>INTERVAL_SUM</v>
      </c>
      <c r="E28" t="str">
        <f>IFERROR(IF(0=LEN(ReferenceData!$E$28),"",ReferenceData!$E$28),"")</f>
        <v>Dynamic</v>
      </c>
      <c r="F28">
        <f ca="1">IFERROR(IF(0=LEN(ReferenceData!$F$28),"",ReferenceData!$F$28),"")</f>
        <v>2448900</v>
      </c>
      <c r="G28">
        <f ca="1">IFERROR(IF(0=LEN(ReferenceData!$G$28),"",ReferenceData!$G$28),"")</f>
        <v>3074600</v>
      </c>
      <c r="H28">
        <f ca="1">IFERROR(IF(0=LEN(ReferenceData!$H$28),"",ReferenceData!$H$28),"")</f>
        <v>3253500</v>
      </c>
      <c r="I28">
        <f ca="1">IFERROR(IF(0=LEN(ReferenceData!$I$28),"",ReferenceData!$I$28),"")</f>
        <v>2738900</v>
      </c>
      <c r="J28">
        <f ca="1">IFERROR(IF(0=LEN(ReferenceData!$J$28),"",ReferenceData!$J$28),"")</f>
        <v>2883000</v>
      </c>
      <c r="K28">
        <f ca="1">IFERROR(IF(0=LEN(ReferenceData!$K$28),"",ReferenceData!$K$28),"")</f>
        <v>2883200</v>
      </c>
      <c r="L28">
        <f ca="1">IFERROR(IF(0=LEN(ReferenceData!$L$28),"",ReferenceData!$L$28),"")</f>
        <v>2741500</v>
      </c>
      <c r="M28">
        <f ca="1">IFERROR(IF(0=LEN(ReferenceData!$M$28),"",ReferenceData!$M$28),"")</f>
        <v>2607000</v>
      </c>
      <c r="N28">
        <f ca="1">IFERROR(IF(0=LEN(ReferenceData!$N$28),"",ReferenceData!$N$28),"")</f>
        <v>2400300</v>
      </c>
      <c r="O28">
        <f ca="1">IFERROR(IF(0=LEN(ReferenceData!$O$28),"",ReferenceData!$O$28),"")</f>
        <v>2382800</v>
      </c>
      <c r="P28">
        <f ca="1">IFERROR(IF(0=LEN(ReferenceData!$P$28),"",ReferenceData!$P$28),"")</f>
        <v>2200800</v>
      </c>
      <c r="Q28">
        <f ca="1">IFERROR(IF(0=LEN(ReferenceData!$Q$28),"",ReferenceData!$Q$28),"")</f>
        <v>2065300</v>
      </c>
      <c r="R28">
        <f ca="1">IFERROR(IF(0=LEN(ReferenceData!$R$28),"",ReferenceData!$R$28),"")</f>
        <v>2031800</v>
      </c>
    </row>
    <row r="29" spans="1:18" x14ac:dyDescent="0.25">
      <c r="A29" t="str">
        <f>IFERROR(IF(0=LEN(ReferenceData!$A$29),"",ReferenceData!$A$29),"")</f>
        <v xml:space="preserve">    Indian Sub Cont. &amp; Middle East - South &amp; Central America</v>
      </c>
      <c r="B29" t="str">
        <f>IFERROR(IF(0=LEN(ReferenceData!$B$29),"",ReferenceData!$B$29),"")</f>
        <v>CSHVISCA Index</v>
      </c>
      <c r="C29" t="str">
        <f>IFERROR(IF(0=LEN(ReferenceData!$C$29),"",ReferenceData!$C$29),"")</f>
        <v>PX385</v>
      </c>
      <c r="D29" t="str">
        <f>IFERROR(IF(0=LEN(ReferenceData!$D$29),"",ReferenceData!$D$29),"")</f>
        <v>INTERVAL_SUM</v>
      </c>
      <c r="E29" t="str">
        <f>IFERROR(IF(0=LEN(ReferenceData!$E$29),"",ReferenceData!$E$29),"")</f>
        <v>Dynamic</v>
      </c>
      <c r="F29">
        <f ca="1">IFERROR(IF(0=LEN(ReferenceData!$F$29),"",ReferenceData!$F$29),"")</f>
        <v>299400</v>
      </c>
      <c r="G29">
        <f ca="1">IFERROR(IF(0=LEN(ReferenceData!$G$29),"",ReferenceData!$G$29),"")</f>
        <v>307700</v>
      </c>
      <c r="H29">
        <f ca="1">IFERROR(IF(0=LEN(ReferenceData!$H$29),"",ReferenceData!$H$29),"")</f>
        <v>444600</v>
      </c>
      <c r="I29">
        <f ca="1">IFERROR(IF(0=LEN(ReferenceData!$I$29),"",ReferenceData!$I$29),"")</f>
        <v>324200</v>
      </c>
      <c r="J29">
        <f ca="1">IFERROR(IF(0=LEN(ReferenceData!$J$29),"",ReferenceData!$J$29),"")</f>
        <v>323200</v>
      </c>
      <c r="K29">
        <f ca="1">IFERROR(IF(0=LEN(ReferenceData!$K$29),"",ReferenceData!$K$29),"")</f>
        <v>359200</v>
      </c>
      <c r="L29">
        <f ca="1">IFERROR(IF(0=LEN(ReferenceData!$L$29),"",ReferenceData!$L$29),"")</f>
        <v>342900</v>
      </c>
      <c r="M29">
        <f ca="1">IFERROR(IF(0=LEN(ReferenceData!$M$29),"",ReferenceData!$M$29),"")</f>
        <v>297100</v>
      </c>
      <c r="N29">
        <f ca="1">IFERROR(IF(0=LEN(ReferenceData!$N$29),"",ReferenceData!$N$29),"")</f>
        <v>288500</v>
      </c>
      <c r="O29">
        <f ca="1">IFERROR(IF(0=LEN(ReferenceData!$O$29),"",ReferenceData!$O$29),"")</f>
        <v>303100</v>
      </c>
      <c r="P29">
        <f ca="1">IFERROR(IF(0=LEN(ReferenceData!$P$29),"",ReferenceData!$P$29),"")</f>
        <v>281700</v>
      </c>
      <c r="Q29">
        <f ca="1">IFERROR(IF(0=LEN(ReferenceData!$Q$29),"",ReferenceData!$Q$29),"")</f>
        <v>278400</v>
      </c>
      <c r="R29">
        <f ca="1">IFERROR(IF(0=LEN(ReferenceData!$R$29),"",ReferenceData!$R$29),"")</f>
        <v>254300</v>
      </c>
    </row>
    <row r="30" spans="1:18" x14ac:dyDescent="0.25">
      <c r="A30" t="str">
        <f>IFERROR(IF(0=LEN(ReferenceData!$A$30),"",ReferenceData!$A$30),"")</f>
        <v xml:space="preserve">    Indian Sub Cont. &amp; Middle East - Sub Saharan Africa</v>
      </c>
      <c r="B30" t="str">
        <f>IFERROR(IF(0=LEN(ReferenceData!$B$30),"",ReferenceData!$B$30),"")</f>
        <v>CSHVISSA Index</v>
      </c>
      <c r="C30" t="str">
        <f>IFERROR(IF(0=LEN(ReferenceData!$C$30),"",ReferenceData!$C$30),"")</f>
        <v>PX385</v>
      </c>
      <c r="D30" t="str">
        <f>IFERROR(IF(0=LEN(ReferenceData!$D$30),"",ReferenceData!$D$30),"")</f>
        <v>INTERVAL_SUM</v>
      </c>
      <c r="E30" t="str">
        <f>IFERROR(IF(0=LEN(ReferenceData!$E$30),"",ReferenceData!$E$30),"")</f>
        <v>Dynamic</v>
      </c>
      <c r="F30">
        <f ca="1">IFERROR(IF(0=LEN(ReferenceData!$F$30),"",ReferenceData!$F$30),"")</f>
        <v>1209500</v>
      </c>
      <c r="G30">
        <f ca="1">IFERROR(IF(0=LEN(ReferenceData!$G$30),"",ReferenceData!$G$30),"")</f>
        <v>1336000</v>
      </c>
      <c r="H30">
        <f ca="1">IFERROR(IF(0=LEN(ReferenceData!$H$30),"",ReferenceData!$H$30),"")</f>
        <v>1327200</v>
      </c>
      <c r="I30">
        <f ca="1">IFERROR(IF(0=LEN(ReferenceData!$I$30),"",ReferenceData!$I$30),"")</f>
        <v>1260900</v>
      </c>
      <c r="J30">
        <f ca="1">IFERROR(IF(0=LEN(ReferenceData!$J$30),"",ReferenceData!$J$30),"")</f>
        <v>1252900</v>
      </c>
      <c r="K30">
        <f ca="1">IFERROR(IF(0=LEN(ReferenceData!$K$30),"",ReferenceData!$K$30),"")</f>
        <v>1194500</v>
      </c>
      <c r="L30">
        <f ca="1">IFERROR(IF(0=LEN(ReferenceData!$L$30),"",ReferenceData!$L$30),"")</f>
        <v>1151300</v>
      </c>
      <c r="M30">
        <f ca="1">IFERROR(IF(0=LEN(ReferenceData!$M$30),"",ReferenceData!$M$30),"")</f>
        <v>1041200</v>
      </c>
      <c r="N30">
        <f ca="1">IFERROR(IF(0=LEN(ReferenceData!$N$30),"",ReferenceData!$N$30),"")</f>
        <v>1057500</v>
      </c>
      <c r="O30">
        <f ca="1">IFERROR(IF(0=LEN(ReferenceData!$O$30),"",ReferenceData!$O$30),"")</f>
        <v>1054800</v>
      </c>
      <c r="P30">
        <f ca="1">IFERROR(IF(0=LEN(ReferenceData!$P$30),"",ReferenceData!$P$30),"")</f>
        <v>950900</v>
      </c>
      <c r="Q30">
        <f ca="1">IFERROR(IF(0=LEN(ReferenceData!$Q$30),"",ReferenceData!$Q$30),"")</f>
        <v>841600</v>
      </c>
      <c r="R30">
        <f ca="1">IFERROR(IF(0=LEN(ReferenceData!$R$30),"",ReferenceData!$R$30),"")</f>
        <v>848400</v>
      </c>
    </row>
    <row r="31" spans="1:18" x14ac:dyDescent="0.25">
      <c r="A31" t="str">
        <f>IFERROR(IF(0=LEN(ReferenceData!$A$31),"",ReferenceData!$A$31),"")</f>
        <v xml:space="preserve">    Indian Sub Cont. &amp; Middle East - Ind. Sub Cont. &amp; ME</v>
      </c>
      <c r="B31" t="str">
        <f>IFERROR(IF(0=LEN(ReferenceData!$B$31),"",ReferenceData!$B$31),"")</f>
        <v>CSHVIIME Index</v>
      </c>
      <c r="C31" t="str">
        <f>IFERROR(IF(0=LEN(ReferenceData!$C$31),"",ReferenceData!$C$31),"")</f>
        <v>PX385</v>
      </c>
      <c r="D31" t="str">
        <f>IFERROR(IF(0=LEN(ReferenceData!$D$31),"",ReferenceData!$D$31),"")</f>
        <v>INTERVAL_SUM</v>
      </c>
      <c r="E31" t="str">
        <f>IFERROR(IF(0=LEN(ReferenceData!$E$31),"",ReferenceData!$E$31),"")</f>
        <v>Dynamic</v>
      </c>
      <c r="F31">
        <f ca="1">IFERROR(IF(0=LEN(ReferenceData!$F$31),"",ReferenceData!$F$31),"")</f>
        <v>3186200</v>
      </c>
      <c r="G31">
        <f ca="1">IFERROR(IF(0=LEN(ReferenceData!$G$31),"",ReferenceData!$G$31),"")</f>
        <v>3911600</v>
      </c>
      <c r="H31">
        <f ca="1">IFERROR(IF(0=LEN(ReferenceData!$H$31),"",ReferenceData!$H$31),"")</f>
        <v>3555200</v>
      </c>
      <c r="I31">
        <f ca="1">IFERROR(IF(0=LEN(ReferenceData!$I$31),"",ReferenceData!$I$31),"")</f>
        <v>3985800</v>
      </c>
      <c r="J31">
        <f ca="1">IFERROR(IF(0=LEN(ReferenceData!$J$31),"",ReferenceData!$J$31),"")</f>
        <v>3946600</v>
      </c>
      <c r="K31">
        <f ca="1">IFERROR(IF(0=LEN(ReferenceData!$K$31),"",ReferenceData!$K$31),"")</f>
        <v>3782900</v>
      </c>
      <c r="L31">
        <f ca="1">IFERROR(IF(0=LEN(ReferenceData!$L$31),"",ReferenceData!$L$31),"")</f>
        <v>3560700</v>
      </c>
      <c r="M31">
        <f ca="1">IFERROR(IF(0=LEN(ReferenceData!$M$31),"",ReferenceData!$M$31),"")</f>
        <v>3337200</v>
      </c>
      <c r="N31">
        <f ca="1">IFERROR(IF(0=LEN(ReferenceData!$N$31),"",ReferenceData!$N$31),"")</f>
        <v>3133800</v>
      </c>
      <c r="O31">
        <f ca="1">IFERROR(IF(0=LEN(ReferenceData!$O$31),"",ReferenceData!$O$31),"")</f>
        <v>2962100</v>
      </c>
      <c r="P31">
        <f ca="1">IFERROR(IF(0=LEN(ReferenceData!$P$31),"",ReferenceData!$P$31),"")</f>
        <v>2720300</v>
      </c>
      <c r="Q31">
        <f ca="1">IFERROR(IF(0=LEN(ReferenceData!$Q$31),"",ReferenceData!$Q$31),"")</f>
        <v>2606100</v>
      </c>
      <c r="R31">
        <f ca="1">IFERROR(IF(0=LEN(ReferenceData!$R$31),"",ReferenceData!$R$31),"")</f>
        <v>2269500</v>
      </c>
    </row>
    <row r="32" spans="1:18" x14ac:dyDescent="0.25">
      <c r="A32" t="str">
        <f>IFERROR(IF(0=LEN(ReferenceData!$A$32),"",ReferenceData!$A$32),"")</f>
        <v xml:space="preserve">    North America - Europe</v>
      </c>
      <c r="B32" t="str">
        <f>IFERROR(IF(0=LEN(ReferenceData!$B$32),"",ReferenceData!$B$32),"")</f>
        <v>CSHVNEUR Index</v>
      </c>
      <c r="C32" t="str">
        <f>IFERROR(IF(0=LEN(ReferenceData!$C$32),"",ReferenceData!$C$32),"")</f>
        <v>PX385</v>
      </c>
      <c r="D32" t="str">
        <f>IFERROR(IF(0=LEN(ReferenceData!$D$32),"",ReferenceData!$D$32),"")</f>
        <v>INTERVAL_SUM</v>
      </c>
      <c r="E32" t="str">
        <f>IFERROR(IF(0=LEN(ReferenceData!$E$32),"",ReferenceData!$E$32),"")</f>
        <v>Dynamic</v>
      </c>
      <c r="F32">
        <f ca="1">IFERROR(IF(0=LEN(ReferenceData!$F$32),"",ReferenceData!$F$32),"")</f>
        <v>1909700</v>
      </c>
      <c r="G32">
        <f ca="1">IFERROR(IF(0=LEN(ReferenceData!$G$32),"",ReferenceData!$G$32),"")</f>
        <v>2596200</v>
      </c>
      <c r="H32">
        <f ca="1">IFERROR(IF(0=LEN(ReferenceData!$H$32),"",ReferenceData!$H$32),"")</f>
        <v>2685800</v>
      </c>
      <c r="I32">
        <f ca="1">IFERROR(IF(0=LEN(ReferenceData!$I$32),"",ReferenceData!$I$32),"")</f>
        <v>2652300</v>
      </c>
      <c r="J32">
        <f ca="1">IFERROR(IF(0=LEN(ReferenceData!$J$32),"",ReferenceData!$J$32),"")</f>
        <v>3009700</v>
      </c>
      <c r="K32">
        <f ca="1">IFERROR(IF(0=LEN(ReferenceData!$K$32),"",ReferenceData!$K$32),"")</f>
        <v>2902900</v>
      </c>
      <c r="L32">
        <f ca="1">IFERROR(IF(0=LEN(ReferenceData!$L$32),"",ReferenceData!$L$32),"")</f>
        <v>2734500</v>
      </c>
      <c r="M32">
        <f ca="1">IFERROR(IF(0=LEN(ReferenceData!$M$32),"",ReferenceData!$M$32),"")</f>
        <v>2591600</v>
      </c>
      <c r="N32">
        <f ca="1">IFERROR(IF(0=LEN(ReferenceData!$N$32),"",ReferenceData!$N$32),"")</f>
        <v>2579700</v>
      </c>
      <c r="O32">
        <f ca="1">IFERROR(IF(0=LEN(ReferenceData!$O$32),"",ReferenceData!$O$32),"")</f>
        <v>2730100</v>
      </c>
      <c r="P32">
        <f ca="1">IFERROR(IF(0=LEN(ReferenceData!$P$32),"",ReferenceData!$P$32),"")</f>
        <v>2728800</v>
      </c>
      <c r="Q32">
        <f ca="1">IFERROR(IF(0=LEN(ReferenceData!$Q$32),"",ReferenceData!$Q$32),"")</f>
        <v>2631800</v>
      </c>
      <c r="R32">
        <f ca="1">IFERROR(IF(0=LEN(ReferenceData!$R$32),"",ReferenceData!$R$32),"")</f>
        <v>2761700</v>
      </c>
    </row>
    <row r="33" spans="1:18" x14ac:dyDescent="0.25">
      <c r="A33" t="str">
        <f>IFERROR(IF(0=LEN(ReferenceData!$A$33),"",ReferenceData!$A$33),"")</f>
        <v xml:space="preserve">    North America - South &amp; Central America</v>
      </c>
      <c r="B33" t="str">
        <f>IFERROR(IF(0=LEN(ReferenceData!$B$33),"",ReferenceData!$B$33),"")</f>
        <v>CSHVNSCA Index</v>
      </c>
      <c r="C33" t="str">
        <f>IFERROR(IF(0=LEN(ReferenceData!$C$33),"",ReferenceData!$C$33),"")</f>
        <v>PX385</v>
      </c>
      <c r="D33" t="str">
        <f>IFERROR(IF(0=LEN(ReferenceData!$D$33),"",ReferenceData!$D$33),"")</f>
        <v>INTERVAL_SUM</v>
      </c>
      <c r="E33" t="str">
        <f>IFERROR(IF(0=LEN(ReferenceData!$E$33),"",ReferenceData!$E$33),"")</f>
        <v>Dynamic</v>
      </c>
      <c r="F33">
        <f ca="1">IFERROR(IF(0=LEN(ReferenceData!$F$33),"",ReferenceData!$F$33),"")</f>
        <v>2110900</v>
      </c>
      <c r="G33">
        <f ca="1">IFERROR(IF(0=LEN(ReferenceData!$G$33),"",ReferenceData!$G$33),"")</f>
        <v>3019200</v>
      </c>
      <c r="H33">
        <f ca="1">IFERROR(IF(0=LEN(ReferenceData!$H$33),"",ReferenceData!$H$33),"")</f>
        <v>2957900</v>
      </c>
      <c r="I33">
        <f ca="1">IFERROR(IF(0=LEN(ReferenceData!$I$33),"",ReferenceData!$I$33),"")</f>
        <v>2626700</v>
      </c>
      <c r="J33">
        <f ca="1">IFERROR(IF(0=LEN(ReferenceData!$J$33),"",ReferenceData!$J$33),"")</f>
        <v>2893200</v>
      </c>
      <c r="K33">
        <f ca="1">IFERROR(IF(0=LEN(ReferenceData!$K$33),"",ReferenceData!$K$33),"")</f>
        <v>2977200</v>
      </c>
      <c r="L33">
        <f ca="1">IFERROR(IF(0=LEN(ReferenceData!$L$33),"",ReferenceData!$L$33),"")</f>
        <v>2861200</v>
      </c>
      <c r="M33">
        <f ca="1">IFERROR(IF(0=LEN(ReferenceData!$M$33),"",ReferenceData!$M$33),"")</f>
        <v>2872100</v>
      </c>
      <c r="N33">
        <f ca="1">IFERROR(IF(0=LEN(ReferenceData!$N$33),"",ReferenceData!$N$33),"")</f>
        <v>2982200</v>
      </c>
      <c r="O33">
        <f ca="1">IFERROR(IF(0=LEN(ReferenceData!$O$33),"",ReferenceData!$O$33),"")</f>
        <v>3063300</v>
      </c>
      <c r="P33">
        <f ca="1">IFERROR(IF(0=LEN(ReferenceData!$P$33),"",ReferenceData!$P$33),"")</f>
        <v>3139500</v>
      </c>
      <c r="Q33">
        <f ca="1">IFERROR(IF(0=LEN(ReferenceData!$Q$33),"",ReferenceData!$Q$33),"")</f>
        <v>1858000</v>
      </c>
      <c r="R33">
        <f ca="1">IFERROR(IF(0=LEN(ReferenceData!$R$33),"",ReferenceData!$R$33),"")</f>
        <v>2010600</v>
      </c>
    </row>
    <row r="34" spans="1:18" x14ac:dyDescent="0.25">
      <c r="A34" t="str">
        <f>IFERROR(IF(0=LEN(ReferenceData!$A$34),"",ReferenceData!$A$34),"")</f>
        <v xml:space="preserve">    North America - Indian Sub Cont. &amp; Middle East</v>
      </c>
      <c r="B34" t="str">
        <f>IFERROR(IF(0=LEN(ReferenceData!$B$34),"",ReferenceData!$B$34),"")</f>
        <v>CSHVNIME Index</v>
      </c>
      <c r="C34" t="str">
        <f>IFERROR(IF(0=LEN(ReferenceData!$C$34),"",ReferenceData!$C$34),"")</f>
        <v>PX385</v>
      </c>
      <c r="D34" t="str">
        <f>IFERROR(IF(0=LEN(ReferenceData!$D$34),"",ReferenceData!$D$34),"")</f>
        <v>INTERVAL_SUM</v>
      </c>
      <c r="E34" t="str">
        <f>IFERROR(IF(0=LEN(ReferenceData!$E$34),"",ReferenceData!$E$34),"")</f>
        <v>Dynamic</v>
      </c>
      <c r="F34">
        <f ca="1">IFERROR(IF(0=LEN(ReferenceData!$F$34),"",ReferenceData!$F$34),"")</f>
        <v>1200800</v>
      </c>
      <c r="G34">
        <f ca="1">IFERROR(IF(0=LEN(ReferenceData!$G$34),"",ReferenceData!$G$34),"")</f>
        <v>1512500</v>
      </c>
      <c r="H34">
        <f ca="1">IFERROR(IF(0=LEN(ReferenceData!$H$34),"",ReferenceData!$H$34),"")</f>
        <v>1412800</v>
      </c>
      <c r="I34">
        <f ca="1">IFERROR(IF(0=LEN(ReferenceData!$I$34),"",ReferenceData!$I$34),"")</f>
        <v>1421000</v>
      </c>
      <c r="J34">
        <f ca="1">IFERROR(IF(0=LEN(ReferenceData!$J$34),"",ReferenceData!$J$34),"")</f>
        <v>1676400</v>
      </c>
      <c r="K34">
        <f ca="1">IFERROR(IF(0=LEN(ReferenceData!$K$34),"",ReferenceData!$K$34),"")</f>
        <v>1498700</v>
      </c>
      <c r="L34">
        <f ca="1">IFERROR(IF(0=LEN(ReferenceData!$L$34),"",ReferenceData!$L$34),"")</f>
        <v>1277300</v>
      </c>
      <c r="M34">
        <f ca="1">IFERROR(IF(0=LEN(ReferenceData!$M$34),"",ReferenceData!$M$34),"")</f>
        <v>1209800</v>
      </c>
      <c r="N34">
        <f ca="1">IFERROR(IF(0=LEN(ReferenceData!$N$34),"",ReferenceData!$N$34),"")</f>
        <v>1148500</v>
      </c>
      <c r="O34">
        <f ca="1">IFERROR(IF(0=LEN(ReferenceData!$O$34),"",ReferenceData!$O$34),"")</f>
        <v>1134400</v>
      </c>
      <c r="P34">
        <f ca="1">IFERROR(IF(0=LEN(ReferenceData!$P$34),"",ReferenceData!$P$34),"")</f>
        <v>1149200</v>
      </c>
      <c r="Q34">
        <f ca="1">IFERROR(IF(0=LEN(ReferenceData!$Q$34),"",ReferenceData!$Q$34),"")</f>
        <v>1045100</v>
      </c>
      <c r="R34">
        <f ca="1">IFERROR(IF(0=LEN(ReferenceData!$R$34),"",ReferenceData!$R$34),"")</f>
        <v>1064300</v>
      </c>
    </row>
    <row r="35" spans="1:18" x14ac:dyDescent="0.25">
      <c r="A35" t="str">
        <f>IFERROR(IF(0=LEN(ReferenceData!$A$35),"",ReferenceData!$A$35),"")</f>
        <v xml:space="preserve">    North America - Sub Saharan Africa</v>
      </c>
      <c r="B35" t="str">
        <f>IFERROR(IF(0=LEN(ReferenceData!$B$35),"",ReferenceData!$B$35),"")</f>
        <v>CSHVNSSA Index</v>
      </c>
      <c r="C35" t="str">
        <f>IFERROR(IF(0=LEN(ReferenceData!$C$35),"",ReferenceData!$C$35),"")</f>
        <v>PX385</v>
      </c>
      <c r="D35" t="str">
        <f>IFERROR(IF(0=LEN(ReferenceData!$D$35),"",ReferenceData!$D$35),"")</f>
        <v>INTERVAL_SUM</v>
      </c>
      <c r="E35" t="str">
        <f>IFERROR(IF(0=LEN(ReferenceData!$E$35),"",ReferenceData!$E$35),"")</f>
        <v>Dynamic</v>
      </c>
      <c r="F35">
        <f ca="1">IFERROR(IF(0=LEN(ReferenceData!$F$35),"",ReferenceData!$F$35),"")</f>
        <v>226700</v>
      </c>
      <c r="G35">
        <f ca="1">IFERROR(IF(0=LEN(ReferenceData!$G$35),"",ReferenceData!$G$35),"")</f>
        <v>311900</v>
      </c>
      <c r="H35">
        <f ca="1">IFERROR(IF(0=LEN(ReferenceData!$H$35),"",ReferenceData!$H$35),"")</f>
        <v>360400</v>
      </c>
      <c r="I35">
        <f ca="1">IFERROR(IF(0=LEN(ReferenceData!$I$35),"",ReferenceData!$I$35),"")</f>
        <v>350000</v>
      </c>
      <c r="J35">
        <f ca="1">IFERROR(IF(0=LEN(ReferenceData!$J$35),"",ReferenceData!$J$35),"")</f>
        <v>378300</v>
      </c>
      <c r="K35">
        <f ca="1">IFERROR(IF(0=LEN(ReferenceData!$K$35),"",ReferenceData!$K$35),"")</f>
        <v>334400</v>
      </c>
      <c r="L35">
        <f ca="1">IFERROR(IF(0=LEN(ReferenceData!$L$35),"",ReferenceData!$L$35),"")</f>
        <v>304800</v>
      </c>
      <c r="M35">
        <f ca="1">IFERROR(IF(0=LEN(ReferenceData!$M$35),"",ReferenceData!$M$35),"")</f>
        <v>296100</v>
      </c>
      <c r="N35">
        <f ca="1">IFERROR(IF(0=LEN(ReferenceData!$N$35),"",ReferenceData!$N$35),"")</f>
        <v>296900</v>
      </c>
      <c r="O35">
        <f ca="1">IFERROR(IF(0=LEN(ReferenceData!$O$35),"",ReferenceData!$O$35),"")</f>
        <v>315300</v>
      </c>
      <c r="P35">
        <f ca="1">IFERROR(IF(0=LEN(ReferenceData!$P$35),"",ReferenceData!$P$35),"")</f>
        <v>324700</v>
      </c>
      <c r="Q35">
        <f ca="1">IFERROR(IF(0=LEN(ReferenceData!$Q$35),"",ReferenceData!$Q$35),"")</f>
        <v>373600</v>
      </c>
      <c r="R35">
        <f ca="1">IFERROR(IF(0=LEN(ReferenceData!$R$35),"",ReferenceData!$R$35),"")</f>
        <v>369800</v>
      </c>
    </row>
    <row r="36" spans="1:18" x14ac:dyDescent="0.25">
      <c r="A36" t="str">
        <f>IFERROR(IF(0=LEN(ReferenceData!$A$36),"",ReferenceData!$A$36),"")</f>
        <v xml:space="preserve">    North America - North America</v>
      </c>
      <c r="B36" t="str">
        <f>IFERROR(IF(0=LEN(ReferenceData!$B$36),"",ReferenceData!$B$36),"")</f>
        <v>CSHVNNAR Index</v>
      </c>
      <c r="C36" t="str">
        <f>IFERROR(IF(0=LEN(ReferenceData!$C$36),"",ReferenceData!$C$36),"")</f>
        <v>PX385</v>
      </c>
      <c r="D36" t="str">
        <f>IFERROR(IF(0=LEN(ReferenceData!$D$36),"",ReferenceData!$D$36),"")</f>
        <v>INTERVAL_SUM</v>
      </c>
      <c r="E36" t="str">
        <f>IFERROR(IF(0=LEN(ReferenceData!$E$36),"",ReferenceData!$E$36),"")</f>
        <v>Dynamic</v>
      </c>
      <c r="F36">
        <f ca="1">IFERROR(IF(0=LEN(ReferenceData!$F$36),"",ReferenceData!$F$36),"")</f>
        <v>167100</v>
      </c>
      <c r="G36">
        <f ca="1">IFERROR(IF(0=LEN(ReferenceData!$G$36),"",ReferenceData!$G$36),"")</f>
        <v>261900</v>
      </c>
      <c r="H36">
        <f ca="1">IFERROR(IF(0=LEN(ReferenceData!$H$36),"",ReferenceData!$H$36),"")</f>
        <v>301100</v>
      </c>
      <c r="I36">
        <f ca="1">IFERROR(IF(0=LEN(ReferenceData!$I$36),"",ReferenceData!$I$36),"")</f>
        <v>305500</v>
      </c>
      <c r="J36">
        <f ca="1">IFERROR(IF(0=LEN(ReferenceData!$J$36),"",ReferenceData!$J$36),"")</f>
        <v>331000</v>
      </c>
      <c r="K36">
        <f ca="1">IFERROR(IF(0=LEN(ReferenceData!$K$36),"",ReferenceData!$K$36),"")</f>
        <v>319100</v>
      </c>
      <c r="L36">
        <f ca="1">IFERROR(IF(0=LEN(ReferenceData!$L$36),"",ReferenceData!$L$36),"")</f>
        <v>291600</v>
      </c>
      <c r="M36">
        <f ca="1">IFERROR(IF(0=LEN(ReferenceData!$M$36),"",ReferenceData!$M$36),"")</f>
        <v>266400</v>
      </c>
      <c r="N36">
        <f ca="1">IFERROR(IF(0=LEN(ReferenceData!$N$36),"",ReferenceData!$N$36),"")</f>
        <v>246100</v>
      </c>
      <c r="O36">
        <f ca="1">IFERROR(IF(0=LEN(ReferenceData!$O$36),"",ReferenceData!$O$36),"")</f>
        <v>236600</v>
      </c>
      <c r="P36">
        <f ca="1">IFERROR(IF(0=LEN(ReferenceData!$P$36),"",ReferenceData!$P$36),"")</f>
        <v>237600</v>
      </c>
      <c r="Q36">
        <f ca="1">IFERROR(IF(0=LEN(ReferenceData!$Q$36),"",ReferenceData!$Q$36),"")</f>
        <v>476300</v>
      </c>
      <c r="R36">
        <f ca="1">IFERROR(IF(0=LEN(ReferenceData!$R$36),"",ReferenceData!$R$36),"")</f>
        <v>416300</v>
      </c>
    </row>
    <row r="37" spans="1:18" x14ac:dyDescent="0.25">
      <c r="A37" t="str">
        <f>IFERROR(IF(0=LEN(ReferenceData!$A$37),"",ReferenceData!$A$37),"")</f>
        <v xml:space="preserve">    North America - Asia</v>
      </c>
      <c r="B37" t="str">
        <f>IFERROR(IF(0=LEN(ReferenceData!$B$37),"",ReferenceData!$B$37),"")</f>
        <v>CSHVNASR Index</v>
      </c>
      <c r="C37" t="str">
        <f>IFERROR(IF(0=LEN(ReferenceData!$C$37),"",ReferenceData!$C$37),"")</f>
        <v>PX385</v>
      </c>
      <c r="D37" t="str">
        <f>IFERROR(IF(0=LEN(ReferenceData!$D$37),"",ReferenceData!$D$37),"")</f>
        <v>INTERVAL_SUM</v>
      </c>
      <c r="E37" t="str">
        <f>IFERROR(IF(0=LEN(ReferenceData!$E$37),"",ReferenceData!$E$37),"")</f>
        <v>Dynamic</v>
      </c>
      <c r="F37">
        <f ca="1">IFERROR(IF(0=LEN(ReferenceData!$F$37),"",ReferenceData!$F$37),"")</f>
        <v>4538100</v>
      </c>
      <c r="G37">
        <f ca="1">IFERROR(IF(0=LEN(ReferenceData!$G$37),"",ReferenceData!$G$37),"")</f>
        <v>6005900</v>
      </c>
      <c r="H37">
        <f ca="1">IFERROR(IF(0=LEN(ReferenceData!$H$37),"",ReferenceData!$H$37),"")</f>
        <v>6377600</v>
      </c>
      <c r="I37">
        <f ca="1">IFERROR(IF(0=LEN(ReferenceData!$I$37),"",ReferenceData!$I$37),"")</f>
        <v>7304400</v>
      </c>
      <c r="J37">
        <f ca="1">IFERROR(IF(0=LEN(ReferenceData!$J$37),"",ReferenceData!$J$37),"")</f>
        <v>7448200</v>
      </c>
      <c r="K37">
        <f ca="1">IFERROR(IF(0=LEN(ReferenceData!$K$37),"",ReferenceData!$K$37),"")</f>
        <v>7514000</v>
      </c>
      <c r="L37">
        <f ca="1">IFERROR(IF(0=LEN(ReferenceData!$L$37),"",ReferenceData!$L$37),"")</f>
        <v>7997400</v>
      </c>
      <c r="M37">
        <f ca="1">IFERROR(IF(0=LEN(ReferenceData!$M$37),"",ReferenceData!$M$37),"")</f>
        <v>7861000</v>
      </c>
      <c r="N37">
        <f ca="1">IFERROR(IF(0=LEN(ReferenceData!$N$37),"",ReferenceData!$N$37),"")</f>
        <v>7304700</v>
      </c>
      <c r="O37">
        <f ca="1">IFERROR(IF(0=LEN(ReferenceData!$O$37),"",ReferenceData!$O$37),"")</f>
        <v>7568600</v>
      </c>
      <c r="P37">
        <f ca="1">IFERROR(IF(0=LEN(ReferenceData!$P$37),"",ReferenceData!$P$37),"")</f>
        <v>7895600</v>
      </c>
      <c r="Q37">
        <f ca="1">IFERROR(IF(0=LEN(ReferenceData!$Q$37),"",ReferenceData!$Q$37),"")</f>
        <v>7760600</v>
      </c>
      <c r="R37">
        <f ca="1">IFERROR(IF(0=LEN(ReferenceData!$R$37),"",ReferenceData!$R$37),"")</f>
        <v>7828600</v>
      </c>
    </row>
    <row r="38" spans="1:18" x14ac:dyDescent="0.25">
      <c r="A38" t="str">
        <f>IFERROR(IF(0=LEN(ReferenceData!$A$38),"",ReferenceData!$A$38),"")</f>
        <v xml:space="preserve">    North America - Australasia &amp; Oceania</v>
      </c>
      <c r="B38" t="str">
        <f>IFERROR(IF(0=LEN(ReferenceData!$B$38),"",ReferenceData!$B$38),"")</f>
        <v>CSHVNAUO Index</v>
      </c>
      <c r="C38" t="str">
        <f>IFERROR(IF(0=LEN(ReferenceData!$C$38),"",ReferenceData!$C$38),"")</f>
        <v>PX385</v>
      </c>
      <c r="D38" t="str">
        <f>IFERROR(IF(0=LEN(ReferenceData!$D$38),"",ReferenceData!$D$38),"")</f>
        <v>INTERVAL_SUM</v>
      </c>
      <c r="E38" t="str">
        <f>IFERROR(IF(0=LEN(ReferenceData!$E$38),"",ReferenceData!$E$38),"")</f>
        <v>Dynamic</v>
      </c>
      <c r="F38">
        <f ca="1">IFERROR(IF(0=LEN(ReferenceData!$F$38),"",ReferenceData!$F$38),"")</f>
        <v>199500</v>
      </c>
      <c r="G38">
        <f ca="1">IFERROR(IF(0=LEN(ReferenceData!$G$38),"",ReferenceData!$G$38),"")</f>
        <v>334000</v>
      </c>
      <c r="H38">
        <f ca="1">IFERROR(IF(0=LEN(ReferenceData!$H$38),"",ReferenceData!$H$38),"")</f>
        <v>324600</v>
      </c>
      <c r="I38">
        <f ca="1">IFERROR(IF(0=LEN(ReferenceData!$I$38),"",ReferenceData!$I$38),"")</f>
        <v>331500</v>
      </c>
      <c r="J38">
        <f ca="1">IFERROR(IF(0=LEN(ReferenceData!$J$38),"",ReferenceData!$J$38),"")</f>
        <v>344600</v>
      </c>
      <c r="K38">
        <f ca="1">IFERROR(IF(0=LEN(ReferenceData!$K$38),"",ReferenceData!$K$38),"")</f>
        <v>340800</v>
      </c>
      <c r="L38">
        <f ca="1">IFERROR(IF(0=LEN(ReferenceData!$L$38),"",ReferenceData!$L$38),"")</f>
        <v>352100</v>
      </c>
      <c r="M38">
        <f ca="1">IFERROR(IF(0=LEN(ReferenceData!$M$38),"",ReferenceData!$M$38),"")</f>
        <v>367300</v>
      </c>
      <c r="N38">
        <f ca="1">IFERROR(IF(0=LEN(ReferenceData!$N$38),"",ReferenceData!$N$38),"")</f>
        <v>370600</v>
      </c>
      <c r="O38">
        <f ca="1">IFERROR(IF(0=LEN(ReferenceData!$O$38),"",ReferenceData!$O$38),"")</f>
        <v>403000</v>
      </c>
      <c r="P38">
        <f ca="1">IFERROR(IF(0=LEN(ReferenceData!$P$38),"",ReferenceData!$P$38),"")</f>
        <v>397600</v>
      </c>
      <c r="Q38">
        <f ca="1">IFERROR(IF(0=LEN(ReferenceData!$Q$38),"",ReferenceData!$Q$38),"")</f>
        <v>325700</v>
      </c>
      <c r="R38">
        <f ca="1">IFERROR(IF(0=LEN(ReferenceData!$R$38),"",ReferenceData!$R$38),"")</f>
        <v>320300</v>
      </c>
    </row>
    <row r="39" spans="1:18" x14ac:dyDescent="0.25">
      <c r="A39" t="str">
        <f>IFERROR(IF(0=LEN(ReferenceData!$A$39),"",ReferenceData!$A$39),"")</f>
        <v xml:space="preserve">    South &amp; Central America - South &amp; Central America</v>
      </c>
      <c r="B39" t="str">
        <f>IFERROR(IF(0=LEN(ReferenceData!$B$39),"",ReferenceData!$B$39),"")</f>
        <v>CSHVCSCA Index</v>
      </c>
      <c r="C39" t="str">
        <f>IFERROR(IF(0=LEN(ReferenceData!$C$39),"",ReferenceData!$C$39),"")</f>
        <v>PX385</v>
      </c>
      <c r="D39" t="str">
        <f>IFERROR(IF(0=LEN(ReferenceData!$D$39),"",ReferenceData!$D$39),"")</f>
        <v>INTERVAL_SUM</v>
      </c>
      <c r="E39" t="str">
        <f>IFERROR(IF(0=LEN(ReferenceData!$E$39),"",ReferenceData!$E$39),"")</f>
        <v>Dynamic</v>
      </c>
      <c r="F39">
        <f ca="1">IFERROR(IF(0=LEN(ReferenceData!$F$39),"",ReferenceData!$F$39),"")</f>
        <v>1107300</v>
      </c>
      <c r="G39">
        <f ca="1">IFERROR(IF(0=LEN(ReferenceData!$G$39),"",ReferenceData!$G$39),"")</f>
        <v>1480500</v>
      </c>
      <c r="H39">
        <f ca="1">IFERROR(IF(0=LEN(ReferenceData!$H$39),"",ReferenceData!$H$39),"")</f>
        <v>1585900</v>
      </c>
      <c r="I39">
        <f ca="1">IFERROR(IF(0=LEN(ReferenceData!$I$39),"",ReferenceData!$I$39),"")</f>
        <v>1481200</v>
      </c>
      <c r="J39">
        <f ca="1">IFERROR(IF(0=LEN(ReferenceData!$J$39),"",ReferenceData!$J$39),"")</f>
        <v>1841800</v>
      </c>
      <c r="K39">
        <f ca="1">IFERROR(IF(0=LEN(ReferenceData!$K$39),"",ReferenceData!$K$39),"")</f>
        <v>1823000</v>
      </c>
      <c r="L39">
        <f ca="1">IFERROR(IF(0=LEN(ReferenceData!$L$39),"",ReferenceData!$L$39),"")</f>
        <v>1735400</v>
      </c>
      <c r="M39">
        <f ca="1">IFERROR(IF(0=LEN(ReferenceData!$M$39),"",ReferenceData!$M$39),"")</f>
        <v>1550400</v>
      </c>
      <c r="N39">
        <f ca="1">IFERROR(IF(0=LEN(ReferenceData!$N$39),"",ReferenceData!$N$39),"")</f>
        <v>1523400</v>
      </c>
      <c r="O39">
        <f ca="1">IFERROR(IF(0=LEN(ReferenceData!$O$39),"",ReferenceData!$O$39),"")</f>
        <v>1483400</v>
      </c>
      <c r="P39">
        <f ca="1">IFERROR(IF(0=LEN(ReferenceData!$P$39),"",ReferenceData!$P$39),"")</f>
        <v>1427400</v>
      </c>
      <c r="Q39">
        <f ca="1">IFERROR(IF(0=LEN(ReferenceData!$Q$39),"",ReferenceData!$Q$39),"")</f>
        <v>1300500</v>
      </c>
      <c r="R39">
        <f ca="1">IFERROR(IF(0=LEN(ReferenceData!$R$39),"",ReferenceData!$R$39),"")</f>
        <v>1274000</v>
      </c>
    </row>
    <row r="40" spans="1:18" x14ac:dyDescent="0.25">
      <c r="A40" t="str">
        <f>IFERROR(IF(0=LEN(ReferenceData!$A$40),"",ReferenceData!$A$40),"")</f>
        <v xml:space="preserve">    South &amp; Central America - Indian Sub Cont. &amp; Middle East</v>
      </c>
      <c r="B40" t="str">
        <f>IFERROR(IF(0=LEN(ReferenceData!$B$40),"",ReferenceData!$B$40),"")</f>
        <v>CSHVCIME Index</v>
      </c>
      <c r="C40" t="str">
        <f>IFERROR(IF(0=LEN(ReferenceData!$C$40),"",ReferenceData!$C$40),"")</f>
        <v>PX385</v>
      </c>
      <c r="D40" t="str">
        <f>IFERROR(IF(0=LEN(ReferenceData!$D$40),"",ReferenceData!$D$40),"")</f>
        <v>INTERVAL_SUM</v>
      </c>
      <c r="E40" t="str">
        <f>IFERROR(IF(0=LEN(ReferenceData!$E$40),"",ReferenceData!$E$40),"")</f>
        <v>Dynamic</v>
      </c>
      <c r="F40">
        <f ca="1">IFERROR(IF(0=LEN(ReferenceData!$F$40),"",ReferenceData!$F$40),"")</f>
        <v>358400</v>
      </c>
      <c r="G40">
        <f ca="1">IFERROR(IF(0=LEN(ReferenceData!$G$40),"",ReferenceData!$G$40),"")</f>
        <v>440200</v>
      </c>
      <c r="H40">
        <f ca="1">IFERROR(IF(0=LEN(ReferenceData!$H$40),"",ReferenceData!$H$40),"")</f>
        <v>435000</v>
      </c>
      <c r="I40">
        <f ca="1">IFERROR(IF(0=LEN(ReferenceData!$I$40),"",ReferenceData!$I$40),"")</f>
        <v>455800</v>
      </c>
      <c r="J40">
        <f ca="1">IFERROR(IF(0=LEN(ReferenceData!$J$40),"",ReferenceData!$J$40),"")</f>
        <v>434500</v>
      </c>
      <c r="K40">
        <f ca="1">IFERROR(IF(0=LEN(ReferenceData!$K$40),"",ReferenceData!$K$40),"")</f>
        <v>415000</v>
      </c>
      <c r="L40">
        <f ca="1">IFERROR(IF(0=LEN(ReferenceData!$L$40),"",ReferenceData!$L$40),"")</f>
        <v>446900</v>
      </c>
      <c r="M40">
        <f ca="1">IFERROR(IF(0=LEN(ReferenceData!$M$40),"",ReferenceData!$M$40),"")</f>
        <v>460900</v>
      </c>
      <c r="N40">
        <f ca="1">IFERROR(IF(0=LEN(ReferenceData!$N$40),"",ReferenceData!$N$40),"")</f>
        <v>391700</v>
      </c>
      <c r="O40">
        <f ca="1">IFERROR(IF(0=LEN(ReferenceData!$O$40),"",ReferenceData!$O$40),"")</f>
        <v>320900</v>
      </c>
      <c r="P40">
        <f ca="1">IFERROR(IF(0=LEN(ReferenceData!$P$40),"",ReferenceData!$P$40),"")</f>
        <v>284300</v>
      </c>
      <c r="Q40">
        <f ca="1">IFERROR(IF(0=LEN(ReferenceData!$Q$40),"",ReferenceData!$Q$40),"")</f>
        <v>294700</v>
      </c>
      <c r="R40">
        <f ca="1">IFERROR(IF(0=LEN(ReferenceData!$R$40),"",ReferenceData!$R$40),"")</f>
        <v>281200</v>
      </c>
    </row>
    <row r="41" spans="1:18" x14ac:dyDescent="0.25">
      <c r="A41" t="str">
        <f>IFERROR(IF(0=LEN(ReferenceData!$A$41),"",ReferenceData!$A$41),"")</f>
        <v xml:space="preserve">    South &amp; Central America - Europe</v>
      </c>
      <c r="B41" t="str">
        <f>IFERROR(IF(0=LEN(ReferenceData!$B$41),"",ReferenceData!$B$41),"")</f>
        <v>CSHVCEUR Index</v>
      </c>
      <c r="C41" t="str">
        <f>IFERROR(IF(0=LEN(ReferenceData!$C$41),"",ReferenceData!$C$41),"")</f>
        <v>PX385</v>
      </c>
      <c r="D41" t="str">
        <f>IFERROR(IF(0=LEN(ReferenceData!$D$41),"",ReferenceData!$D$41),"")</f>
        <v>INTERVAL_SUM</v>
      </c>
      <c r="E41" t="str">
        <f>IFERROR(IF(0=LEN(ReferenceData!$E$41),"",ReferenceData!$E$41),"")</f>
        <v>Dynamic</v>
      </c>
      <c r="F41">
        <f ca="1">IFERROR(IF(0=LEN(ReferenceData!$F$41),"",ReferenceData!$F$41),"")</f>
        <v>1513300</v>
      </c>
      <c r="G41">
        <f ca="1">IFERROR(IF(0=LEN(ReferenceData!$G$41),"",ReferenceData!$G$41),"")</f>
        <v>2058900</v>
      </c>
      <c r="H41">
        <f ca="1">IFERROR(IF(0=LEN(ReferenceData!$H$41),"",ReferenceData!$H$41),"")</f>
        <v>2207400</v>
      </c>
      <c r="I41">
        <f ca="1">IFERROR(IF(0=LEN(ReferenceData!$I$41),"",ReferenceData!$I$41),"")</f>
        <v>2110200</v>
      </c>
      <c r="J41">
        <f ca="1">IFERROR(IF(0=LEN(ReferenceData!$J$41),"",ReferenceData!$J$41),"")</f>
        <v>2023500</v>
      </c>
      <c r="K41">
        <f ca="1">IFERROR(IF(0=LEN(ReferenceData!$K$41),"",ReferenceData!$K$41),"")</f>
        <v>2087600</v>
      </c>
      <c r="L41">
        <f ca="1">IFERROR(IF(0=LEN(ReferenceData!$L$41),"",ReferenceData!$L$41),"")</f>
        <v>1912000</v>
      </c>
      <c r="M41">
        <f ca="1">IFERROR(IF(0=LEN(ReferenceData!$M$41),"",ReferenceData!$M$41),"")</f>
        <v>1840700</v>
      </c>
      <c r="N41">
        <f ca="1">IFERROR(IF(0=LEN(ReferenceData!$N$41),"",ReferenceData!$N$41),"")</f>
        <v>1747100</v>
      </c>
      <c r="O41">
        <f ca="1">IFERROR(IF(0=LEN(ReferenceData!$O$41),"",ReferenceData!$O$41),"")</f>
        <v>1641400</v>
      </c>
      <c r="P41">
        <f ca="1">IFERROR(IF(0=LEN(ReferenceData!$P$41),"",ReferenceData!$P$41),"")</f>
        <v>1608300</v>
      </c>
      <c r="Q41">
        <f ca="1">IFERROR(IF(0=LEN(ReferenceData!$Q$41),"",ReferenceData!$Q$41),"")</f>
        <v>1584100</v>
      </c>
      <c r="R41">
        <f ca="1">IFERROR(IF(0=LEN(ReferenceData!$R$41),"",ReferenceData!$R$41),"")</f>
        <v>1644600</v>
      </c>
    </row>
    <row r="42" spans="1:18" x14ac:dyDescent="0.25">
      <c r="A42" t="str">
        <f>IFERROR(IF(0=LEN(ReferenceData!$A$42),"",ReferenceData!$A$42),"")</f>
        <v xml:space="preserve">    South &amp; Central America - Asia</v>
      </c>
      <c r="B42" t="str">
        <f>IFERROR(IF(0=LEN(ReferenceData!$B$42),"",ReferenceData!$B$42),"")</f>
        <v>CSHVCASR Index</v>
      </c>
      <c r="C42" t="str">
        <f>IFERROR(IF(0=LEN(ReferenceData!$C$42),"",ReferenceData!$C$42),"")</f>
        <v>PX385</v>
      </c>
      <c r="D42" t="str">
        <f>IFERROR(IF(0=LEN(ReferenceData!$D$42),"",ReferenceData!$D$42),"")</f>
        <v>INTERVAL_SUM</v>
      </c>
      <c r="E42" t="str">
        <f>IFERROR(IF(0=LEN(ReferenceData!$E$42),"",ReferenceData!$E$42),"")</f>
        <v>Dynamic</v>
      </c>
      <c r="F42">
        <f ca="1">IFERROR(IF(0=LEN(ReferenceData!$F$42),"",ReferenceData!$F$42),"")</f>
        <v>1479600</v>
      </c>
      <c r="G42">
        <f ca="1">IFERROR(IF(0=LEN(ReferenceData!$G$42),"",ReferenceData!$G$42),"")</f>
        <v>1915300</v>
      </c>
      <c r="H42">
        <f ca="1">IFERROR(IF(0=LEN(ReferenceData!$H$42),"",ReferenceData!$H$42),"")</f>
        <v>1968700</v>
      </c>
      <c r="I42">
        <f ca="1">IFERROR(IF(0=LEN(ReferenceData!$I$42),"",ReferenceData!$I$42),"")</f>
        <v>2102100</v>
      </c>
      <c r="J42">
        <f ca="1">IFERROR(IF(0=LEN(ReferenceData!$J$42),"",ReferenceData!$J$42),"")</f>
        <v>1891000</v>
      </c>
      <c r="K42">
        <f ca="1">IFERROR(IF(0=LEN(ReferenceData!$K$42),"",ReferenceData!$K$42),"")</f>
        <v>1903800</v>
      </c>
      <c r="L42">
        <f ca="1">IFERROR(IF(0=LEN(ReferenceData!$L$42),"",ReferenceData!$L$42),"")</f>
        <v>1813900</v>
      </c>
      <c r="M42">
        <f ca="1">IFERROR(IF(0=LEN(ReferenceData!$M$42),"",ReferenceData!$M$42),"")</f>
        <v>1662900</v>
      </c>
      <c r="N42">
        <f ca="1">IFERROR(IF(0=LEN(ReferenceData!$N$42),"",ReferenceData!$N$42),"")</f>
        <v>1566400</v>
      </c>
      <c r="O42">
        <f ca="1">IFERROR(IF(0=LEN(ReferenceData!$O$42),"",ReferenceData!$O$42),"")</f>
        <v>1551500</v>
      </c>
      <c r="P42">
        <f ca="1">IFERROR(IF(0=LEN(ReferenceData!$P$42),"",ReferenceData!$P$42),"")</f>
        <v>1433500</v>
      </c>
      <c r="Q42">
        <f ca="1">IFERROR(IF(0=LEN(ReferenceData!$Q$42),"",ReferenceData!$Q$42),"")</f>
        <v>1318800</v>
      </c>
      <c r="R42">
        <f ca="1">IFERROR(IF(0=LEN(ReferenceData!$R$42),"",ReferenceData!$R$42),"")</f>
        <v>1391400</v>
      </c>
    </row>
    <row r="43" spans="1:18" x14ac:dyDescent="0.25">
      <c r="A43" t="str">
        <f>IFERROR(IF(0=LEN(ReferenceData!$A$43),"",ReferenceData!$A$43),"")</f>
        <v xml:space="preserve">    South &amp; Central America - North America</v>
      </c>
      <c r="B43" t="str">
        <f>IFERROR(IF(0=LEN(ReferenceData!$B$43),"",ReferenceData!$B$43),"")</f>
        <v>CSHVCNAR Index</v>
      </c>
      <c r="C43" t="str">
        <f>IFERROR(IF(0=LEN(ReferenceData!$C$43),"",ReferenceData!$C$43),"")</f>
        <v>PX385</v>
      </c>
      <c r="D43" t="str">
        <f>IFERROR(IF(0=LEN(ReferenceData!$D$43),"",ReferenceData!$D$43),"")</f>
        <v>INTERVAL_SUM</v>
      </c>
      <c r="E43" t="str">
        <f>IFERROR(IF(0=LEN(ReferenceData!$E$43),"",ReferenceData!$E$43),"")</f>
        <v>Dynamic</v>
      </c>
      <c r="F43">
        <f ca="1">IFERROR(IF(0=LEN(ReferenceData!$F$43),"",ReferenceData!$F$43),"")</f>
        <v>1919400</v>
      </c>
      <c r="G43">
        <f ca="1">IFERROR(IF(0=LEN(ReferenceData!$G$43),"",ReferenceData!$G$43),"")</f>
        <v>2685700</v>
      </c>
      <c r="H43">
        <f ca="1">IFERROR(IF(0=LEN(ReferenceData!$H$43),"",ReferenceData!$H$43),"")</f>
        <v>2683500</v>
      </c>
      <c r="I43">
        <f ca="1">IFERROR(IF(0=LEN(ReferenceData!$I$43),"",ReferenceData!$I$43),"")</f>
        <v>2585100</v>
      </c>
      <c r="J43">
        <f ca="1">IFERROR(IF(0=LEN(ReferenceData!$J$43),"",ReferenceData!$J$43),"")</f>
        <v>2527600</v>
      </c>
      <c r="K43">
        <f ca="1">IFERROR(IF(0=LEN(ReferenceData!$K$43),"",ReferenceData!$K$43),"")</f>
        <v>2477000</v>
      </c>
      <c r="L43">
        <f ca="1">IFERROR(IF(0=LEN(ReferenceData!$L$43),"",ReferenceData!$L$43),"")</f>
        <v>2385300</v>
      </c>
      <c r="M43">
        <f ca="1">IFERROR(IF(0=LEN(ReferenceData!$M$43),"",ReferenceData!$M$43),"")</f>
        <v>2327900</v>
      </c>
      <c r="N43">
        <f ca="1">IFERROR(IF(0=LEN(ReferenceData!$N$43),"",ReferenceData!$N$43),"")</f>
        <v>2192700</v>
      </c>
      <c r="O43">
        <f ca="1">IFERROR(IF(0=LEN(ReferenceData!$O$43),"",ReferenceData!$O$43),"")</f>
        <v>2141800</v>
      </c>
      <c r="P43">
        <f ca="1">IFERROR(IF(0=LEN(ReferenceData!$P$43),"",ReferenceData!$P$43),"")</f>
        <v>2092700</v>
      </c>
      <c r="Q43">
        <f ca="1">IFERROR(IF(0=LEN(ReferenceData!$Q$43),"",ReferenceData!$Q$43),"")</f>
        <v>1246200</v>
      </c>
      <c r="R43">
        <f ca="1">IFERROR(IF(0=LEN(ReferenceData!$R$43),"",ReferenceData!$R$43),"")</f>
        <v>1594500</v>
      </c>
    </row>
    <row r="44" spans="1:18" x14ac:dyDescent="0.25">
      <c r="A44" t="str">
        <f>IFERROR(IF(0=LEN(ReferenceData!$A$44),"",ReferenceData!$A$44),"")</f>
        <v xml:space="preserve">    South &amp; Central America - Australasia &amp; Oceania</v>
      </c>
      <c r="B44" t="str">
        <f>IFERROR(IF(0=LEN(ReferenceData!$B$44),"",ReferenceData!$B$44),"")</f>
        <v>CSHVCAUO Index</v>
      </c>
      <c r="C44" t="str">
        <f>IFERROR(IF(0=LEN(ReferenceData!$C$44),"",ReferenceData!$C$44),"")</f>
        <v>PX385</v>
      </c>
      <c r="D44" t="str">
        <f>IFERROR(IF(0=LEN(ReferenceData!$D$44),"",ReferenceData!$D$44),"")</f>
        <v>INTERVAL_SUM</v>
      </c>
      <c r="E44" t="str">
        <f>IFERROR(IF(0=LEN(ReferenceData!$E$44),"",ReferenceData!$E$44),"")</f>
        <v>Dynamic</v>
      </c>
      <c r="F44">
        <f ca="1">IFERROR(IF(0=LEN(ReferenceData!$F$44),"",ReferenceData!$F$44),"")</f>
        <v>28000</v>
      </c>
      <c r="G44">
        <f ca="1">IFERROR(IF(0=LEN(ReferenceData!$G$44),"",ReferenceData!$G$44),"")</f>
        <v>40700</v>
      </c>
      <c r="H44">
        <f ca="1">IFERROR(IF(0=LEN(ReferenceData!$H$44),"",ReferenceData!$H$44),"")</f>
        <v>48300</v>
      </c>
      <c r="I44">
        <f ca="1">IFERROR(IF(0=LEN(ReferenceData!$I$44),"",ReferenceData!$I$44),"")</f>
        <v>44600</v>
      </c>
      <c r="J44">
        <f ca="1">IFERROR(IF(0=LEN(ReferenceData!$J$44),"",ReferenceData!$J$44),"")</f>
        <v>39100</v>
      </c>
      <c r="K44">
        <f ca="1">IFERROR(IF(0=LEN(ReferenceData!$K$44),"",ReferenceData!$K$44),"")</f>
        <v>41200</v>
      </c>
      <c r="L44">
        <f ca="1">IFERROR(IF(0=LEN(ReferenceData!$L$44),"",ReferenceData!$L$44),"")</f>
        <v>41000</v>
      </c>
      <c r="M44">
        <f ca="1">IFERROR(IF(0=LEN(ReferenceData!$M$44),"",ReferenceData!$M$44),"")</f>
        <v>57400</v>
      </c>
      <c r="N44">
        <f ca="1">IFERROR(IF(0=LEN(ReferenceData!$N$44),"",ReferenceData!$N$44),"")</f>
        <v>57900</v>
      </c>
      <c r="O44">
        <f ca="1">IFERROR(IF(0=LEN(ReferenceData!$O$44),"",ReferenceData!$O$44),"")</f>
        <v>59300</v>
      </c>
      <c r="P44">
        <f ca="1">IFERROR(IF(0=LEN(ReferenceData!$P$44),"",ReferenceData!$P$44),"")</f>
        <v>48800</v>
      </c>
      <c r="Q44">
        <f ca="1">IFERROR(IF(0=LEN(ReferenceData!$Q$44),"",ReferenceData!$Q$44),"")</f>
        <v>48900</v>
      </c>
      <c r="R44">
        <f ca="1">IFERROR(IF(0=LEN(ReferenceData!$R$44),"",ReferenceData!$R$44),"")</f>
        <v>45500</v>
      </c>
    </row>
    <row r="45" spans="1:18" x14ac:dyDescent="0.25">
      <c r="A45" t="str">
        <f>IFERROR(IF(0=LEN(ReferenceData!$A$45),"",ReferenceData!$A$45),"")</f>
        <v xml:space="preserve">    South &amp; Central America - Sub Saharan Africa</v>
      </c>
      <c r="B45" t="str">
        <f>IFERROR(IF(0=LEN(ReferenceData!$B$45),"",ReferenceData!$B$45),"")</f>
        <v>CSHVCSSA Index</v>
      </c>
      <c r="C45" t="str">
        <f>IFERROR(IF(0=LEN(ReferenceData!$C$45),"",ReferenceData!$C$45),"")</f>
        <v>PX385</v>
      </c>
      <c r="D45" t="str">
        <f>IFERROR(IF(0=LEN(ReferenceData!$D$45),"",ReferenceData!$D$45),"")</f>
        <v>INTERVAL_SUM</v>
      </c>
      <c r="E45" t="str">
        <f>IFERROR(IF(0=LEN(ReferenceData!$E$45),"",ReferenceData!$E$45),"")</f>
        <v>Dynamic</v>
      </c>
      <c r="F45">
        <f ca="1">IFERROR(IF(0=LEN(ReferenceData!$F$45),"",ReferenceData!$F$45),"")</f>
        <v>276500</v>
      </c>
      <c r="G45">
        <f ca="1">IFERROR(IF(0=LEN(ReferenceData!$G$45),"",ReferenceData!$G$45),"")</f>
        <v>315300</v>
      </c>
      <c r="H45">
        <f ca="1">IFERROR(IF(0=LEN(ReferenceData!$H$45),"",ReferenceData!$H$45),"")</f>
        <v>318100</v>
      </c>
      <c r="I45">
        <f ca="1">IFERROR(IF(0=LEN(ReferenceData!$I$45),"",ReferenceData!$I$45),"")</f>
        <v>274900</v>
      </c>
      <c r="J45">
        <f ca="1">IFERROR(IF(0=LEN(ReferenceData!$J$45),"",ReferenceData!$J$45),"")</f>
        <v>289000</v>
      </c>
      <c r="K45">
        <f ca="1">IFERROR(IF(0=LEN(ReferenceData!$K$45),"",ReferenceData!$K$45),"")</f>
        <v>290200</v>
      </c>
      <c r="L45">
        <f ca="1">IFERROR(IF(0=LEN(ReferenceData!$L$45),"",ReferenceData!$L$45),"")</f>
        <v>304400</v>
      </c>
      <c r="M45">
        <f ca="1">IFERROR(IF(0=LEN(ReferenceData!$M$45),"",ReferenceData!$M$45),"")</f>
        <v>244300</v>
      </c>
      <c r="N45">
        <f ca="1">IFERROR(IF(0=LEN(ReferenceData!$N$45),"",ReferenceData!$N$45),"")</f>
        <v>256100</v>
      </c>
      <c r="O45">
        <f ca="1">IFERROR(IF(0=LEN(ReferenceData!$O$45),"",ReferenceData!$O$45),"")</f>
        <v>262400</v>
      </c>
      <c r="P45">
        <f ca="1">IFERROR(IF(0=LEN(ReferenceData!$P$45),"",ReferenceData!$P$45),"")</f>
        <v>245200</v>
      </c>
      <c r="Q45">
        <f ca="1">IFERROR(IF(0=LEN(ReferenceData!$Q$45),"",ReferenceData!$Q$45),"")</f>
        <v>255500</v>
      </c>
      <c r="R45">
        <f ca="1">IFERROR(IF(0=LEN(ReferenceData!$R$45),"",ReferenceData!$R$45),"")</f>
        <v>276300</v>
      </c>
    </row>
    <row r="46" spans="1:18" x14ac:dyDescent="0.25">
      <c r="A46" t="str">
        <f>IFERROR(IF(0=LEN(ReferenceData!$A$46),"",ReferenceData!$A$46),"")</f>
        <v xml:space="preserve">    Sub Saharan Africa - Europe</v>
      </c>
      <c r="B46" t="str">
        <f>IFERROR(IF(0=LEN(ReferenceData!$B$46),"",ReferenceData!$B$46),"")</f>
        <v>CSHVSEUR Index</v>
      </c>
      <c r="C46" t="str">
        <f>IFERROR(IF(0=LEN(ReferenceData!$C$46),"",ReferenceData!$C$46),"")</f>
        <v>PX385</v>
      </c>
      <c r="D46" t="str">
        <f>IFERROR(IF(0=LEN(ReferenceData!$D$46),"",ReferenceData!$D$46),"")</f>
        <v>INTERVAL_SUM</v>
      </c>
      <c r="E46" t="str">
        <f>IFERROR(IF(0=LEN(ReferenceData!$E$46),"",ReferenceData!$E$46),"")</f>
        <v>Dynamic</v>
      </c>
      <c r="F46">
        <f ca="1">IFERROR(IF(0=LEN(ReferenceData!$F$46),"",ReferenceData!$F$46),"")</f>
        <v>743800</v>
      </c>
      <c r="G46">
        <f ca="1">IFERROR(IF(0=LEN(ReferenceData!$G$46),"",ReferenceData!$G$46),"")</f>
        <v>935900</v>
      </c>
      <c r="H46">
        <f ca="1">IFERROR(IF(0=LEN(ReferenceData!$H$46),"",ReferenceData!$H$46),"")</f>
        <v>879600</v>
      </c>
      <c r="I46">
        <f ca="1">IFERROR(IF(0=LEN(ReferenceData!$I$46),"",ReferenceData!$I$46),"")</f>
        <v>827900</v>
      </c>
      <c r="J46">
        <f ca="1">IFERROR(IF(0=LEN(ReferenceData!$J$46),"",ReferenceData!$J$46),"")</f>
        <v>815000</v>
      </c>
      <c r="K46">
        <f ca="1">IFERROR(IF(0=LEN(ReferenceData!$K$46),"",ReferenceData!$K$46),"")</f>
        <v>862800</v>
      </c>
      <c r="L46">
        <f ca="1">IFERROR(IF(0=LEN(ReferenceData!$L$46),"",ReferenceData!$L$46),"")</f>
        <v>824600</v>
      </c>
      <c r="M46">
        <f ca="1">IFERROR(IF(0=LEN(ReferenceData!$M$46),"",ReferenceData!$M$46),"")</f>
        <v>773900</v>
      </c>
      <c r="N46">
        <f ca="1">IFERROR(IF(0=LEN(ReferenceData!$N$46),"",ReferenceData!$N$46),"")</f>
        <v>848800</v>
      </c>
      <c r="O46">
        <f ca="1">IFERROR(IF(0=LEN(ReferenceData!$O$46),"",ReferenceData!$O$46),"")</f>
        <v>781100</v>
      </c>
      <c r="P46">
        <f ca="1">IFERROR(IF(0=LEN(ReferenceData!$P$46),"",ReferenceData!$P$46),"")</f>
        <v>804100</v>
      </c>
      <c r="Q46">
        <f ca="1">IFERROR(IF(0=LEN(ReferenceData!$Q$46),"",ReferenceData!$Q$46),"")</f>
        <v>783500</v>
      </c>
      <c r="R46">
        <f ca="1">IFERROR(IF(0=LEN(ReferenceData!$R$46),"",ReferenceData!$R$46),"")</f>
        <v>782400</v>
      </c>
    </row>
    <row r="47" spans="1:18" x14ac:dyDescent="0.25">
      <c r="A47" t="str">
        <f>IFERROR(IF(0=LEN(ReferenceData!$A$47),"",ReferenceData!$A$47),"")</f>
        <v xml:space="preserve">    Sub Saharan Africa - Asia</v>
      </c>
      <c r="B47" t="str">
        <f>IFERROR(IF(0=LEN(ReferenceData!$B$47),"",ReferenceData!$B$47),"")</f>
        <v>CSHVSASR Index</v>
      </c>
      <c r="C47" t="str">
        <f>IFERROR(IF(0=LEN(ReferenceData!$C$47),"",ReferenceData!$C$47),"")</f>
        <v>PX385</v>
      </c>
      <c r="D47" t="str">
        <f>IFERROR(IF(0=LEN(ReferenceData!$D$47),"",ReferenceData!$D$47),"")</f>
        <v>INTERVAL_SUM</v>
      </c>
      <c r="E47" t="str">
        <f>IFERROR(IF(0=LEN(ReferenceData!$E$47),"",ReferenceData!$E$47),"")</f>
        <v>Dynamic</v>
      </c>
      <c r="F47">
        <f ca="1">IFERROR(IF(0=LEN(ReferenceData!$F$47),"",ReferenceData!$F$47),"")</f>
        <v>1010000</v>
      </c>
      <c r="G47">
        <f ca="1">IFERROR(IF(0=LEN(ReferenceData!$G$47),"",ReferenceData!$G$47),"")</f>
        <v>1170300</v>
      </c>
      <c r="H47">
        <f ca="1">IFERROR(IF(0=LEN(ReferenceData!$H$47),"",ReferenceData!$H$47),"")</f>
        <v>1273200</v>
      </c>
      <c r="I47">
        <f ca="1">IFERROR(IF(0=LEN(ReferenceData!$I$47),"",ReferenceData!$I$47),"")</f>
        <v>1237600</v>
      </c>
      <c r="J47">
        <f ca="1">IFERROR(IF(0=LEN(ReferenceData!$J$47),"",ReferenceData!$J$47),"")</f>
        <v>1311800</v>
      </c>
      <c r="K47">
        <f ca="1">IFERROR(IF(0=LEN(ReferenceData!$K$47),"",ReferenceData!$K$47),"")</f>
        <v>1174400</v>
      </c>
      <c r="L47">
        <f ca="1">IFERROR(IF(0=LEN(ReferenceData!$L$47),"",ReferenceData!$L$47),"")</f>
        <v>1137700</v>
      </c>
      <c r="M47">
        <f ca="1">IFERROR(IF(0=LEN(ReferenceData!$M$47),"",ReferenceData!$M$47),"")</f>
        <v>1008100</v>
      </c>
      <c r="N47">
        <f ca="1">IFERROR(IF(0=LEN(ReferenceData!$N$47),"",ReferenceData!$N$47),"")</f>
        <v>986600</v>
      </c>
      <c r="O47">
        <f ca="1">IFERROR(IF(0=LEN(ReferenceData!$O$47),"",ReferenceData!$O$47),"")</f>
        <v>1070100</v>
      </c>
      <c r="P47">
        <f ca="1">IFERROR(IF(0=LEN(ReferenceData!$P$47),"",ReferenceData!$P$47),"")</f>
        <v>1096100</v>
      </c>
      <c r="Q47">
        <f ca="1">IFERROR(IF(0=LEN(ReferenceData!$Q$47),"",ReferenceData!$Q$47),"")</f>
        <v>1060600</v>
      </c>
      <c r="R47">
        <f ca="1">IFERROR(IF(0=LEN(ReferenceData!$R$47),"",ReferenceData!$R$47),"")</f>
        <v>1234800</v>
      </c>
    </row>
    <row r="48" spans="1:18" x14ac:dyDescent="0.25">
      <c r="A48" t="str">
        <f>IFERROR(IF(0=LEN(ReferenceData!$A$48),"",ReferenceData!$A$48),"")</f>
        <v xml:space="preserve">    Sub Saharan Africa - North America</v>
      </c>
      <c r="B48" t="str">
        <f>IFERROR(IF(0=LEN(ReferenceData!$B$48),"",ReferenceData!$B$48),"")</f>
        <v>CSHVSNAR Index</v>
      </c>
      <c r="C48" t="str">
        <f>IFERROR(IF(0=LEN(ReferenceData!$C$48),"",ReferenceData!$C$48),"")</f>
        <v>PX385</v>
      </c>
      <c r="D48" t="str">
        <f>IFERROR(IF(0=LEN(ReferenceData!$D$48),"",ReferenceData!$D$48),"")</f>
        <v>INTERVAL_SUM</v>
      </c>
      <c r="E48" t="str">
        <f>IFERROR(IF(0=LEN(ReferenceData!$E$48),"",ReferenceData!$E$48),"")</f>
        <v>Dynamic</v>
      </c>
      <c r="F48">
        <f ca="1">IFERROR(IF(0=LEN(ReferenceData!$F$48),"",ReferenceData!$F$48),"")</f>
        <v>129100</v>
      </c>
      <c r="G48">
        <f ca="1">IFERROR(IF(0=LEN(ReferenceData!$G$48),"",ReferenceData!$G$48),"")</f>
        <v>166100</v>
      </c>
      <c r="H48">
        <f ca="1">IFERROR(IF(0=LEN(ReferenceData!$H$48),"",ReferenceData!$H$48),"")</f>
        <v>161400</v>
      </c>
      <c r="I48">
        <f ca="1">IFERROR(IF(0=LEN(ReferenceData!$I$48),"",ReferenceData!$I$48),"")</f>
        <v>132000</v>
      </c>
      <c r="J48">
        <f ca="1">IFERROR(IF(0=LEN(ReferenceData!$J$48),"",ReferenceData!$J$48),"")</f>
        <v>129400</v>
      </c>
      <c r="K48">
        <f ca="1">IFERROR(IF(0=LEN(ReferenceData!$K$48),"",ReferenceData!$K$48),"")</f>
        <v>131100</v>
      </c>
      <c r="L48">
        <f ca="1">IFERROR(IF(0=LEN(ReferenceData!$L$48),"",ReferenceData!$L$48),"")</f>
        <v>116600</v>
      </c>
      <c r="M48">
        <f ca="1">IFERROR(IF(0=LEN(ReferenceData!$M$48),"",ReferenceData!$M$48),"")</f>
        <v>120100</v>
      </c>
      <c r="N48">
        <f ca="1">IFERROR(IF(0=LEN(ReferenceData!$N$48),"",ReferenceData!$N$48),"")</f>
        <v>122600</v>
      </c>
      <c r="O48">
        <f ca="1">IFERROR(IF(0=LEN(ReferenceData!$O$48),"",ReferenceData!$O$48),"")</f>
        <v>126200</v>
      </c>
      <c r="P48">
        <f ca="1">IFERROR(IF(0=LEN(ReferenceData!$P$48),"",ReferenceData!$P$48),"")</f>
        <v>117000</v>
      </c>
      <c r="Q48">
        <f ca="1">IFERROR(IF(0=LEN(ReferenceData!$Q$48),"",ReferenceData!$Q$48),"")</f>
        <v>223900</v>
      </c>
      <c r="R48">
        <f ca="1">IFERROR(IF(0=LEN(ReferenceData!$R$48),"",ReferenceData!$R$48),"")</f>
        <v>210200</v>
      </c>
    </row>
    <row r="49" spans="1:18" x14ac:dyDescent="0.25">
      <c r="A49" t="str">
        <f>IFERROR(IF(0=LEN(ReferenceData!$A$49),"",ReferenceData!$A$49),"")</f>
        <v xml:space="preserve">    Sub Saharan Africa - Australasia &amp; Oceania</v>
      </c>
      <c r="B49" t="str">
        <f>IFERROR(IF(0=LEN(ReferenceData!$B$49),"",ReferenceData!$B$49),"")</f>
        <v>CSHVSAUO Index</v>
      </c>
      <c r="C49" t="str">
        <f>IFERROR(IF(0=LEN(ReferenceData!$C$49),"",ReferenceData!$C$49),"")</f>
        <v>PX385</v>
      </c>
      <c r="D49" t="str">
        <f>IFERROR(IF(0=LEN(ReferenceData!$D$49),"",ReferenceData!$D$49),"")</f>
        <v>INTERVAL_SUM</v>
      </c>
      <c r="E49" t="str">
        <f>IFERROR(IF(0=LEN(ReferenceData!$E$49),"",ReferenceData!$E$49),"")</f>
        <v>Dynamic</v>
      </c>
      <c r="F49">
        <f ca="1">IFERROR(IF(0=LEN(ReferenceData!$F$49),"",ReferenceData!$F$49),"")</f>
        <v>15600</v>
      </c>
      <c r="G49">
        <f ca="1">IFERROR(IF(0=LEN(ReferenceData!$G$49),"",ReferenceData!$G$49),"")</f>
        <v>18500</v>
      </c>
      <c r="H49">
        <f ca="1">IFERROR(IF(0=LEN(ReferenceData!$H$49),"",ReferenceData!$H$49),"")</f>
        <v>19200</v>
      </c>
      <c r="I49">
        <f ca="1">IFERROR(IF(0=LEN(ReferenceData!$I$49),"",ReferenceData!$I$49),"")</f>
        <v>18400</v>
      </c>
      <c r="J49">
        <f ca="1">IFERROR(IF(0=LEN(ReferenceData!$J$49),"",ReferenceData!$J$49),"")</f>
        <v>19800</v>
      </c>
      <c r="K49">
        <f ca="1">IFERROR(IF(0=LEN(ReferenceData!$K$49),"",ReferenceData!$K$49),"")</f>
        <v>23300</v>
      </c>
      <c r="L49">
        <f ca="1">IFERROR(IF(0=LEN(ReferenceData!$L$49),"",ReferenceData!$L$49),"")</f>
        <v>19800</v>
      </c>
      <c r="M49">
        <f ca="1">IFERROR(IF(0=LEN(ReferenceData!$M$49),"",ReferenceData!$M$49),"")</f>
        <v>17500</v>
      </c>
      <c r="N49">
        <f ca="1">IFERROR(IF(0=LEN(ReferenceData!$N$49),"",ReferenceData!$N$49),"")</f>
        <v>15700</v>
      </c>
      <c r="O49">
        <f ca="1">IFERROR(IF(0=LEN(ReferenceData!$O$49),"",ReferenceData!$O$49),"")</f>
        <v>18100</v>
      </c>
      <c r="P49">
        <f ca="1">IFERROR(IF(0=LEN(ReferenceData!$P$49),"",ReferenceData!$P$49),"")</f>
        <v>20700</v>
      </c>
      <c r="Q49">
        <f ca="1">IFERROR(IF(0=LEN(ReferenceData!$Q$49),"",ReferenceData!$Q$49),"")</f>
        <v>24300</v>
      </c>
      <c r="R49">
        <f ca="1">IFERROR(IF(0=LEN(ReferenceData!$R$49),"",ReferenceData!$R$49),"")</f>
        <v>26700</v>
      </c>
    </row>
    <row r="50" spans="1:18" x14ac:dyDescent="0.25">
      <c r="A50" t="str">
        <f>IFERROR(IF(0=LEN(ReferenceData!$A$50),"",ReferenceData!$A$50),"")</f>
        <v xml:space="preserve">    Sub Saharan Africa - Sub Saharan Africa</v>
      </c>
      <c r="B50" t="str">
        <f>IFERROR(IF(0=LEN(ReferenceData!$B$50),"",ReferenceData!$B$50),"")</f>
        <v>CSHVSSSA Index</v>
      </c>
      <c r="C50" t="str">
        <f>IFERROR(IF(0=LEN(ReferenceData!$C$50),"",ReferenceData!$C$50),"")</f>
        <v>PX385</v>
      </c>
      <c r="D50" t="str">
        <f>IFERROR(IF(0=LEN(ReferenceData!$D$50),"",ReferenceData!$D$50),"")</f>
        <v>INTERVAL_SUM</v>
      </c>
      <c r="E50" t="str">
        <f>IFERROR(IF(0=LEN(ReferenceData!$E$50),"",ReferenceData!$E$50),"")</f>
        <v>Dynamic</v>
      </c>
      <c r="F50">
        <f ca="1">IFERROR(IF(0=LEN(ReferenceData!$F$50),"",ReferenceData!$F$50),"")</f>
        <v>239900</v>
      </c>
      <c r="G50">
        <f ca="1">IFERROR(IF(0=LEN(ReferenceData!$G$50),"",ReferenceData!$G$50),"")</f>
        <v>341300</v>
      </c>
      <c r="H50">
        <f ca="1">IFERROR(IF(0=LEN(ReferenceData!$H$50),"",ReferenceData!$H$50),"")</f>
        <v>331700</v>
      </c>
      <c r="I50">
        <f ca="1">IFERROR(IF(0=LEN(ReferenceData!$I$50),"",ReferenceData!$I$50),"")</f>
        <v>318300</v>
      </c>
      <c r="J50">
        <f ca="1">IFERROR(IF(0=LEN(ReferenceData!$J$50),"",ReferenceData!$J$50),"")</f>
        <v>281300</v>
      </c>
      <c r="K50">
        <f ca="1">IFERROR(IF(0=LEN(ReferenceData!$K$50),"",ReferenceData!$K$50),"")</f>
        <v>265700</v>
      </c>
      <c r="L50">
        <f ca="1">IFERROR(IF(0=LEN(ReferenceData!$L$50),"",ReferenceData!$L$50),"")</f>
        <v>243000</v>
      </c>
      <c r="M50">
        <f ca="1">IFERROR(IF(0=LEN(ReferenceData!$M$50),"",ReferenceData!$M$50),"")</f>
        <v>217500</v>
      </c>
      <c r="N50">
        <f ca="1">IFERROR(IF(0=LEN(ReferenceData!$N$50),"",ReferenceData!$N$50),"")</f>
        <v>159700</v>
      </c>
      <c r="O50">
        <f ca="1">IFERROR(IF(0=LEN(ReferenceData!$O$50),"",ReferenceData!$O$50),"")</f>
        <v>164800</v>
      </c>
      <c r="P50">
        <f ca="1">IFERROR(IF(0=LEN(ReferenceData!$P$50),"",ReferenceData!$P$50),"")</f>
        <v>148500</v>
      </c>
      <c r="Q50">
        <f ca="1">IFERROR(IF(0=LEN(ReferenceData!$Q$50),"",ReferenceData!$Q$50),"")</f>
        <v>140000</v>
      </c>
      <c r="R50">
        <f ca="1">IFERROR(IF(0=LEN(ReferenceData!$R$50),"",ReferenceData!$R$50),"")</f>
        <v>145800</v>
      </c>
    </row>
    <row r="51" spans="1:18" x14ac:dyDescent="0.25">
      <c r="A51" t="str">
        <f>IFERROR(IF(0=LEN(ReferenceData!$A$51),"",ReferenceData!$A$51),"")</f>
        <v xml:space="preserve">    Sub Saharan Africa - Indian Sub Cont. &amp; Middle East</v>
      </c>
      <c r="B51" t="str">
        <f>IFERROR(IF(0=LEN(ReferenceData!$B$51),"",ReferenceData!$B$51),"")</f>
        <v>CSHVSIME Index</v>
      </c>
      <c r="C51" t="str">
        <f>IFERROR(IF(0=LEN(ReferenceData!$C$51),"",ReferenceData!$C$51),"")</f>
        <v>PX385</v>
      </c>
      <c r="D51" t="str">
        <f>IFERROR(IF(0=LEN(ReferenceData!$D$51),"",ReferenceData!$D$51),"")</f>
        <v>INTERVAL_SUM</v>
      </c>
      <c r="E51" t="str">
        <f>IFERROR(IF(0=LEN(ReferenceData!$E$51),"",ReferenceData!$E$51),"")</f>
        <v>Dynamic</v>
      </c>
      <c r="F51">
        <f ca="1">IFERROR(IF(0=LEN(ReferenceData!$F$51),"",ReferenceData!$F$51),"")</f>
        <v>592900</v>
      </c>
      <c r="G51">
        <f ca="1">IFERROR(IF(0=LEN(ReferenceData!$G$51),"",ReferenceData!$G$51),"")</f>
        <v>710700</v>
      </c>
      <c r="H51">
        <f ca="1">IFERROR(IF(0=LEN(ReferenceData!$H$51),"",ReferenceData!$H$51),"")</f>
        <v>671300</v>
      </c>
      <c r="I51">
        <f ca="1">IFERROR(IF(0=LEN(ReferenceData!$I$51),"",ReferenceData!$I$51),"")</f>
        <v>597800</v>
      </c>
      <c r="J51">
        <f ca="1">IFERROR(IF(0=LEN(ReferenceData!$J$51),"",ReferenceData!$J$51),"")</f>
        <v>668100</v>
      </c>
      <c r="K51">
        <f ca="1">IFERROR(IF(0=LEN(ReferenceData!$K$51),"",ReferenceData!$K$51),"")</f>
        <v>657800</v>
      </c>
      <c r="L51">
        <f ca="1">IFERROR(IF(0=LEN(ReferenceData!$L$51),"",ReferenceData!$L$51),"")</f>
        <v>577200</v>
      </c>
      <c r="M51">
        <f ca="1">IFERROR(IF(0=LEN(ReferenceData!$M$51),"",ReferenceData!$M$51),"")</f>
        <v>528800</v>
      </c>
      <c r="N51">
        <f ca="1">IFERROR(IF(0=LEN(ReferenceData!$N$51),"",ReferenceData!$N$51),"")</f>
        <v>570900</v>
      </c>
      <c r="O51">
        <f ca="1">IFERROR(IF(0=LEN(ReferenceData!$O$51),"",ReferenceData!$O$51),"")</f>
        <v>568000</v>
      </c>
      <c r="P51">
        <f ca="1">IFERROR(IF(0=LEN(ReferenceData!$P$51),"",ReferenceData!$P$51),"")</f>
        <v>453500</v>
      </c>
      <c r="Q51">
        <f ca="1">IFERROR(IF(0=LEN(ReferenceData!$Q$51),"",ReferenceData!$Q$51),"")</f>
        <v>514800</v>
      </c>
      <c r="R51">
        <f ca="1">IFERROR(IF(0=LEN(ReferenceData!$R$51),"",ReferenceData!$R$51),"")</f>
        <v>522900</v>
      </c>
    </row>
    <row r="52" spans="1:18" x14ac:dyDescent="0.25">
      <c r="A52" t="str">
        <f>IFERROR(IF(0=LEN(ReferenceData!$A$52),"",ReferenceData!$A$52),"")</f>
        <v xml:space="preserve">    Sub Saharan Africa - South &amp; Central America</v>
      </c>
      <c r="B52" t="str">
        <f>IFERROR(IF(0=LEN(ReferenceData!$B$52),"",ReferenceData!$B$52),"")</f>
        <v>CSHVSSCA Index</v>
      </c>
      <c r="C52" t="str">
        <f>IFERROR(IF(0=LEN(ReferenceData!$C$52),"",ReferenceData!$C$52),"")</f>
        <v>PX385</v>
      </c>
      <c r="D52" t="str">
        <f>IFERROR(IF(0=LEN(ReferenceData!$D$52),"",ReferenceData!$D$52),"")</f>
        <v>INTERVAL_SUM</v>
      </c>
      <c r="E52" t="str">
        <f>IFERROR(IF(0=LEN(ReferenceData!$E$52),"",ReferenceData!$E$52),"")</f>
        <v>Dynamic</v>
      </c>
      <c r="F52">
        <f ca="1">IFERROR(IF(0=LEN(ReferenceData!$F$52),"",ReferenceData!$F$52),"")</f>
        <v>20700</v>
      </c>
      <c r="G52">
        <f ca="1">IFERROR(IF(0=LEN(ReferenceData!$G$52),"",ReferenceData!$G$52),"")</f>
        <v>35700</v>
      </c>
      <c r="H52">
        <f ca="1">IFERROR(IF(0=LEN(ReferenceData!$H$52),"",ReferenceData!$H$52),"")</f>
        <v>35800</v>
      </c>
      <c r="I52">
        <f ca="1">IFERROR(IF(0=LEN(ReferenceData!$I$52),"",ReferenceData!$I$52),"")</f>
        <v>26000</v>
      </c>
      <c r="J52">
        <f ca="1">IFERROR(IF(0=LEN(ReferenceData!$J$52),"",ReferenceData!$J$52),"")</f>
        <v>32100</v>
      </c>
      <c r="K52">
        <f ca="1">IFERROR(IF(0=LEN(ReferenceData!$K$52),"",ReferenceData!$K$52),"")</f>
        <v>33900</v>
      </c>
      <c r="L52">
        <f ca="1">IFERROR(IF(0=LEN(ReferenceData!$L$52),"",ReferenceData!$L$52),"")</f>
        <v>29700</v>
      </c>
      <c r="M52">
        <f ca="1">IFERROR(IF(0=LEN(ReferenceData!$M$52),"",ReferenceData!$M$52),"")</f>
        <v>38200</v>
      </c>
      <c r="N52">
        <f ca="1">IFERROR(IF(0=LEN(ReferenceData!$N$52),"",ReferenceData!$N$52),"")</f>
        <v>40400</v>
      </c>
      <c r="O52">
        <f ca="1">IFERROR(IF(0=LEN(ReferenceData!$O$52),"",ReferenceData!$O$52),"")</f>
        <v>52100</v>
      </c>
      <c r="P52">
        <f ca="1">IFERROR(IF(0=LEN(ReferenceData!$P$52),"",ReferenceData!$P$52),"")</f>
        <v>51900</v>
      </c>
      <c r="Q52">
        <f ca="1">IFERROR(IF(0=LEN(ReferenceData!$Q$52),"",ReferenceData!$Q$52),"")</f>
        <v>49400</v>
      </c>
      <c r="R52">
        <f ca="1">IFERROR(IF(0=LEN(ReferenceData!$R$52),"",ReferenceData!$R$52),"")</f>
        <v>52000</v>
      </c>
    </row>
    <row r="53" spans="1:18" x14ac:dyDescent="0.25">
      <c r="A53" t="str">
        <f>IFERROR(IF(0=LEN(ReferenceData!$A$53),"",ReferenceData!$A$53),"")</f>
        <v xml:space="preserve">    </v>
      </c>
      <c r="B53" t="str">
        <f>IFERROR(IF(0=LEN(ReferenceData!$B$53),"",ReferenceData!$B$53),"")</f>
        <v/>
      </c>
      <c r="C53" t="str">
        <f>IFERROR(IF(0=LEN(ReferenceData!$C$53),"",ReferenceData!$C$53),"")</f>
        <v/>
      </c>
      <c r="D53" t="str">
        <f>IFERROR(IF(0=LEN(ReferenceData!$D$53),"",ReferenceData!$D$53),"")</f>
        <v/>
      </c>
      <c r="E53" t="str">
        <f>IFERROR(IF(0=LEN(ReferenceData!$E$53),"",ReferenceData!$E$53),"")</f>
        <v>Static</v>
      </c>
      <c r="F53" t="str">
        <f ca="1">IFERROR(IF(0=LEN(ReferenceData!$F$53),"",ReferenceData!$F$53),"")</f>
        <v/>
      </c>
      <c r="G53" t="str">
        <f ca="1">IFERROR(IF(0=LEN(ReferenceData!$G$53),"",ReferenceData!$G$53),"")</f>
        <v/>
      </c>
      <c r="H53" t="str">
        <f ca="1">IFERROR(IF(0=LEN(ReferenceData!$H$53),"",ReferenceData!$H$53),"")</f>
        <v/>
      </c>
      <c r="I53" t="str">
        <f ca="1">IFERROR(IF(0=LEN(ReferenceData!$I$53),"",ReferenceData!$I$53),"")</f>
        <v/>
      </c>
      <c r="J53" t="str">
        <f ca="1">IFERROR(IF(0=LEN(ReferenceData!$J$53),"",ReferenceData!$J$53),"")</f>
        <v/>
      </c>
      <c r="K53" t="str">
        <f ca="1">IFERROR(IF(0=LEN(ReferenceData!$K$53),"",ReferenceData!$K$53),"")</f>
        <v/>
      </c>
      <c r="L53" t="str">
        <f ca="1">IFERROR(IF(0=LEN(ReferenceData!$L$53),"",ReferenceData!$L$53),"")</f>
        <v/>
      </c>
      <c r="M53" t="str">
        <f ca="1">IFERROR(IF(0=LEN(ReferenceData!$M$53),"",ReferenceData!$M$53),"")</f>
        <v/>
      </c>
      <c r="N53" t="str">
        <f ca="1">IFERROR(IF(0=LEN(ReferenceData!$N$53),"",ReferenceData!$N$53),"")</f>
        <v/>
      </c>
      <c r="O53" t="str">
        <f ca="1">IFERROR(IF(0=LEN(ReferenceData!$O$53),"",ReferenceData!$O$53),"")</f>
        <v/>
      </c>
      <c r="P53" t="str">
        <f ca="1">IFERROR(IF(0=LEN(ReferenceData!$P$53),"",ReferenceData!$P$53),"")</f>
        <v/>
      </c>
      <c r="Q53" t="str">
        <f ca="1">IFERROR(IF(0=LEN(ReferenceData!$Q$53),"",ReferenceData!$Q$53),"")</f>
        <v/>
      </c>
      <c r="R53" t="str">
        <f ca="1">IFERROR(IF(0=LEN(ReferenceData!$R$53),"",ReferenceData!$R$53),"")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tabSelected="1" workbookViewId="0">
      <selection activeCell="B4" sqref="B4"/>
    </sheetView>
  </sheetViews>
  <sheetFormatPr defaultRowHeight="15" x14ac:dyDescent="0.25"/>
  <cols>
    <col min="1" max="1" width="56.28515625" customWidth="1"/>
    <col min="2" max="2" width="15.85546875" customWidth="1"/>
    <col min="3" max="31" width="9.140625" bestFit="1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ReferenceData!$C$122</f>
        <v>2023</v>
      </c>
      <c r="G2" s="1" t="str">
        <f>ReferenceData!$D$122</f>
        <v>2022</v>
      </c>
      <c r="H2" s="1" t="str">
        <f>ReferenceData!$E$122</f>
        <v>2021</v>
      </c>
      <c r="I2" s="1" t="str">
        <f>ReferenceData!$F$122</f>
        <v>2020</v>
      </c>
      <c r="J2" s="1" t="str">
        <f>ReferenceData!$G$122</f>
        <v>2019</v>
      </c>
      <c r="K2" s="1" t="str">
        <f>ReferenceData!$H$122</f>
        <v>2018</v>
      </c>
      <c r="L2" s="1" t="str">
        <f>ReferenceData!$I$122</f>
        <v>2017</v>
      </c>
      <c r="M2" s="1" t="str">
        <f>ReferenceData!$J$122</f>
        <v>2016</v>
      </c>
      <c r="N2" s="1" t="str">
        <f>ReferenceData!$K$122</f>
        <v>2015</v>
      </c>
      <c r="O2" s="1" t="str">
        <f>ReferenceData!$L$122</f>
        <v>2014</v>
      </c>
      <c r="P2" s="1" t="str">
        <f>ReferenceData!$M$122</f>
        <v>2013</v>
      </c>
      <c r="Q2" s="1" t="str">
        <f>ReferenceData!$N$122</f>
        <v>2012</v>
      </c>
      <c r="R2" s="1" t="str">
        <f>ReferenceData!$O$122</f>
        <v>2011</v>
      </c>
      <c r="S2" t="str">
        <f>$C$122</f>
        <v>2023</v>
      </c>
      <c r="T2" t="str">
        <f>$D$122</f>
        <v>2022</v>
      </c>
      <c r="U2" t="str">
        <f>$E$122</f>
        <v>2021</v>
      </c>
      <c r="V2" t="str">
        <f>$F$122</f>
        <v>2020</v>
      </c>
      <c r="W2" t="str">
        <f>$G$122</f>
        <v>2019</v>
      </c>
      <c r="X2" t="str">
        <f>$H$122</f>
        <v>2018</v>
      </c>
      <c r="Y2" t="str">
        <f>$I$122</f>
        <v>2017</v>
      </c>
      <c r="Z2" t="str">
        <f>$J$122</f>
        <v>2016</v>
      </c>
      <c r="AA2" t="str">
        <f>$K$122</f>
        <v>2015</v>
      </c>
      <c r="AB2" t="str">
        <f>$L$122</f>
        <v>2014</v>
      </c>
      <c r="AC2" t="str">
        <f>$M$122</f>
        <v>2013</v>
      </c>
      <c r="AD2" t="str">
        <f>$N$122</f>
        <v>2012</v>
      </c>
      <c r="AE2" t="str">
        <f>$O$122</f>
        <v>2011</v>
      </c>
    </row>
    <row r="3" spans="1:31" x14ac:dyDescent="0.25">
      <c r="A3" t="str">
        <f>"CTS Container Volume by Lane (TEUs)"</f>
        <v>CTS Container Volume by Lane (TEUs)</v>
      </c>
      <c r="B3" t="str">
        <f>""</f>
        <v/>
      </c>
      <c r="E3" t="str">
        <f>"Sum"</f>
        <v>Sum</v>
      </c>
      <c r="F3">
        <f ca="1">IF(ISERROR(IF(SUM($F$4:$F$53) = 0, "", SUM($F$4:$F$53))), "", (IF(SUM($F$4:$F$53) = 0, "", SUM($F$4:$F$53))))</f>
        <v>129451400</v>
      </c>
      <c r="G3">
        <f ca="1">IF(ISERROR(IF(SUM($G$4:$G$53) = 0, "", SUM($G$4:$G$53))), "", (IF(SUM($G$4:$G$53) = 0, "", SUM($G$4:$G$53))))</f>
        <v>173489900</v>
      </c>
      <c r="H3">
        <f ca="1">IF(ISERROR(IF(SUM($H$4:$H$53) = 0, "", SUM($H$4:$H$53))), "", (IF(SUM($H$4:$H$53) = 0, "", SUM($H$4:$H$53))))</f>
        <v>180780500</v>
      </c>
      <c r="I3">
        <f ca="1">IF(ISERROR(IF(SUM($I$4:$I$53) = 0, "", SUM($I$4:$I$53))), "", (IF(SUM($I$4:$I$53) = 0, "", SUM($I$4:$I$53))))</f>
        <v>168079800</v>
      </c>
      <c r="J3">
        <f ca="1">IF(ISERROR(IF(SUM($J$4:$J$53) = 0, "", SUM($J$4:$J$53))), "", (IF(SUM($J$4:$J$53) = 0, "", SUM($J$4:$J$53))))</f>
        <v>169048200</v>
      </c>
      <c r="K3">
        <f ca="1">IF(ISERROR(IF(SUM($K$4:$K$53) = 0, "", SUM($K$4:$K$53))), "", (IF(SUM($K$4:$K$53) = 0, "", SUM($K$4:$K$53))))</f>
        <v>167596000</v>
      </c>
      <c r="L3">
        <f ca="1">IF(ISERROR(IF(SUM($L$4:$L$53) = 0, "", SUM($L$4:$L$53))), "", (IF(SUM($L$4:$L$53) = 0, "", SUM($L$4:$L$53))))</f>
        <v>162116100</v>
      </c>
      <c r="M3">
        <f ca="1">IF(ISERROR(IF(SUM($M$4:$M$53) = 0, "", SUM($M$4:$M$53))), "", (IF(SUM($M$4:$M$53) = 0, "", SUM($M$4:$M$53))))</f>
        <v>154608200</v>
      </c>
      <c r="N3">
        <f ca="1">IF(ISERROR(IF(SUM($N$4:$N$53) = 0, "", SUM($N$4:$N$53))), "", (IF(SUM($N$4:$N$53) = 0, "", SUM($N$4:$N$53))))</f>
        <v>148567100</v>
      </c>
      <c r="O3">
        <f ca="1">IF(ISERROR(IF(SUM($O$4:$O$53) = 0, "", SUM($O$4:$O$53))), "", (IF(SUM($O$4:$O$53) = 0, "", SUM($O$4:$O$53))))</f>
        <v>146322000</v>
      </c>
      <c r="P3">
        <f ca="1">IF(ISERROR(IF(SUM($P$4:$P$53) = 0, "", SUM($P$4:$P$53))), "", (IF(SUM($P$4:$P$53) = 0, "", SUM($P$4:$P$53))))</f>
        <v>140928800</v>
      </c>
      <c r="Q3">
        <f ca="1">IF(ISERROR(IF(SUM($Q$4:$Q$53) = 0, "", SUM($Q$4:$Q$53))), "", (IF(SUM($Q$4:$Q$53) = 0, "", SUM($Q$4:$Q$53))))</f>
        <v>133821100</v>
      </c>
      <c r="R3">
        <f ca="1">IF(ISERROR(IF(SUM($R$4:$R$53) = 0, "", SUM($R$4:$R$53))), "", (IF(SUM($R$4:$R$53) = 0, "", SUM($R$4:$R$53))))</f>
        <v>130660400</v>
      </c>
      <c r="S3">
        <f>129451400</f>
        <v>129451400</v>
      </c>
      <c r="T3">
        <f>173489900</f>
        <v>173489900</v>
      </c>
      <c r="U3">
        <f>180780500</f>
        <v>180780500</v>
      </c>
      <c r="V3">
        <f>168079800</f>
        <v>168079800</v>
      </c>
      <c r="W3">
        <f>169048200</f>
        <v>169048200</v>
      </c>
      <c r="X3">
        <f>167596000</f>
        <v>167596000</v>
      </c>
      <c r="Y3">
        <f>162116100</f>
        <v>162116100</v>
      </c>
      <c r="Z3">
        <f>154608200</f>
        <v>154608200</v>
      </c>
      <c r="AA3">
        <f>148567100</f>
        <v>148567100</v>
      </c>
      <c r="AB3">
        <f>146322000</f>
        <v>146322000</v>
      </c>
      <c r="AC3">
        <f>140928800</f>
        <v>140928800</v>
      </c>
      <c r="AD3">
        <f>133821100</f>
        <v>133821100</v>
      </c>
      <c r="AE3">
        <f>130660400</f>
        <v>130660400</v>
      </c>
    </row>
    <row r="4" spans="1:31" x14ac:dyDescent="0.25">
      <c r="A4" t="str">
        <f>"    Asia - South &amp; Central America"</f>
        <v xml:space="preserve">    Asia - South &amp; Central America</v>
      </c>
      <c r="B4" t="str">
        <f>"CSHVASCA Index"</f>
        <v>CSHVASCA Index</v>
      </c>
      <c r="C4" t="str">
        <f t="shared" ref="C4:C35" si="0">"PX385"</f>
        <v>PX385</v>
      </c>
      <c r="D4" t="str">
        <f t="shared" ref="D4:D35" si="1">"INTERVAL_SUM"</f>
        <v>INTERVAL_SUM</v>
      </c>
      <c r="E4" t="str">
        <f t="shared" ref="E4:E35" si="2">"Dynamic"</f>
        <v>Dynamic</v>
      </c>
      <c r="F4">
        <f ca="1">IF(AND(ISNUMBER($F$73),$B$69=1),$F$73,HLOOKUP(INDIRECT(ADDRESS(2,COLUMN())),OFFSET($S$2,0,0,ROW()-1,13),ROW()-1,FALSE))</f>
        <v>3471000</v>
      </c>
      <c r="G4">
        <f ca="1">IF(AND(ISNUMBER($G$73),$B$69=1),$G$73,HLOOKUP(INDIRECT(ADDRESS(2,COLUMN())),OFFSET($S$2,0,0,ROW()-1,13),ROW()-1,FALSE))</f>
        <v>4101300</v>
      </c>
      <c r="H4">
        <f ca="1">IF(AND(ISNUMBER($H$73),$B$69=1),$H$73,HLOOKUP(INDIRECT(ADDRESS(2,COLUMN())),OFFSET($S$2,0,0,ROW()-1,13),ROW()-1,FALSE))</f>
        <v>4478500</v>
      </c>
      <c r="I4">
        <f ca="1">IF(AND(ISNUMBER($I$73),$B$69=1),$I$73,HLOOKUP(INDIRECT(ADDRESS(2,COLUMN())),OFFSET($S$2,0,0,ROW()-1,13),ROW()-1,FALSE))</f>
        <v>3686400</v>
      </c>
      <c r="J4">
        <f ca="1">IF(AND(ISNUMBER($J$73),$B$69=1),$J$73,HLOOKUP(INDIRECT(ADDRESS(2,COLUMN())),OFFSET($S$2,0,0,ROW()-1,13),ROW()-1,FALSE))</f>
        <v>3909300</v>
      </c>
      <c r="K4">
        <f ca="1">IF(AND(ISNUMBER($K$73),$B$69=1),$K$73,HLOOKUP(INDIRECT(ADDRESS(2,COLUMN())),OFFSET($S$2,0,0,ROW()-1,13),ROW()-1,FALSE))</f>
        <v>3881700</v>
      </c>
      <c r="L4">
        <f ca="1">IF(AND(ISNUMBER($L$73),$B$69=1),$L$73,HLOOKUP(INDIRECT(ADDRESS(2,COLUMN())),OFFSET($S$2,0,0,ROW()-1,13),ROW()-1,FALSE))</f>
        <v>3628300</v>
      </c>
      <c r="M4">
        <f ca="1">IF(AND(ISNUMBER($M$73),$B$69=1),$M$73,HLOOKUP(INDIRECT(ADDRESS(2,COLUMN())),OFFSET($S$2,0,0,ROW()-1,13),ROW()-1,FALSE))</f>
        <v>3362500</v>
      </c>
      <c r="N4">
        <f ca="1">IF(AND(ISNUMBER($N$73),$B$69=1),$N$73,HLOOKUP(INDIRECT(ADDRESS(2,COLUMN())),OFFSET($S$2,0,0,ROW()-1,13),ROW()-1,FALSE))</f>
        <v>3223400</v>
      </c>
      <c r="O4">
        <f ca="1">IF(AND(ISNUMBER($O$73),$B$69=1),$O$73,HLOOKUP(INDIRECT(ADDRESS(2,COLUMN())),OFFSET($S$2,0,0,ROW()-1,13),ROW()-1,FALSE))</f>
        <v>3236400</v>
      </c>
      <c r="P4">
        <f ca="1">IF(AND(ISNUMBER($P$73),$B$69=1),$P$73,HLOOKUP(INDIRECT(ADDRESS(2,COLUMN())),OFFSET($S$2,0,0,ROW()-1,13),ROW()-1,FALSE))</f>
        <v>3512800</v>
      </c>
      <c r="Q4">
        <f ca="1">IF(AND(ISNUMBER($Q$73),$B$69=1),$Q$73,HLOOKUP(INDIRECT(ADDRESS(2,COLUMN())),OFFSET($S$2,0,0,ROW()-1,13),ROW()-1,FALSE))</f>
        <v>3339600</v>
      </c>
      <c r="R4">
        <f ca="1">IF(AND(ISNUMBER($R$73),$B$69=1),$R$73,HLOOKUP(INDIRECT(ADDRESS(2,COLUMN())),OFFSET($S$2,0,0,ROW()-1,13),ROW()-1,FALSE))</f>
        <v>3315400</v>
      </c>
      <c r="S4">
        <f>3471000</f>
        <v>3471000</v>
      </c>
      <c r="T4">
        <f>4101300</f>
        <v>4101300</v>
      </c>
      <c r="U4">
        <f>4478500</f>
        <v>4478500</v>
      </c>
      <c r="V4">
        <f>3686400</f>
        <v>3686400</v>
      </c>
      <c r="W4">
        <f>3909300</f>
        <v>3909300</v>
      </c>
      <c r="X4">
        <f>3881700</f>
        <v>3881700</v>
      </c>
      <c r="Y4">
        <f>3628300</f>
        <v>3628300</v>
      </c>
      <c r="Z4">
        <f>3362500</f>
        <v>3362500</v>
      </c>
      <c r="AA4">
        <f>3223400</f>
        <v>3223400</v>
      </c>
      <c r="AB4">
        <f>3236400</f>
        <v>3236400</v>
      </c>
      <c r="AC4">
        <f>3512800</f>
        <v>3512800</v>
      </c>
      <c r="AD4">
        <f>3339600</f>
        <v>3339600</v>
      </c>
      <c r="AE4">
        <f>3315400</f>
        <v>3315400</v>
      </c>
    </row>
    <row r="5" spans="1:31" x14ac:dyDescent="0.25">
      <c r="A5" t="str">
        <f>"    Asia - Sub Saharan Africa"</f>
        <v xml:space="preserve">    Asia - Sub Saharan Africa</v>
      </c>
      <c r="B5" t="str">
        <f>"CSHVASSA Index"</f>
        <v>CSHVASSA Index</v>
      </c>
      <c r="C5" t="str">
        <f t="shared" si="0"/>
        <v>PX385</v>
      </c>
      <c r="D5" t="str">
        <f t="shared" si="1"/>
        <v>INTERVAL_SUM</v>
      </c>
      <c r="E5" t="str">
        <f t="shared" si="2"/>
        <v>Dynamic</v>
      </c>
      <c r="F5">
        <f ca="1">IF(AND(ISNUMBER($F$74),$B$69=1),$F$74,HLOOKUP(INDIRECT(ADDRESS(2,COLUMN())),OFFSET($S$2,0,0,ROW()-1,13),ROW()-1,FALSE))</f>
        <v>2721800</v>
      </c>
      <c r="G5">
        <f ca="1">IF(AND(ISNUMBER($G$74),$B$69=1),$G$74,HLOOKUP(INDIRECT(ADDRESS(2,COLUMN())),OFFSET($S$2,0,0,ROW()-1,13),ROW()-1,FALSE))</f>
        <v>3034900</v>
      </c>
      <c r="H5">
        <f ca="1">IF(AND(ISNUMBER($H$74),$B$69=1),$H$74,HLOOKUP(INDIRECT(ADDRESS(2,COLUMN())),OFFSET($S$2,0,0,ROW()-1,13),ROW()-1,FALSE))</f>
        <v>3083600</v>
      </c>
      <c r="I5">
        <f ca="1">IF(AND(ISNUMBER($I$74),$B$69=1),$I$74,HLOOKUP(INDIRECT(ADDRESS(2,COLUMN())),OFFSET($S$2,0,0,ROW()-1,13),ROW()-1,FALSE))</f>
        <v>3154800</v>
      </c>
      <c r="J5">
        <f ca="1">IF(AND(ISNUMBER($J$74),$B$69=1),$J$74,HLOOKUP(INDIRECT(ADDRESS(2,COLUMN())),OFFSET($S$2,0,0,ROW()-1,13),ROW()-1,FALSE))</f>
        <v>3209600</v>
      </c>
      <c r="K5">
        <f ca="1">IF(AND(ISNUMBER($K$74),$B$69=1),$K$74,HLOOKUP(INDIRECT(ADDRESS(2,COLUMN())),OFFSET($S$2,0,0,ROW()-1,13),ROW()-1,FALSE))</f>
        <v>3026200</v>
      </c>
      <c r="L5">
        <f ca="1">IF(AND(ISNUMBER($L$74),$B$69=1),$L$74,HLOOKUP(INDIRECT(ADDRESS(2,COLUMN())),OFFSET($S$2,0,0,ROW()-1,13),ROW()-1,FALSE))</f>
        <v>2877900</v>
      </c>
      <c r="M5">
        <f ca="1">IF(AND(ISNUMBER($M$74),$B$69=1),$M$74,HLOOKUP(INDIRECT(ADDRESS(2,COLUMN())),OFFSET($S$2,0,0,ROW()-1,13),ROW()-1,FALSE))</f>
        <v>2643900</v>
      </c>
      <c r="N5">
        <f ca="1">IF(AND(ISNUMBER($N$74),$B$69=1),$N$74,HLOOKUP(INDIRECT(ADDRESS(2,COLUMN())),OFFSET($S$2,0,0,ROW()-1,13),ROW()-1,FALSE))</f>
        <v>2917200</v>
      </c>
      <c r="O5">
        <f ca="1">IF(AND(ISNUMBER($O$74),$B$69=1),$O$74,HLOOKUP(INDIRECT(ADDRESS(2,COLUMN())),OFFSET($S$2,0,0,ROW()-1,13),ROW()-1,FALSE))</f>
        <v>3045700</v>
      </c>
      <c r="P5">
        <f ca="1">IF(AND(ISNUMBER($P$74),$B$69=1),$P$74,HLOOKUP(INDIRECT(ADDRESS(2,COLUMN())),OFFSET($S$2,0,0,ROW()-1,13),ROW()-1,FALSE))</f>
        <v>2903500</v>
      </c>
      <c r="Q5">
        <f ca="1">IF(AND(ISNUMBER($Q$74),$B$69=1),$Q$74,HLOOKUP(INDIRECT(ADDRESS(2,COLUMN())),OFFSET($S$2,0,0,ROW()-1,13),ROW()-1,FALSE))</f>
        <v>2579400</v>
      </c>
      <c r="R5">
        <f ca="1">IF(AND(ISNUMBER($R$74),$B$69=1),$R$74,HLOOKUP(INDIRECT(ADDRESS(2,COLUMN())),OFFSET($S$2,0,0,ROW()-1,13),ROW()-1,FALSE))</f>
        <v>2520500</v>
      </c>
      <c r="S5">
        <f>2721800</f>
        <v>2721800</v>
      </c>
      <c r="T5">
        <f>3034900</f>
        <v>3034900</v>
      </c>
      <c r="U5">
        <f>3083600</f>
        <v>3083600</v>
      </c>
      <c r="V5">
        <f>3154800</f>
        <v>3154800</v>
      </c>
      <c r="W5">
        <f>3209600</f>
        <v>3209600</v>
      </c>
      <c r="X5">
        <f>3026200</f>
        <v>3026200</v>
      </c>
      <c r="Y5">
        <f>2877900</f>
        <v>2877900</v>
      </c>
      <c r="Z5">
        <f>2643900</f>
        <v>2643900</v>
      </c>
      <c r="AA5">
        <f>2917200</f>
        <v>2917200</v>
      </c>
      <c r="AB5">
        <f>3045700</f>
        <v>3045700</v>
      </c>
      <c r="AC5">
        <f>2903500</f>
        <v>2903500</v>
      </c>
      <c r="AD5">
        <f>2579400</f>
        <v>2579400</v>
      </c>
      <c r="AE5">
        <f>2520500</f>
        <v>2520500</v>
      </c>
    </row>
    <row r="6" spans="1:31" x14ac:dyDescent="0.25">
      <c r="A6" t="str">
        <f>"    Asia - Australasia &amp; Oceania"</f>
        <v xml:space="preserve">    Asia - Australasia &amp; Oceania</v>
      </c>
      <c r="B6" t="str">
        <f>"CSHVAAUO Index"</f>
        <v>CSHVAAUO Index</v>
      </c>
      <c r="C6" t="str">
        <f t="shared" si="0"/>
        <v>PX385</v>
      </c>
      <c r="D6" t="str">
        <f t="shared" si="1"/>
        <v>INTERVAL_SUM</v>
      </c>
      <c r="E6" t="str">
        <f t="shared" si="2"/>
        <v>Dynamic</v>
      </c>
      <c r="F6">
        <f ca="1">IF(AND(ISNUMBER($F$75),$B$69=1),$F$75,HLOOKUP(INDIRECT(ADDRESS(2,COLUMN())),OFFSET($S$2,0,0,ROW()-1,13),ROW()-1,FALSE))</f>
        <v>1940000</v>
      </c>
      <c r="G6">
        <f ca="1">IF(AND(ISNUMBER($G$75),$B$69=1),$G$75,HLOOKUP(INDIRECT(ADDRESS(2,COLUMN())),OFFSET($S$2,0,0,ROW()-1,13),ROW()-1,FALSE))</f>
        <v>2606700</v>
      </c>
      <c r="H6">
        <f ca="1">IF(AND(ISNUMBER($H$75),$B$69=1),$H$75,HLOOKUP(INDIRECT(ADDRESS(2,COLUMN())),OFFSET($S$2,0,0,ROW()-1,13),ROW()-1,FALSE))</f>
        <v>2799700</v>
      </c>
      <c r="I6">
        <f ca="1">IF(AND(ISNUMBER($I$75),$B$69=1),$I$75,HLOOKUP(INDIRECT(ADDRESS(2,COLUMN())),OFFSET($S$2,0,0,ROW()-1,13),ROW()-1,FALSE))</f>
        <v>2840200</v>
      </c>
      <c r="J6">
        <f ca="1">IF(AND(ISNUMBER($J$75),$B$69=1),$J$75,HLOOKUP(INDIRECT(ADDRESS(2,COLUMN())),OFFSET($S$2,0,0,ROW()-1,13),ROW()-1,FALSE))</f>
        <v>2626700</v>
      </c>
      <c r="K6">
        <f ca="1">IF(AND(ISNUMBER($K$75),$B$69=1),$K$75,HLOOKUP(INDIRECT(ADDRESS(2,COLUMN())),OFFSET($S$2,0,0,ROW()-1,13),ROW()-1,FALSE))</f>
        <v>2786900</v>
      </c>
      <c r="L6">
        <f ca="1">IF(AND(ISNUMBER($L$75),$B$69=1),$L$75,HLOOKUP(INDIRECT(ADDRESS(2,COLUMN())),OFFSET($S$2,0,0,ROW()-1,13),ROW()-1,FALSE))</f>
        <v>2668900</v>
      </c>
      <c r="M6">
        <f ca="1">IF(AND(ISNUMBER($M$75),$B$69=1),$M$75,HLOOKUP(INDIRECT(ADDRESS(2,COLUMN())),OFFSET($S$2,0,0,ROW()-1,13),ROW()-1,FALSE))</f>
        <v>2594200</v>
      </c>
      <c r="N6">
        <f ca="1">IF(AND(ISNUMBER($N$75),$B$69=1),$N$75,HLOOKUP(INDIRECT(ADDRESS(2,COLUMN())),OFFSET($S$2,0,0,ROW()-1,13),ROW()-1,FALSE))</f>
        <v>2421500</v>
      </c>
      <c r="O6">
        <f ca="1">IF(AND(ISNUMBER($O$75),$B$69=1),$O$75,HLOOKUP(INDIRECT(ADDRESS(2,COLUMN())),OFFSET($S$2,0,0,ROW()-1,13),ROW()-1,FALSE))</f>
        <v>2362300</v>
      </c>
      <c r="P6">
        <f ca="1">IF(AND(ISNUMBER($P$75),$B$69=1),$P$75,HLOOKUP(INDIRECT(ADDRESS(2,COLUMN())),OFFSET($S$2,0,0,ROW()-1,13),ROW()-1,FALSE))</f>
        <v>2196900</v>
      </c>
      <c r="Q6">
        <f ca="1">IF(AND(ISNUMBER($Q$75),$B$69=1),$Q$75,HLOOKUP(INDIRECT(ADDRESS(2,COLUMN())),OFFSET($S$2,0,0,ROW()-1,13),ROW()-1,FALSE))</f>
        <v>2121400</v>
      </c>
      <c r="R6">
        <f ca="1">IF(AND(ISNUMBER($R$75),$B$69=1),$R$75,HLOOKUP(INDIRECT(ADDRESS(2,COLUMN())),OFFSET($S$2,0,0,ROW()-1,13),ROW()-1,FALSE))</f>
        <v>2045600</v>
      </c>
      <c r="S6">
        <f>1940000</f>
        <v>1940000</v>
      </c>
      <c r="T6">
        <f>2606700</f>
        <v>2606700</v>
      </c>
      <c r="U6">
        <f>2799700</f>
        <v>2799700</v>
      </c>
      <c r="V6">
        <f>2840200</f>
        <v>2840200</v>
      </c>
      <c r="W6">
        <f>2626700</f>
        <v>2626700</v>
      </c>
      <c r="X6">
        <f>2786900</f>
        <v>2786900</v>
      </c>
      <c r="Y6">
        <f>2668900</f>
        <v>2668900</v>
      </c>
      <c r="Z6">
        <f>2594200</f>
        <v>2594200</v>
      </c>
      <c r="AA6">
        <f>2421500</f>
        <v>2421500</v>
      </c>
      <c r="AB6">
        <f>2362300</f>
        <v>2362300</v>
      </c>
      <c r="AC6">
        <f>2196900</f>
        <v>2196900</v>
      </c>
      <c r="AD6">
        <f>2121400</f>
        <v>2121400</v>
      </c>
      <c r="AE6">
        <f>2045600</f>
        <v>2045600</v>
      </c>
    </row>
    <row r="7" spans="1:31" x14ac:dyDescent="0.25">
      <c r="A7" t="str">
        <f>"    Asia - North America"</f>
        <v xml:space="preserve">    Asia - North America</v>
      </c>
      <c r="B7" t="str">
        <f>"CSHVANAR Index"</f>
        <v>CSHVANAR Index</v>
      </c>
      <c r="C7" t="str">
        <f t="shared" si="0"/>
        <v>PX385</v>
      </c>
      <c r="D7" t="str">
        <f t="shared" si="1"/>
        <v>INTERVAL_SUM</v>
      </c>
      <c r="E7" t="str">
        <f t="shared" si="2"/>
        <v>Dynamic</v>
      </c>
      <c r="F7">
        <f ca="1">IF(AND(ISNUMBER($F$76),$B$69=1),$F$76,HLOOKUP(INDIRECT(ADDRESS(2,COLUMN())),OFFSET($S$2,0,0,ROW()-1,13),ROW()-1,FALSE))</f>
        <v>15537400</v>
      </c>
      <c r="G7">
        <f ca="1">IF(AND(ISNUMBER($G$76),$B$69=1),$G$76,HLOOKUP(INDIRECT(ADDRESS(2,COLUMN())),OFFSET($S$2,0,0,ROW()-1,13),ROW()-1,FALSE))</f>
        <v>22007500</v>
      </c>
      <c r="H7">
        <f ca="1">IF(AND(ISNUMBER($H$76),$B$69=1),$H$76,HLOOKUP(INDIRECT(ADDRESS(2,COLUMN())),OFFSET($S$2,0,0,ROW()-1,13),ROW()-1,FALSE))</f>
        <v>23783300</v>
      </c>
      <c r="I7">
        <f ca="1">IF(AND(ISNUMBER($I$76),$B$69=1),$I$76,HLOOKUP(INDIRECT(ADDRESS(2,COLUMN())),OFFSET($S$2,0,0,ROW()-1,13),ROW()-1,FALSE))</f>
        <v>20161400</v>
      </c>
      <c r="J7">
        <f ca="1">IF(AND(ISNUMBER($J$76),$B$69=1),$J$76,HLOOKUP(INDIRECT(ADDRESS(2,COLUMN())),OFFSET($S$2,0,0,ROW()-1,13),ROW()-1,FALSE))</f>
        <v>18793800</v>
      </c>
      <c r="K7">
        <f ca="1">IF(AND(ISNUMBER($K$76),$B$69=1),$K$76,HLOOKUP(INDIRECT(ADDRESS(2,COLUMN())),OFFSET($S$2,0,0,ROW()-1,13),ROW()-1,FALSE))</f>
        <v>19241400</v>
      </c>
      <c r="L7">
        <f ca="1">IF(AND(ISNUMBER($L$76),$B$69=1),$L$76,HLOOKUP(INDIRECT(ADDRESS(2,COLUMN())),OFFSET($S$2,0,0,ROW()-1,13),ROW()-1,FALSE))</f>
        <v>18045400</v>
      </c>
      <c r="M7">
        <f ca="1">IF(AND(ISNUMBER($M$76),$B$69=1),$M$76,HLOOKUP(INDIRECT(ADDRESS(2,COLUMN())),OFFSET($S$2,0,0,ROW()-1,13),ROW()-1,FALSE))</f>
        <v>17216800</v>
      </c>
      <c r="N7">
        <f ca="1">IF(AND(ISNUMBER($N$76),$B$69=1),$N$76,HLOOKUP(INDIRECT(ADDRESS(2,COLUMN())),OFFSET($S$2,0,0,ROW()-1,13),ROW()-1,FALSE))</f>
        <v>16393100</v>
      </c>
      <c r="O7">
        <f ca="1">IF(AND(ISNUMBER($O$76),$B$69=1),$O$76,HLOOKUP(INDIRECT(ADDRESS(2,COLUMN())),OFFSET($S$2,0,0,ROW()-1,13),ROW()-1,FALSE))</f>
        <v>15492100</v>
      </c>
      <c r="P7">
        <f ca="1">IF(AND(ISNUMBER($P$76),$B$69=1),$P$76,HLOOKUP(INDIRECT(ADDRESS(2,COLUMN())),OFFSET($S$2,0,0,ROW()-1,13),ROW()-1,FALSE))</f>
        <v>14620100</v>
      </c>
      <c r="Q7">
        <f ca="1">IF(AND(ISNUMBER($Q$76),$B$69=1),$Q$76,HLOOKUP(INDIRECT(ADDRESS(2,COLUMN())),OFFSET($S$2,0,0,ROW()-1,13),ROW()-1,FALSE))</f>
        <v>14857600</v>
      </c>
      <c r="R7">
        <f ca="1">IF(AND(ISNUMBER($R$76),$B$69=1),$R$76,HLOOKUP(INDIRECT(ADDRESS(2,COLUMN())),OFFSET($S$2,0,0,ROW()-1,13),ROW()-1,FALSE))</f>
        <v>14259300</v>
      </c>
      <c r="S7">
        <f>15537400</f>
        <v>15537400</v>
      </c>
      <c r="T7">
        <f>22007500</f>
        <v>22007500</v>
      </c>
      <c r="U7">
        <f>23783300</f>
        <v>23783300</v>
      </c>
      <c r="V7">
        <f>20161400</f>
        <v>20161400</v>
      </c>
      <c r="W7">
        <f>18793800</f>
        <v>18793800</v>
      </c>
      <c r="X7">
        <f>19241400</f>
        <v>19241400</v>
      </c>
      <c r="Y7">
        <f>18045400</f>
        <v>18045400</v>
      </c>
      <c r="Z7">
        <f>17216800</f>
        <v>17216800</v>
      </c>
      <c r="AA7">
        <f>16393100</f>
        <v>16393100</v>
      </c>
      <c r="AB7">
        <f>15492100</f>
        <v>15492100</v>
      </c>
      <c r="AC7">
        <f>14620100</f>
        <v>14620100</v>
      </c>
      <c r="AD7">
        <f>14857600</f>
        <v>14857600</v>
      </c>
      <c r="AE7">
        <f>14259300</f>
        <v>14259300</v>
      </c>
    </row>
    <row r="8" spans="1:31" x14ac:dyDescent="0.25">
      <c r="A8" t="str">
        <f>"    Asia - Asia"</f>
        <v xml:space="preserve">    Asia - Asia</v>
      </c>
      <c r="B8" t="str">
        <f>"CSHVAASR Index"</f>
        <v>CSHVAASR Index</v>
      </c>
      <c r="C8" t="str">
        <f t="shared" si="0"/>
        <v>PX385</v>
      </c>
      <c r="D8" t="str">
        <f t="shared" si="1"/>
        <v>INTERVAL_SUM</v>
      </c>
      <c r="E8" t="str">
        <f t="shared" si="2"/>
        <v>Dynamic</v>
      </c>
      <c r="F8">
        <f ca="1">IF(AND(ISNUMBER($F$77),$B$69=1),$F$77,HLOOKUP(INDIRECT(ADDRESS(2,COLUMN())),OFFSET($S$2,0,0,ROW()-1,13),ROW()-1,FALSE))</f>
        <v>33488300</v>
      </c>
      <c r="G8">
        <f ca="1">IF(AND(ISNUMBER($G$77),$B$69=1),$G$77,HLOOKUP(INDIRECT(ADDRESS(2,COLUMN())),OFFSET($S$2,0,0,ROW()-1,13),ROW()-1,FALSE))</f>
        <v>46604100</v>
      </c>
      <c r="H8">
        <f ca="1">IF(AND(ISNUMBER($H$77),$B$69=1),$H$77,HLOOKUP(INDIRECT(ADDRESS(2,COLUMN())),OFFSET($S$2,0,0,ROW()-1,13),ROW()-1,FALSE))</f>
        <v>47146300</v>
      </c>
      <c r="I8">
        <f ca="1">IF(AND(ISNUMBER($I$77),$B$69=1),$I$77,HLOOKUP(INDIRECT(ADDRESS(2,COLUMN())),OFFSET($S$2,0,0,ROW()-1,13),ROW()-1,FALSE))</f>
        <v>43210100</v>
      </c>
      <c r="J8">
        <f ca="1">IF(AND(ISNUMBER($J$77),$B$69=1),$J$77,HLOOKUP(INDIRECT(ADDRESS(2,COLUMN())),OFFSET($S$2,0,0,ROW()-1,13),ROW()-1,FALSE))</f>
        <v>42577400</v>
      </c>
      <c r="K8">
        <f ca="1">IF(AND(ISNUMBER($K$77),$B$69=1),$K$77,HLOOKUP(INDIRECT(ADDRESS(2,COLUMN())),OFFSET($S$2,0,0,ROW()-1,13),ROW()-1,FALSE))</f>
        <v>42403300</v>
      </c>
      <c r="L8">
        <f ca="1">IF(AND(ISNUMBER($L$77),$B$69=1),$L$77,HLOOKUP(INDIRECT(ADDRESS(2,COLUMN())),OFFSET($S$2,0,0,ROW()-1,13),ROW()-1,FALSE))</f>
        <v>40803400</v>
      </c>
      <c r="M8">
        <f ca="1">IF(AND(ISNUMBER($M$77),$B$69=1),$M$77,HLOOKUP(INDIRECT(ADDRESS(2,COLUMN())),OFFSET($S$2,0,0,ROW()-1,13),ROW()-1,FALSE))</f>
        <v>39213600</v>
      </c>
      <c r="N8">
        <f ca="1">IF(AND(ISNUMBER($N$77),$B$69=1),$N$77,HLOOKUP(INDIRECT(ADDRESS(2,COLUMN())),OFFSET($S$2,0,0,ROW()-1,13),ROW()-1,FALSE))</f>
        <v>37436800</v>
      </c>
      <c r="O8">
        <f ca="1">IF(AND(ISNUMBER($O$77),$B$69=1),$O$77,HLOOKUP(INDIRECT(ADDRESS(2,COLUMN())),OFFSET($S$2,0,0,ROW()-1,13),ROW()-1,FALSE))</f>
        <v>36696600</v>
      </c>
      <c r="P8">
        <f ca="1">IF(AND(ISNUMBER($P$77),$B$69=1),$P$77,HLOOKUP(INDIRECT(ADDRESS(2,COLUMN())),OFFSET($S$2,0,0,ROW()-1,13),ROW()-1,FALSE))</f>
        <v>35489300</v>
      </c>
      <c r="Q8">
        <f ca="1">IF(AND(ISNUMBER($Q$77),$B$69=1),$Q$77,HLOOKUP(INDIRECT(ADDRESS(2,COLUMN())),OFFSET($S$2,0,0,ROW()-1,13),ROW()-1,FALSE))</f>
        <v>33525600</v>
      </c>
      <c r="R8">
        <f ca="1">IF(AND(ISNUMBER($R$77),$B$69=1),$R$77,HLOOKUP(INDIRECT(ADDRESS(2,COLUMN())),OFFSET($S$2,0,0,ROW()-1,13),ROW()-1,FALSE))</f>
        <v>31144200</v>
      </c>
      <c r="S8">
        <f>33488300</f>
        <v>33488300</v>
      </c>
      <c r="T8">
        <f>46604100</f>
        <v>46604100</v>
      </c>
      <c r="U8">
        <f>47146300</f>
        <v>47146300</v>
      </c>
      <c r="V8">
        <f>43210100</f>
        <v>43210100</v>
      </c>
      <c r="W8">
        <f>42577400</f>
        <v>42577400</v>
      </c>
      <c r="X8">
        <f>42403300</f>
        <v>42403300</v>
      </c>
      <c r="Y8">
        <f>40803400</f>
        <v>40803400</v>
      </c>
      <c r="Z8">
        <f>39213600</f>
        <v>39213600</v>
      </c>
      <c r="AA8">
        <f>37436800</f>
        <v>37436800</v>
      </c>
      <c r="AB8">
        <f>36696600</f>
        <v>36696600</v>
      </c>
      <c r="AC8">
        <f>35489300</f>
        <v>35489300</v>
      </c>
      <c r="AD8">
        <f>33525600</f>
        <v>33525600</v>
      </c>
      <c r="AE8">
        <f>31144200</f>
        <v>31144200</v>
      </c>
    </row>
    <row r="9" spans="1:31" x14ac:dyDescent="0.25">
      <c r="A9" t="str">
        <f>"    Asia - Europe"</f>
        <v xml:space="preserve">    Asia - Europe</v>
      </c>
      <c r="B9" t="str">
        <f>"CSHVAEUR Index"</f>
        <v>CSHVAEUR Index</v>
      </c>
      <c r="C9" t="str">
        <f t="shared" si="0"/>
        <v>PX385</v>
      </c>
      <c r="D9" t="str">
        <f t="shared" si="1"/>
        <v>INTERVAL_SUM</v>
      </c>
      <c r="E9" t="str">
        <f t="shared" si="2"/>
        <v>Dynamic</v>
      </c>
      <c r="F9">
        <f ca="1">IF(AND(ISNUMBER($F$78),$B$69=1),$F$78,HLOOKUP(INDIRECT(ADDRESS(2,COLUMN())),OFFSET($S$2,0,0,ROW()-1,13),ROW()-1,FALSE))</f>
        <v>12532800</v>
      </c>
      <c r="G9">
        <f ca="1">IF(AND(ISNUMBER($G$78),$B$69=1),$G$78,HLOOKUP(INDIRECT(ADDRESS(2,COLUMN())),OFFSET($S$2,0,0,ROW()-1,13),ROW()-1,FALSE))</f>
        <v>15396800</v>
      </c>
      <c r="H9">
        <f ca="1">IF(AND(ISNUMBER($H$78),$B$69=1),$H$78,HLOOKUP(INDIRECT(ADDRESS(2,COLUMN())),OFFSET($S$2,0,0,ROW()-1,13),ROW()-1,FALSE))</f>
        <v>17069000</v>
      </c>
      <c r="I9">
        <f ca="1">IF(AND(ISNUMBER($I$78),$B$69=1),$I$78,HLOOKUP(INDIRECT(ADDRESS(2,COLUMN())),OFFSET($S$2,0,0,ROW()-1,13),ROW()-1,FALSE))</f>
        <v>15768600</v>
      </c>
      <c r="J9">
        <f ca="1">IF(AND(ISNUMBER($J$78),$B$69=1),$J$78,HLOOKUP(INDIRECT(ADDRESS(2,COLUMN())),OFFSET($S$2,0,0,ROW()-1,13),ROW()-1,FALSE))</f>
        <v>16603300</v>
      </c>
      <c r="K9">
        <f ca="1">IF(AND(ISNUMBER($K$78),$B$69=1),$K$78,HLOOKUP(INDIRECT(ADDRESS(2,COLUMN())),OFFSET($S$2,0,0,ROW()-1,13),ROW()-1,FALSE))</f>
        <v>16186700</v>
      </c>
      <c r="L9">
        <f ca="1">IF(AND(ISNUMBER($L$78),$B$69=1),$L$78,HLOOKUP(INDIRECT(ADDRESS(2,COLUMN())),OFFSET($S$2,0,0,ROW()-1,13),ROW()-1,FALSE))</f>
        <v>15865900</v>
      </c>
      <c r="M9">
        <f ca="1">IF(AND(ISNUMBER($M$78),$B$69=1),$M$78,HLOOKUP(INDIRECT(ADDRESS(2,COLUMN())),OFFSET($S$2,0,0,ROW()-1,13),ROW()-1,FALSE))</f>
        <v>15190200</v>
      </c>
      <c r="N9">
        <f ca="1">IF(AND(ISNUMBER($N$78),$B$69=1),$N$78,HLOOKUP(INDIRECT(ADDRESS(2,COLUMN())),OFFSET($S$2,0,0,ROW()-1,13),ROW()-1,FALSE))</f>
        <v>14902100</v>
      </c>
      <c r="O9">
        <f ca="1">IF(AND(ISNUMBER($O$78),$B$69=1),$O$78,HLOOKUP(INDIRECT(ADDRESS(2,COLUMN())),OFFSET($S$2,0,0,ROW()-1,13),ROW()-1,FALSE))</f>
        <v>15385700</v>
      </c>
      <c r="P9">
        <f ca="1">IF(AND(ISNUMBER($P$78),$B$69=1),$P$78,HLOOKUP(INDIRECT(ADDRESS(2,COLUMN())),OFFSET($S$2,0,0,ROW()-1,13),ROW()-1,FALSE))</f>
        <v>14359800</v>
      </c>
      <c r="Q9">
        <f ca="1">IF(AND(ISNUMBER($Q$78),$B$69=1),$Q$78,HLOOKUP(INDIRECT(ADDRESS(2,COLUMN())),OFFSET($S$2,0,0,ROW()-1,13),ROW()-1,FALSE))</f>
        <v>13640500</v>
      </c>
      <c r="R9">
        <f ca="1">IF(AND(ISNUMBER($R$78),$B$69=1),$R$78,HLOOKUP(INDIRECT(ADDRESS(2,COLUMN())),OFFSET($S$2,0,0,ROW()-1,13),ROW()-1,FALSE))</f>
        <v>14192400</v>
      </c>
      <c r="S9">
        <f>12532800</f>
        <v>12532800</v>
      </c>
      <c r="T9">
        <f>15396800</f>
        <v>15396800</v>
      </c>
      <c r="U9">
        <f>17069000</f>
        <v>17069000</v>
      </c>
      <c r="V9">
        <f>15768600</f>
        <v>15768600</v>
      </c>
      <c r="W9">
        <f>16603300</f>
        <v>16603300</v>
      </c>
      <c r="X9">
        <f>16186700</f>
        <v>16186700</v>
      </c>
      <c r="Y9">
        <f>15865900</f>
        <v>15865900</v>
      </c>
      <c r="Z9">
        <f>15190200</f>
        <v>15190200</v>
      </c>
      <c r="AA9">
        <f>14902100</f>
        <v>14902100</v>
      </c>
      <c r="AB9">
        <f>15385700</f>
        <v>15385700</v>
      </c>
      <c r="AC9">
        <f>14359800</f>
        <v>14359800</v>
      </c>
      <c r="AD9">
        <f>13640500</f>
        <v>13640500</v>
      </c>
      <c r="AE9">
        <f>14192400</f>
        <v>14192400</v>
      </c>
    </row>
    <row r="10" spans="1:31" x14ac:dyDescent="0.25">
      <c r="A10" t="str">
        <f>"    Asia - Indian Sub Cont. &amp; Middle East"</f>
        <v xml:space="preserve">    Asia - Indian Sub Cont. &amp; Middle East</v>
      </c>
      <c r="B10" t="str">
        <f>"CSHVAIME Index"</f>
        <v>CSHVAIME Index</v>
      </c>
      <c r="C10" t="str">
        <f t="shared" si="0"/>
        <v>PX385</v>
      </c>
      <c r="D10" t="str">
        <f t="shared" si="1"/>
        <v>INTERVAL_SUM</v>
      </c>
      <c r="E10" t="str">
        <f t="shared" si="2"/>
        <v>Dynamic</v>
      </c>
      <c r="F10">
        <f ca="1">IF(AND(ISNUMBER($F$79),$B$69=1),$F$79,HLOOKUP(INDIRECT(ADDRESS(2,COLUMN())),OFFSET($S$2,0,0,ROW()-1,13),ROW()-1,FALSE))</f>
        <v>6695400</v>
      </c>
      <c r="G10">
        <f ca="1">IF(AND(ISNUMBER($G$79),$B$69=1),$G$79,HLOOKUP(INDIRECT(ADDRESS(2,COLUMN())),OFFSET($S$2,0,0,ROW()-1,13),ROW()-1,FALSE))</f>
        <v>7679000</v>
      </c>
      <c r="H10">
        <f ca="1">IF(AND(ISNUMBER($H$79),$B$69=1),$H$79,HLOOKUP(INDIRECT(ADDRESS(2,COLUMN())),OFFSET($S$2,0,0,ROW()-1,13),ROW()-1,FALSE))</f>
        <v>7821500</v>
      </c>
      <c r="I10">
        <f ca="1">IF(AND(ISNUMBER($I$79),$B$69=1),$I$79,HLOOKUP(INDIRECT(ADDRESS(2,COLUMN())),OFFSET($S$2,0,0,ROW()-1,13),ROW()-1,FALSE))</f>
        <v>6454500</v>
      </c>
      <c r="J10">
        <f ca="1">IF(AND(ISNUMBER($J$79),$B$69=1),$J$79,HLOOKUP(INDIRECT(ADDRESS(2,COLUMN())),OFFSET($S$2,0,0,ROW()-1,13),ROW()-1,FALSE))</f>
        <v>7046700</v>
      </c>
      <c r="K10">
        <f ca="1">IF(AND(ISNUMBER($K$79),$B$69=1),$K$79,HLOOKUP(INDIRECT(ADDRESS(2,COLUMN())),OFFSET($S$2,0,0,ROW()-1,13),ROW()-1,FALSE))</f>
        <v>7275300</v>
      </c>
      <c r="L10">
        <f ca="1">IF(AND(ISNUMBER($L$79),$B$69=1),$L$79,HLOOKUP(INDIRECT(ADDRESS(2,COLUMN())),OFFSET($S$2,0,0,ROW()-1,13),ROW()-1,FALSE))</f>
        <v>7532000</v>
      </c>
      <c r="M10">
        <f ca="1">IF(AND(ISNUMBER($M$79),$B$69=1),$M$79,HLOOKUP(INDIRECT(ADDRESS(2,COLUMN())),OFFSET($S$2,0,0,ROW()-1,13),ROW()-1,FALSE))</f>
        <v>7225500</v>
      </c>
      <c r="N10">
        <f ca="1">IF(AND(ISNUMBER($N$79),$B$69=1),$N$79,HLOOKUP(INDIRECT(ADDRESS(2,COLUMN())),OFFSET($S$2,0,0,ROW()-1,13),ROW()-1,FALSE))</f>
        <v>6836100</v>
      </c>
      <c r="O10">
        <f ca="1">IF(AND(ISNUMBER($O$79),$B$69=1),$O$79,HLOOKUP(INDIRECT(ADDRESS(2,COLUMN())),OFFSET($S$2,0,0,ROW()-1,13),ROW()-1,FALSE))</f>
        <v>6471900</v>
      </c>
      <c r="P10">
        <f ca="1">IF(AND(ISNUMBER($P$79),$B$69=1),$P$79,HLOOKUP(INDIRECT(ADDRESS(2,COLUMN())),OFFSET($S$2,0,0,ROW()-1,13),ROW()-1,FALSE))</f>
        <v>5927400</v>
      </c>
      <c r="Q10">
        <f ca="1">IF(AND(ISNUMBER($Q$79),$B$69=1),$Q$79,HLOOKUP(INDIRECT(ADDRESS(2,COLUMN())),OFFSET($S$2,0,0,ROW()-1,13),ROW()-1,FALSE))</f>
        <v>5696900</v>
      </c>
      <c r="R10">
        <f ca="1">IF(AND(ISNUMBER($R$79),$B$69=1),$R$79,HLOOKUP(INDIRECT(ADDRESS(2,COLUMN())),OFFSET($S$2,0,0,ROW()-1,13),ROW()-1,FALSE))</f>
        <v>5631200</v>
      </c>
      <c r="S10">
        <f>6695400</f>
        <v>6695400</v>
      </c>
      <c r="T10">
        <f>7679000</f>
        <v>7679000</v>
      </c>
      <c r="U10">
        <f>7821500</f>
        <v>7821500</v>
      </c>
      <c r="V10">
        <f>6454500</f>
        <v>6454500</v>
      </c>
      <c r="W10">
        <f>7046700</f>
        <v>7046700</v>
      </c>
      <c r="X10">
        <f>7275300</f>
        <v>7275300</v>
      </c>
      <c r="Y10">
        <f>7532000</f>
        <v>7532000</v>
      </c>
      <c r="Z10">
        <f>7225500</f>
        <v>7225500</v>
      </c>
      <c r="AA10">
        <f>6836100</f>
        <v>6836100</v>
      </c>
      <c r="AB10">
        <f>6471900</f>
        <v>6471900</v>
      </c>
      <c r="AC10">
        <f>5927400</f>
        <v>5927400</v>
      </c>
      <c r="AD10">
        <f>5696900</f>
        <v>5696900</v>
      </c>
      <c r="AE10">
        <f>5631200</f>
        <v>5631200</v>
      </c>
    </row>
    <row r="11" spans="1:31" x14ac:dyDescent="0.25">
      <c r="A11" t="str">
        <f>"    Australasia &amp; Oceania - South &amp; Central America"</f>
        <v xml:space="preserve">    Australasia &amp; Oceania - South &amp; Central America</v>
      </c>
      <c r="B11" t="str">
        <f>"CSHVOSCA Index"</f>
        <v>CSHVOSCA Index</v>
      </c>
      <c r="C11" t="str">
        <f t="shared" si="0"/>
        <v>PX385</v>
      </c>
      <c r="D11" t="str">
        <f t="shared" si="1"/>
        <v>INTERVAL_SUM</v>
      </c>
      <c r="E11" t="str">
        <f t="shared" si="2"/>
        <v>Dynamic</v>
      </c>
      <c r="F11">
        <f ca="1">IF(AND(ISNUMBER($F$80),$B$69=1),$F$80,HLOOKUP(INDIRECT(ADDRESS(2,COLUMN())),OFFSET($S$2,0,0,ROW()-1,13),ROW()-1,FALSE))</f>
        <v>11200</v>
      </c>
      <c r="G11">
        <f ca="1">IF(AND(ISNUMBER($G$80),$B$69=1),$G$80,HLOOKUP(INDIRECT(ADDRESS(2,COLUMN())),OFFSET($S$2,0,0,ROW()-1,13),ROW()-1,FALSE))</f>
        <v>20700</v>
      </c>
      <c r="H11">
        <f ca="1">IF(AND(ISNUMBER($H$80),$B$69=1),$H$80,HLOOKUP(INDIRECT(ADDRESS(2,COLUMN())),OFFSET($S$2,0,0,ROW()-1,13),ROW()-1,FALSE))</f>
        <v>21600</v>
      </c>
      <c r="I11">
        <f ca="1">IF(AND(ISNUMBER($I$80),$B$69=1),$I$80,HLOOKUP(INDIRECT(ADDRESS(2,COLUMN())),OFFSET($S$2,0,0,ROW()-1,13),ROW()-1,FALSE))</f>
        <v>19100</v>
      </c>
      <c r="J11">
        <f ca="1">IF(AND(ISNUMBER($J$80),$B$69=1),$J$80,HLOOKUP(INDIRECT(ADDRESS(2,COLUMN())),OFFSET($S$2,0,0,ROW()-1,13),ROW()-1,FALSE))</f>
        <v>20700</v>
      </c>
      <c r="K11">
        <f ca="1">IF(AND(ISNUMBER($K$80),$B$69=1),$K$80,HLOOKUP(INDIRECT(ADDRESS(2,COLUMN())),OFFSET($S$2,0,0,ROW()-1,13),ROW()-1,FALSE))</f>
        <v>22600</v>
      </c>
      <c r="L11">
        <f ca="1">IF(AND(ISNUMBER($L$80),$B$69=1),$L$80,HLOOKUP(INDIRECT(ADDRESS(2,COLUMN())),OFFSET($S$2,0,0,ROW()-1,13),ROW()-1,FALSE))</f>
        <v>22200</v>
      </c>
      <c r="M11">
        <f ca="1">IF(AND(ISNUMBER($M$80),$B$69=1),$M$80,HLOOKUP(INDIRECT(ADDRESS(2,COLUMN())),OFFSET($S$2,0,0,ROW()-1,13),ROW()-1,FALSE))</f>
        <v>22300</v>
      </c>
      <c r="N11">
        <f ca="1">IF(AND(ISNUMBER($N$80),$B$69=1),$N$80,HLOOKUP(INDIRECT(ADDRESS(2,COLUMN())),OFFSET($S$2,0,0,ROW()-1,13),ROW()-1,FALSE))</f>
        <v>30200</v>
      </c>
      <c r="O11">
        <f ca="1">IF(AND(ISNUMBER($O$80),$B$69=1),$O$80,HLOOKUP(INDIRECT(ADDRESS(2,COLUMN())),OFFSET($S$2,0,0,ROW()-1,13),ROW()-1,FALSE))</f>
        <v>28100</v>
      </c>
      <c r="P11">
        <f ca="1">IF(AND(ISNUMBER($P$80),$B$69=1),$P$80,HLOOKUP(INDIRECT(ADDRESS(2,COLUMN())),OFFSET($S$2,0,0,ROW()-1,13),ROW()-1,FALSE))</f>
        <v>30000</v>
      </c>
      <c r="Q11">
        <f ca="1">IF(AND(ISNUMBER($Q$80),$B$69=1),$Q$80,HLOOKUP(INDIRECT(ADDRESS(2,COLUMN())),OFFSET($S$2,0,0,ROW()-1,13),ROW()-1,FALSE))</f>
        <v>32900</v>
      </c>
      <c r="R11">
        <f ca="1">IF(AND(ISNUMBER($R$80),$B$69=1),$R$80,HLOOKUP(INDIRECT(ADDRESS(2,COLUMN())),OFFSET($S$2,0,0,ROW()-1,13),ROW()-1,FALSE))</f>
        <v>35400</v>
      </c>
      <c r="S11">
        <f>11200</f>
        <v>11200</v>
      </c>
      <c r="T11">
        <f>20700</f>
        <v>20700</v>
      </c>
      <c r="U11">
        <f>21600</f>
        <v>21600</v>
      </c>
      <c r="V11">
        <f>19100</f>
        <v>19100</v>
      </c>
      <c r="W11">
        <f>20700</f>
        <v>20700</v>
      </c>
      <c r="X11">
        <f>22600</f>
        <v>22600</v>
      </c>
      <c r="Y11">
        <f>22200</f>
        <v>22200</v>
      </c>
      <c r="Z11">
        <f>22300</f>
        <v>22300</v>
      </c>
      <c r="AA11">
        <f>30200</f>
        <v>30200</v>
      </c>
      <c r="AB11">
        <f>28100</f>
        <v>28100</v>
      </c>
      <c r="AC11">
        <f>30000</f>
        <v>30000</v>
      </c>
      <c r="AD11">
        <f>32900</f>
        <v>32900</v>
      </c>
      <c r="AE11">
        <f>35400</f>
        <v>35400</v>
      </c>
    </row>
    <row r="12" spans="1:31" x14ac:dyDescent="0.25">
      <c r="A12" t="str">
        <f>"    Australasia &amp; Oceania - Europe"</f>
        <v xml:space="preserve">    Australasia &amp; Oceania - Europe</v>
      </c>
      <c r="B12" t="str">
        <f>"CSHVOEUR Index"</f>
        <v>CSHVOEUR Index</v>
      </c>
      <c r="C12" t="str">
        <f t="shared" si="0"/>
        <v>PX385</v>
      </c>
      <c r="D12" t="str">
        <f t="shared" si="1"/>
        <v>INTERVAL_SUM</v>
      </c>
      <c r="E12" t="str">
        <f t="shared" si="2"/>
        <v>Dynamic</v>
      </c>
      <c r="F12">
        <f ca="1">IF(AND(ISNUMBER($F$81),$B$69=1),$F$81,HLOOKUP(INDIRECT(ADDRESS(2,COLUMN())),OFFSET($S$2,0,0,ROW()-1,13),ROW()-1,FALSE))</f>
        <v>129900</v>
      </c>
      <c r="G12">
        <f ca="1">IF(AND(ISNUMBER($G$81),$B$69=1),$G$81,HLOOKUP(INDIRECT(ADDRESS(2,COLUMN())),OFFSET($S$2,0,0,ROW()-1,13),ROW()-1,FALSE))</f>
        <v>183800</v>
      </c>
      <c r="H12">
        <f ca="1">IF(AND(ISNUMBER($H$81),$B$69=1),$H$81,HLOOKUP(INDIRECT(ADDRESS(2,COLUMN())),OFFSET($S$2,0,0,ROW()-1,13),ROW()-1,FALSE))</f>
        <v>188100</v>
      </c>
      <c r="I12">
        <f ca="1">IF(AND(ISNUMBER($I$81),$B$69=1),$I$81,HLOOKUP(INDIRECT(ADDRESS(2,COLUMN())),OFFSET($S$2,0,0,ROW()-1,13),ROW()-1,FALSE))</f>
        <v>185400</v>
      </c>
      <c r="J12">
        <f ca="1">IF(AND(ISNUMBER($J$81),$B$69=1),$J$81,HLOOKUP(INDIRECT(ADDRESS(2,COLUMN())),OFFSET($S$2,0,0,ROW()-1,13),ROW()-1,FALSE))</f>
        <v>197600</v>
      </c>
      <c r="K12">
        <f ca="1">IF(AND(ISNUMBER($K$81),$B$69=1),$K$81,HLOOKUP(INDIRECT(ADDRESS(2,COLUMN())),OFFSET($S$2,0,0,ROW()-1,13),ROW()-1,FALSE))</f>
        <v>203700</v>
      </c>
      <c r="L12">
        <f ca="1">IF(AND(ISNUMBER($L$81),$B$69=1),$L$81,HLOOKUP(INDIRECT(ADDRESS(2,COLUMN())),OFFSET($S$2,0,0,ROW()-1,13),ROW()-1,FALSE))</f>
        <v>184000</v>
      </c>
      <c r="M12">
        <f ca="1">IF(AND(ISNUMBER($M$81),$B$69=1),$M$81,HLOOKUP(INDIRECT(ADDRESS(2,COLUMN())),OFFSET($S$2,0,0,ROW()-1,13),ROW()-1,FALSE))</f>
        <v>187300</v>
      </c>
      <c r="N12">
        <f ca="1">IF(AND(ISNUMBER($N$81),$B$69=1),$N$81,HLOOKUP(INDIRECT(ADDRESS(2,COLUMN())),OFFSET($S$2,0,0,ROW()-1,13),ROW()-1,FALSE))</f>
        <v>184700</v>
      </c>
      <c r="O12">
        <f ca="1">IF(AND(ISNUMBER($O$81),$B$69=1),$O$81,HLOOKUP(INDIRECT(ADDRESS(2,COLUMN())),OFFSET($S$2,0,0,ROW()-1,13),ROW()-1,FALSE))</f>
        <v>184000</v>
      </c>
      <c r="P12">
        <f ca="1">IF(AND(ISNUMBER($P$81),$B$69=1),$P$81,HLOOKUP(INDIRECT(ADDRESS(2,COLUMN())),OFFSET($S$2,0,0,ROW()-1,13),ROW()-1,FALSE))</f>
        <v>176000</v>
      </c>
      <c r="Q12">
        <f ca="1">IF(AND(ISNUMBER($Q$81),$B$69=1),$Q$81,HLOOKUP(INDIRECT(ADDRESS(2,COLUMN())),OFFSET($S$2,0,0,ROW()-1,13),ROW()-1,FALSE))</f>
        <v>181200</v>
      </c>
      <c r="R12">
        <f ca="1">IF(AND(ISNUMBER($R$81),$B$69=1),$R$81,HLOOKUP(INDIRECT(ADDRESS(2,COLUMN())),OFFSET($S$2,0,0,ROW()-1,13),ROW()-1,FALSE))</f>
        <v>195100</v>
      </c>
      <c r="S12">
        <f>129900</f>
        <v>129900</v>
      </c>
      <c r="T12">
        <f>183800</f>
        <v>183800</v>
      </c>
      <c r="U12">
        <f>188100</f>
        <v>188100</v>
      </c>
      <c r="V12">
        <f>185400</f>
        <v>185400</v>
      </c>
      <c r="W12">
        <f>197600</f>
        <v>197600</v>
      </c>
      <c r="X12">
        <f>203700</f>
        <v>203700</v>
      </c>
      <c r="Y12">
        <f>184000</f>
        <v>184000</v>
      </c>
      <c r="Z12">
        <f>187300</f>
        <v>187300</v>
      </c>
      <c r="AA12">
        <f>184700</f>
        <v>184700</v>
      </c>
      <c r="AB12">
        <f>184000</f>
        <v>184000</v>
      </c>
      <c r="AC12">
        <f>176000</f>
        <v>176000</v>
      </c>
      <c r="AD12">
        <f>181200</f>
        <v>181200</v>
      </c>
      <c r="AE12">
        <f>195100</f>
        <v>195100</v>
      </c>
    </row>
    <row r="13" spans="1:31" x14ac:dyDescent="0.25">
      <c r="A13" t="str">
        <f>"    Australasia &amp; Oceania - Asia"</f>
        <v xml:space="preserve">    Australasia &amp; Oceania - Asia</v>
      </c>
      <c r="B13" t="str">
        <f>"CSHVOASR Index"</f>
        <v>CSHVOASR Index</v>
      </c>
      <c r="C13" t="str">
        <f t="shared" si="0"/>
        <v>PX385</v>
      </c>
      <c r="D13" t="str">
        <f t="shared" si="1"/>
        <v>INTERVAL_SUM</v>
      </c>
      <c r="E13" t="str">
        <f t="shared" si="2"/>
        <v>Dynamic</v>
      </c>
      <c r="F13">
        <f ca="1">IF(AND(ISNUMBER($F$82),$B$69=1),$F$82,HLOOKUP(INDIRECT(ADDRESS(2,COLUMN())),OFFSET($S$2,0,0,ROW()-1,13),ROW()-1,FALSE))</f>
        <v>1331400</v>
      </c>
      <c r="G13">
        <f ca="1">IF(AND(ISNUMBER($G$82),$B$69=1),$G$82,HLOOKUP(INDIRECT(ADDRESS(2,COLUMN())),OFFSET($S$2,0,0,ROW()-1,13),ROW()-1,FALSE))</f>
        <v>1660800</v>
      </c>
      <c r="H13">
        <f ca="1">IF(AND(ISNUMBER($H$82),$B$69=1),$H$82,HLOOKUP(INDIRECT(ADDRESS(2,COLUMN())),OFFSET($S$2,0,0,ROW()-1,13),ROW()-1,FALSE))</f>
        <v>1616300</v>
      </c>
      <c r="I13">
        <f ca="1">IF(AND(ISNUMBER($I$82),$B$69=1),$I$82,HLOOKUP(INDIRECT(ADDRESS(2,COLUMN())),OFFSET($S$2,0,0,ROW()-1,13),ROW()-1,FALSE))</f>
        <v>1592100</v>
      </c>
      <c r="J13">
        <f ca="1">IF(AND(ISNUMBER($J$82),$B$69=1),$J$82,HLOOKUP(INDIRECT(ADDRESS(2,COLUMN())),OFFSET($S$2,0,0,ROW()-1,13),ROW()-1,FALSE))</f>
        <v>1581300</v>
      </c>
      <c r="K13">
        <f ca="1">IF(AND(ISNUMBER($K$82),$B$69=1),$K$82,HLOOKUP(INDIRECT(ADDRESS(2,COLUMN())),OFFSET($S$2,0,0,ROW()-1,13),ROW()-1,FALSE))</f>
        <v>1650600</v>
      </c>
      <c r="L13">
        <f ca="1">IF(AND(ISNUMBER($L$82),$B$69=1),$L$82,HLOOKUP(INDIRECT(ADDRESS(2,COLUMN())),OFFSET($S$2,0,0,ROW()-1,13),ROW()-1,FALSE))</f>
        <v>1617100</v>
      </c>
      <c r="M13">
        <f ca="1">IF(AND(ISNUMBER($M$82),$B$69=1),$M$82,HLOOKUP(INDIRECT(ADDRESS(2,COLUMN())),OFFSET($S$2,0,0,ROW()-1,13),ROW()-1,FALSE))</f>
        <v>1517000</v>
      </c>
      <c r="N13">
        <f ca="1">IF(AND(ISNUMBER($N$82),$B$69=1),$N$82,HLOOKUP(INDIRECT(ADDRESS(2,COLUMN())),OFFSET($S$2,0,0,ROW()-1,13),ROW()-1,FALSE))</f>
        <v>1413400</v>
      </c>
      <c r="O13">
        <f ca="1">IF(AND(ISNUMBER($O$82),$B$69=1),$O$82,HLOOKUP(INDIRECT(ADDRESS(2,COLUMN())),OFFSET($S$2,0,0,ROW()-1,13),ROW()-1,FALSE))</f>
        <v>1452400</v>
      </c>
      <c r="P13">
        <f ca="1">IF(AND(ISNUMBER($P$82),$B$69=1),$P$82,HLOOKUP(INDIRECT(ADDRESS(2,COLUMN())),OFFSET($S$2,0,0,ROW()-1,13),ROW()-1,FALSE))</f>
        <v>1453800</v>
      </c>
      <c r="Q13">
        <f ca="1">IF(AND(ISNUMBER($Q$82),$B$69=1),$Q$82,HLOOKUP(INDIRECT(ADDRESS(2,COLUMN())),OFFSET($S$2,0,0,ROW()-1,13),ROW()-1,FALSE))</f>
        <v>1374800</v>
      </c>
      <c r="R13">
        <f ca="1">IF(AND(ISNUMBER($R$82),$B$69=1),$R$82,HLOOKUP(INDIRECT(ADDRESS(2,COLUMN())),OFFSET($S$2,0,0,ROW()-1,13),ROW()-1,FALSE))</f>
        <v>1306900</v>
      </c>
      <c r="S13">
        <f>1331400</f>
        <v>1331400</v>
      </c>
      <c r="T13">
        <f>1660800</f>
        <v>1660800</v>
      </c>
      <c r="U13">
        <f>1616300</f>
        <v>1616300</v>
      </c>
      <c r="V13">
        <f>1592100</f>
        <v>1592100</v>
      </c>
      <c r="W13">
        <f>1581300</f>
        <v>1581300</v>
      </c>
      <c r="X13">
        <f>1650600</f>
        <v>1650600</v>
      </c>
      <c r="Y13">
        <f>1617100</f>
        <v>1617100</v>
      </c>
      <c r="Z13">
        <f>1517000</f>
        <v>1517000</v>
      </c>
      <c r="AA13">
        <f>1413400</f>
        <v>1413400</v>
      </c>
      <c r="AB13">
        <f>1452400</f>
        <v>1452400</v>
      </c>
      <c r="AC13">
        <f>1453800</f>
        <v>1453800</v>
      </c>
      <c r="AD13">
        <f>1374800</f>
        <v>1374800</v>
      </c>
      <c r="AE13">
        <f>1306900</f>
        <v>1306900</v>
      </c>
    </row>
    <row r="14" spans="1:31" x14ac:dyDescent="0.25">
      <c r="A14" t="str">
        <f>"    Australasia &amp; Oceania - North America"</f>
        <v xml:space="preserve">    Australasia &amp; Oceania - North America</v>
      </c>
      <c r="B14" t="str">
        <f>"CSHVONAR Index"</f>
        <v>CSHVONAR Index</v>
      </c>
      <c r="C14" t="str">
        <f t="shared" si="0"/>
        <v>PX385</v>
      </c>
      <c r="D14" t="str">
        <f t="shared" si="1"/>
        <v>INTERVAL_SUM</v>
      </c>
      <c r="E14" t="str">
        <f t="shared" si="2"/>
        <v>Dynamic</v>
      </c>
      <c r="F14">
        <f ca="1">IF(AND(ISNUMBER($F$83),$B$69=1),$F$83,HLOOKUP(INDIRECT(ADDRESS(2,COLUMN())),OFFSET($S$2,0,0,ROW()-1,13),ROW()-1,FALSE))</f>
        <v>163700</v>
      </c>
      <c r="G14">
        <f ca="1">IF(AND(ISNUMBER($G$83),$B$69=1),$G$83,HLOOKUP(INDIRECT(ADDRESS(2,COLUMN())),OFFSET($S$2,0,0,ROW()-1,13),ROW()-1,FALSE))</f>
        <v>222400</v>
      </c>
      <c r="H14">
        <f ca="1">IF(AND(ISNUMBER($H$83),$B$69=1),$H$83,HLOOKUP(INDIRECT(ADDRESS(2,COLUMN())),OFFSET($S$2,0,0,ROW()-1,13),ROW()-1,FALSE))</f>
        <v>225600</v>
      </c>
      <c r="I14">
        <f ca="1">IF(AND(ISNUMBER($I$83),$B$69=1),$I$83,HLOOKUP(INDIRECT(ADDRESS(2,COLUMN())),OFFSET($S$2,0,0,ROW()-1,13),ROW()-1,FALSE))</f>
        <v>217200</v>
      </c>
      <c r="J14">
        <f ca="1">IF(AND(ISNUMBER($J$83),$B$69=1),$J$83,HLOOKUP(INDIRECT(ADDRESS(2,COLUMN())),OFFSET($S$2,0,0,ROW()-1,13),ROW()-1,FALSE))</f>
        <v>227600</v>
      </c>
      <c r="K14">
        <f ca="1">IF(AND(ISNUMBER($K$83),$B$69=1),$K$83,HLOOKUP(INDIRECT(ADDRESS(2,COLUMN())),OFFSET($S$2,0,0,ROW()-1,13),ROW()-1,FALSE))</f>
        <v>231900</v>
      </c>
      <c r="L14">
        <f ca="1">IF(AND(ISNUMBER($L$83),$B$69=1),$L$83,HLOOKUP(INDIRECT(ADDRESS(2,COLUMN())),OFFSET($S$2,0,0,ROW()-1,13),ROW()-1,FALSE))</f>
        <v>222300</v>
      </c>
      <c r="M14">
        <f ca="1">IF(AND(ISNUMBER($M$83),$B$69=1),$M$83,HLOOKUP(INDIRECT(ADDRESS(2,COLUMN())),OFFSET($S$2,0,0,ROW()-1,13),ROW()-1,FALSE))</f>
        <v>223100</v>
      </c>
      <c r="N14">
        <f ca="1">IF(AND(ISNUMBER($N$83),$B$69=1),$N$83,HLOOKUP(INDIRECT(ADDRESS(2,COLUMN())),OFFSET($S$2,0,0,ROW()-1,13),ROW()-1,FALSE))</f>
        <v>234400</v>
      </c>
      <c r="O14">
        <f ca="1">IF(AND(ISNUMBER($O$83),$B$69=1),$O$83,HLOOKUP(INDIRECT(ADDRESS(2,COLUMN())),OFFSET($S$2,0,0,ROW()-1,13),ROW()-1,FALSE))</f>
        <v>226100</v>
      </c>
      <c r="P14">
        <f ca="1">IF(AND(ISNUMBER($P$83),$B$69=1),$P$83,HLOOKUP(INDIRECT(ADDRESS(2,COLUMN())),OFFSET($S$2,0,0,ROW()-1,13),ROW()-1,FALSE))</f>
        <v>200300</v>
      </c>
      <c r="Q14">
        <f ca="1">IF(AND(ISNUMBER($Q$83),$B$69=1),$Q$83,HLOOKUP(INDIRECT(ADDRESS(2,COLUMN())),OFFSET($S$2,0,0,ROW()-1,13),ROW()-1,FALSE))</f>
        <v>197500</v>
      </c>
      <c r="R14">
        <f ca="1">IF(AND(ISNUMBER($R$83),$B$69=1),$R$83,HLOOKUP(INDIRECT(ADDRESS(2,COLUMN())),OFFSET($S$2,0,0,ROW()-1,13),ROW()-1,FALSE))</f>
        <v>184200</v>
      </c>
      <c r="S14">
        <f>163700</f>
        <v>163700</v>
      </c>
      <c r="T14">
        <f>222400</f>
        <v>222400</v>
      </c>
      <c r="U14">
        <f>225600</f>
        <v>225600</v>
      </c>
      <c r="V14">
        <f>217200</f>
        <v>217200</v>
      </c>
      <c r="W14">
        <f>227600</f>
        <v>227600</v>
      </c>
      <c r="X14">
        <f>231900</f>
        <v>231900</v>
      </c>
      <c r="Y14">
        <f>222300</f>
        <v>222300</v>
      </c>
      <c r="Z14">
        <f>223100</f>
        <v>223100</v>
      </c>
      <c r="AA14">
        <f>234400</f>
        <v>234400</v>
      </c>
      <c r="AB14">
        <f>226100</f>
        <v>226100</v>
      </c>
      <c r="AC14">
        <f>200300</f>
        <v>200300</v>
      </c>
      <c r="AD14">
        <f>197500</f>
        <v>197500</v>
      </c>
      <c r="AE14">
        <f>184200</f>
        <v>184200</v>
      </c>
    </row>
    <row r="15" spans="1:31" x14ac:dyDescent="0.25">
      <c r="A15" t="str">
        <f>"    Australasia &amp; Oceania - Australasia &amp; Oceania"</f>
        <v xml:space="preserve">    Australasia &amp; Oceania - Australasia &amp; Oceania</v>
      </c>
      <c r="B15" t="str">
        <f>"CSHVOAUO Index"</f>
        <v>CSHVOAUO Index</v>
      </c>
      <c r="C15" t="str">
        <f t="shared" si="0"/>
        <v>PX385</v>
      </c>
      <c r="D15" t="str">
        <f t="shared" si="1"/>
        <v>INTERVAL_SUM</v>
      </c>
      <c r="E15" t="str">
        <f t="shared" si="2"/>
        <v>Dynamic</v>
      </c>
      <c r="F15">
        <f ca="1">IF(AND(ISNUMBER($F$84),$B$69=1),$F$84,HLOOKUP(INDIRECT(ADDRESS(2,COLUMN())),OFFSET($S$2,0,0,ROW()-1,13),ROW()-1,FALSE))</f>
        <v>247500</v>
      </c>
      <c r="G15">
        <f ca="1">IF(AND(ISNUMBER($G$84),$B$69=1),$G$84,HLOOKUP(INDIRECT(ADDRESS(2,COLUMN())),OFFSET($S$2,0,0,ROW()-1,13),ROW()-1,FALSE))</f>
        <v>380900</v>
      </c>
      <c r="H15">
        <f ca="1">IF(AND(ISNUMBER($H$84),$B$69=1),$H$84,HLOOKUP(INDIRECT(ADDRESS(2,COLUMN())),OFFSET($S$2,0,0,ROW()-1,13),ROW()-1,FALSE))</f>
        <v>400400</v>
      </c>
      <c r="I15">
        <f ca="1">IF(AND(ISNUMBER($I$84),$B$69=1),$I$84,HLOOKUP(INDIRECT(ADDRESS(2,COLUMN())),OFFSET($S$2,0,0,ROW()-1,13),ROW()-1,FALSE))</f>
        <v>453300</v>
      </c>
      <c r="J15">
        <f ca="1">IF(AND(ISNUMBER($J$84),$B$69=1),$J$84,HLOOKUP(INDIRECT(ADDRESS(2,COLUMN())),OFFSET($S$2,0,0,ROW()-1,13),ROW()-1,FALSE))</f>
        <v>444900</v>
      </c>
      <c r="K15">
        <f ca="1">IF(AND(ISNUMBER($K$84),$B$69=1),$K$84,HLOOKUP(INDIRECT(ADDRESS(2,COLUMN())),OFFSET($S$2,0,0,ROW()-1,13),ROW()-1,FALSE))</f>
        <v>489600</v>
      </c>
      <c r="L15">
        <f ca="1">IF(AND(ISNUMBER($L$84),$B$69=1),$L$84,HLOOKUP(INDIRECT(ADDRESS(2,COLUMN())),OFFSET($S$2,0,0,ROW()-1,13),ROW()-1,FALSE))</f>
        <v>508300</v>
      </c>
      <c r="M15">
        <f ca="1">IF(AND(ISNUMBER($M$84),$B$69=1),$M$84,HLOOKUP(INDIRECT(ADDRESS(2,COLUMN())),OFFSET($S$2,0,0,ROW()-1,13),ROW()-1,FALSE))</f>
        <v>489100</v>
      </c>
      <c r="N15">
        <f ca="1">IF(AND(ISNUMBER($N$84),$B$69=1),$N$84,HLOOKUP(INDIRECT(ADDRESS(2,COLUMN())),OFFSET($S$2,0,0,ROW()-1,13),ROW()-1,FALSE))</f>
        <v>457600</v>
      </c>
      <c r="O15">
        <f ca="1">IF(AND(ISNUMBER($O$84),$B$69=1),$O$84,HLOOKUP(INDIRECT(ADDRESS(2,COLUMN())),OFFSET($S$2,0,0,ROW()-1,13),ROW()-1,FALSE))</f>
        <v>449800</v>
      </c>
      <c r="P15">
        <f ca="1">IF(AND(ISNUMBER($P$84),$B$69=1),$P$84,HLOOKUP(INDIRECT(ADDRESS(2,COLUMN())),OFFSET($S$2,0,0,ROW()-1,13),ROW()-1,FALSE))</f>
        <v>420800</v>
      </c>
      <c r="Q15">
        <f ca="1">IF(AND(ISNUMBER($Q$84),$B$69=1),$Q$84,HLOOKUP(INDIRECT(ADDRESS(2,COLUMN())),OFFSET($S$2,0,0,ROW()-1,13),ROW()-1,FALSE))</f>
        <v>414900</v>
      </c>
      <c r="R15">
        <f ca="1">IF(AND(ISNUMBER($R$84),$B$69=1),$R$84,HLOOKUP(INDIRECT(ADDRESS(2,COLUMN())),OFFSET($S$2,0,0,ROW()-1,13),ROW()-1,FALSE))</f>
        <v>438400</v>
      </c>
      <c r="S15">
        <f>247500</f>
        <v>247500</v>
      </c>
      <c r="T15">
        <f>380900</f>
        <v>380900</v>
      </c>
      <c r="U15">
        <f>400400</f>
        <v>400400</v>
      </c>
      <c r="V15">
        <f>453300</f>
        <v>453300</v>
      </c>
      <c r="W15">
        <f>444900</f>
        <v>444900</v>
      </c>
      <c r="X15">
        <f>489600</f>
        <v>489600</v>
      </c>
      <c r="Y15">
        <f>508300</f>
        <v>508300</v>
      </c>
      <c r="Z15">
        <f>489100</f>
        <v>489100</v>
      </c>
      <c r="AA15">
        <f>457600</f>
        <v>457600</v>
      </c>
      <c r="AB15">
        <f>449800</f>
        <v>449800</v>
      </c>
      <c r="AC15">
        <f>420800</f>
        <v>420800</v>
      </c>
      <c r="AD15">
        <f>414900</f>
        <v>414900</v>
      </c>
      <c r="AE15">
        <f>438400</f>
        <v>438400</v>
      </c>
    </row>
    <row r="16" spans="1:31" x14ac:dyDescent="0.25">
      <c r="A16" t="str">
        <f>"    Australasia &amp; Oceania - Sub Saharan Africa"</f>
        <v xml:space="preserve">    Australasia &amp; Oceania - Sub Saharan Africa</v>
      </c>
      <c r="B16" t="str">
        <f>"CSHVOSSA Index"</f>
        <v>CSHVOSSA Index</v>
      </c>
      <c r="C16" t="str">
        <f t="shared" si="0"/>
        <v>PX385</v>
      </c>
      <c r="D16" t="str">
        <f t="shared" si="1"/>
        <v>INTERVAL_SUM</v>
      </c>
      <c r="E16" t="str">
        <f t="shared" si="2"/>
        <v>Dynamic</v>
      </c>
      <c r="F16">
        <f ca="1">IF(AND(ISNUMBER($F$85),$B$69=1),$F$85,HLOOKUP(INDIRECT(ADDRESS(2,COLUMN())),OFFSET($S$2,0,0,ROW()-1,13),ROW()-1,FALSE))</f>
        <v>31900</v>
      </c>
      <c r="G16">
        <f ca="1">IF(AND(ISNUMBER($G$85),$B$69=1),$G$85,HLOOKUP(INDIRECT(ADDRESS(2,COLUMN())),OFFSET($S$2,0,0,ROW()-1,13),ROW()-1,FALSE))</f>
        <v>52100</v>
      </c>
      <c r="H16">
        <f ca="1">IF(AND(ISNUMBER($H$85),$B$69=1),$H$85,HLOOKUP(INDIRECT(ADDRESS(2,COLUMN())),OFFSET($S$2,0,0,ROW()-1,13),ROW()-1,FALSE))</f>
        <v>54800</v>
      </c>
      <c r="I16">
        <f ca="1">IF(AND(ISNUMBER($I$85),$B$69=1),$I$85,HLOOKUP(INDIRECT(ADDRESS(2,COLUMN())),OFFSET($S$2,0,0,ROW()-1,13),ROW()-1,FALSE))</f>
        <v>44100</v>
      </c>
      <c r="J16">
        <f ca="1">IF(AND(ISNUMBER($J$85),$B$69=1),$J$85,HLOOKUP(INDIRECT(ADDRESS(2,COLUMN())),OFFSET($S$2,0,0,ROW()-1,13),ROW()-1,FALSE))</f>
        <v>48100</v>
      </c>
      <c r="K16">
        <f ca="1">IF(AND(ISNUMBER($K$85),$B$69=1),$K$85,HLOOKUP(INDIRECT(ADDRESS(2,COLUMN())),OFFSET($S$2,0,0,ROW()-1,13),ROW()-1,FALSE))</f>
        <v>50800</v>
      </c>
      <c r="L16">
        <f ca="1">IF(AND(ISNUMBER($L$85),$B$69=1),$L$85,HLOOKUP(INDIRECT(ADDRESS(2,COLUMN())),OFFSET($S$2,0,0,ROW()-1,13),ROW()-1,FALSE))</f>
        <v>51400</v>
      </c>
      <c r="M16">
        <f ca="1">IF(AND(ISNUMBER($M$85),$B$69=1),$M$85,HLOOKUP(INDIRECT(ADDRESS(2,COLUMN())),OFFSET($S$2,0,0,ROW()-1,13),ROW()-1,FALSE))</f>
        <v>48600</v>
      </c>
      <c r="N16">
        <f ca="1">IF(AND(ISNUMBER($N$85),$B$69=1),$N$85,HLOOKUP(INDIRECT(ADDRESS(2,COLUMN())),OFFSET($S$2,0,0,ROW()-1,13),ROW()-1,FALSE))</f>
        <v>52000</v>
      </c>
      <c r="O16">
        <f ca="1">IF(AND(ISNUMBER($O$85),$B$69=1),$O$85,HLOOKUP(INDIRECT(ADDRESS(2,COLUMN())),OFFSET($S$2,0,0,ROW()-1,13),ROW()-1,FALSE))</f>
        <v>47600</v>
      </c>
      <c r="P16">
        <f ca="1">IF(AND(ISNUMBER($P$85),$B$69=1),$P$85,HLOOKUP(INDIRECT(ADDRESS(2,COLUMN())),OFFSET($S$2,0,0,ROW()-1,13),ROW()-1,FALSE))</f>
        <v>53100</v>
      </c>
      <c r="Q16">
        <f ca="1">IF(AND(ISNUMBER($Q$85),$B$69=1),$Q$85,HLOOKUP(INDIRECT(ADDRESS(2,COLUMN())),OFFSET($S$2,0,0,ROW()-1,13),ROW()-1,FALSE))</f>
        <v>53300</v>
      </c>
      <c r="R16">
        <f ca="1">IF(AND(ISNUMBER($R$85),$B$69=1),$R$85,HLOOKUP(INDIRECT(ADDRESS(2,COLUMN())),OFFSET($S$2,0,0,ROW()-1,13),ROW()-1,FALSE))</f>
        <v>50400</v>
      </c>
      <c r="S16">
        <f>31900</f>
        <v>31900</v>
      </c>
      <c r="T16">
        <f>52100</f>
        <v>52100</v>
      </c>
      <c r="U16">
        <f>54800</f>
        <v>54800</v>
      </c>
      <c r="V16">
        <f>44100</f>
        <v>44100</v>
      </c>
      <c r="W16">
        <f>48100</f>
        <v>48100</v>
      </c>
      <c r="X16">
        <f>50800</f>
        <v>50800</v>
      </c>
      <c r="Y16">
        <f>51400</f>
        <v>51400</v>
      </c>
      <c r="Z16">
        <f>48600</f>
        <v>48600</v>
      </c>
      <c r="AA16">
        <f>52000</f>
        <v>52000</v>
      </c>
      <c r="AB16">
        <f>47600</f>
        <v>47600</v>
      </c>
      <c r="AC16">
        <f>53100</f>
        <v>53100</v>
      </c>
      <c r="AD16">
        <f>53300</f>
        <v>53300</v>
      </c>
      <c r="AE16">
        <f>50400</f>
        <v>50400</v>
      </c>
    </row>
    <row r="17" spans="1:31" x14ac:dyDescent="0.25">
      <c r="A17" t="str">
        <f>"    Australasia &amp; Oceania - Indian Sub Cont. &amp; Middle East"</f>
        <v xml:space="preserve">    Australasia &amp; Oceania - Indian Sub Cont. &amp; Middle East</v>
      </c>
      <c r="B17" t="str">
        <f>"CSHVOIME Index"</f>
        <v>CSHVOIME Index</v>
      </c>
      <c r="C17" t="str">
        <f t="shared" si="0"/>
        <v>PX385</v>
      </c>
      <c r="D17" t="str">
        <f t="shared" si="1"/>
        <v>INTERVAL_SUM</v>
      </c>
      <c r="E17" t="str">
        <f t="shared" si="2"/>
        <v>Dynamic</v>
      </c>
      <c r="F17">
        <f ca="1">IF(AND(ISNUMBER($F$86),$B$69=1),$F$86,HLOOKUP(INDIRECT(ADDRESS(2,COLUMN())),OFFSET($S$2,0,0,ROW()-1,13),ROW()-1,FALSE))</f>
        <v>177800</v>
      </c>
      <c r="G17">
        <f ca="1">IF(AND(ISNUMBER($G$86),$B$69=1),$G$86,HLOOKUP(INDIRECT(ADDRESS(2,COLUMN())),OFFSET($S$2,0,0,ROW()-1,13),ROW()-1,FALSE))</f>
        <v>213800</v>
      </c>
      <c r="H17">
        <f ca="1">IF(AND(ISNUMBER($H$86),$B$69=1),$H$86,HLOOKUP(INDIRECT(ADDRESS(2,COLUMN())),OFFSET($S$2,0,0,ROW()-1,13),ROW()-1,FALSE))</f>
        <v>262700</v>
      </c>
      <c r="I17">
        <f ca="1">IF(AND(ISNUMBER($I$86),$B$69=1),$I$86,HLOOKUP(INDIRECT(ADDRESS(2,COLUMN())),OFFSET($S$2,0,0,ROW()-1,13),ROW()-1,FALSE))</f>
        <v>253700</v>
      </c>
      <c r="J17">
        <f ca="1">IF(AND(ISNUMBER($J$86),$B$69=1),$J$86,HLOOKUP(INDIRECT(ADDRESS(2,COLUMN())),OFFSET($S$2,0,0,ROW()-1,13),ROW()-1,FALSE))</f>
        <v>282500</v>
      </c>
      <c r="K17">
        <f ca="1">IF(AND(ISNUMBER($K$86),$B$69=1),$K$86,HLOOKUP(INDIRECT(ADDRESS(2,COLUMN())),OFFSET($S$2,0,0,ROW()-1,13),ROW()-1,FALSE))</f>
        <v>262900</v>
      </c>
      <c r="L17">
        <f ca="1">IF(AND(ISNUMBER($L$86),$B$69=1),$L$86,HLOOKUP(INDIRECT(ADDRESS(2,COLUMN())),OFFSET($S$2,0,0,ROW()-1,13),ROW()-1,FALSE))</f>
        <v>452200</v>
      </c>
      <c r="M17">
        <f ca="1">IF(AND(ISNUMBER($M$86),$B$69=1),$M$86,HLOOKUP(INDIRECT(ADDRESS(2,COLUMN())),OFFSET($S$2,0,0,ROW()-1,13),ROW()-1,FALSE))</f>
        <v>365100</v>
      </c>
      <c r="N17">
        <f ca="1">IF(AND(ISNUMBER($N$86),$B$69=1),$N$86,HLOOKUP(INDIRECT(ADDRESS(2,COLUMN())),OFFSET($S$2,0,0,ROW()-1,13),ROW()-1,FALSE))</f>
        <v>336000</v>
      </c>
      <c r="O17">
        <f ca="1">IF(AND(ISNUMBER($O$86),$B$69=1),$O$86,HLOOKUP(INDIRECT(ADDRESS(2,COLUMN())),OFFSET($S$2,0,0,ROW()-1,13),ROW()-1,FALSE))</f>
        <v>250500</v>
      </c>
      <c r="P17">
        <f ca="1">IF(AND(ISNUMBER($P$86),$B$69=1),$P$86,HLOOKUP(INDIRECT(ADDRESS(2,COLUMN())),OFFSET($S$2,0,0,ROW()-1,13),ROW()-1,FALSE))</f>
        <v>206500</v>
      </c>
      <c r="Q17">
        <f ca="1">IF(AND(ISNUMBER($Q$86),$B$69=1),$Q$86,HLOOKUP(INDIRECT(ADDRESS(2,COLUMN())),OFFSET($S$2,0,0,ROW()-1,13),ROW()-1,FALSE))</f>
        <v>223900</v>
      </c>
      <c r="R17">
        <f ca="1">IF(AND(ISNUMBER($R$86),$B$69=1),$R$86,HLOOKUP(INDIRECT(ADDRESS(2,COLUMN())),OFFSET($S$2,0,0,ROW()-1,13),ROW()-1,FALSE))</f>
        <v>194700</v>
      </c>
      <c r="S17">
        <f>177800</f>
        <v>177800</v>
      </c>
      <c r="T17">
        <f>213800</f>
        <v>213800</v>
      </c>
      <c r="U17">
        <f>262700</f>
        <v>262700</v>
      </c>
      <c r="V17">
        <f>253700</f>
        <v>253700</v>
      </c>
      <c r="W17">
        <f>282500</f>
        <v>282500</v>
      </c>
      <c r="X17">
        <f>262900</f>
        <v>262900</v>
      </c>
      <c r="Y17">
        <f>452200</f>
        <v>452200</v>
      </c>
      <c r="Z17">
        <f>365100</f>
        <v>365100</v>
      </c>
      <c r="AA17">
        <f>336000</f>
        <v>336000</v>
      </c>
      <c r="AB17">
        <f>250500</f>
        <v>250500</v>
      </c>
      <c r="AC17">
        <f>206500</f>
        <v>206500</v>
      </c>
      <c r="AD17">
        <f>223900</f>
        <v>223900</v>
      </c>
      <c r="AE17">
        <f>194700</f>
        <v>194700</v>
      </c>
    </row>
    <row r="18" spans="1:31" x14ac:dyDescent="0.25">
      <c r="A18" t="str">
        <f>"    Europe - Europe"</f>
        <v xml:space="preserve">    Europe - Europe</v>
      </c>
      <c r="B18" t="str">
        <f>"CSHVEEUR Index"</f>
        <v>CSHVEEUR Index</v>
      </c>
      <c r="C18" t="str">
        <f t="shared" si="0"/>
        <v>PX385</v>
      </c>
      <c r="D18" t="str">
        <f t="shared" si="1"/>
        <v>INTERVAL_SUM</v>
      </c>
      <c r="E18" t="str">
        <f t="shared" si="2"/>
        <v>Dynamic</v>
      </c>
      <c r="F18">
        <f ca="1">IF(AND(ISNUMBER($F$87),$B$69=1),$F$87,HLOOKUP(INDIRECT(ADDRESS(2,COLUMN())),OFFSET($S$2,0,0,ROW()-1,13),ROW()-1,FALSE))</f>
        <v>5716800</v>
      </c>
      <c r="G18">
        <f ca="1">IF(AND(ISNUMBER($G$87),$B$69=1),$G$87,HLOOKUP(INDIRECT(ADDRESS(2,COLUMN())),OFFSET($S$2,0,0,ROW()-1,13),ROW()-1,FALSE))</f>
        <v>8178400</v>
      </c>
      <c r="H18">
        <f ca="1">IF(AND(ISNUMBER($H$87),$B$69=1),$H$87,HLOOKUP(INDIRECT(ADDRESS(2,COLUMN())),OFFSET($S$2,0,0,ROW()-1,13),ROW()-1,FALSE))</f>
        <v>8933400</v>
      </c>
      <c r="I18">
        <f ca="1">IF(AND(ISNUMBER($I$87),$B$69=1),$I$87,HLOOKUP(INDIRECT(ADDRESS(2,COLUMN())),OFFSET($S$2,0,0,ROW()-1,13),ROW()-1,FALSE))</f>
        <v>8201800</v>
      </c>
      <c r="J18">
        <f ca="1">IF(AND(ISNUMBER($J$87),$B$69=1),$J$87,HLOOKUP(INDIRECT(ADDRESS(2,COLUMN())),OFFSET($S$2,0,0,ROW()-1,13),ROW()-1,FALSE))</f>
        <v>8222700</v>
      </c>
      <c r="K18">
        <f ca="1">IF(AND(ISNUMBER($K$87),$B$69=1),$K$87,HLOOKUP(INDIRECT(ADDRESS(2,COLUMN())),OFFSET($S$2,0,0,ROW()-1,13),ROW()-1,FALSE))</f>
        <v>7732100</v>
      </c>
      <c r="L18">
        <f ca="1">IF(AND(ISNUMBER($L$87),$B$69=1),$L$87,HLOOKUP(INDIRECT(ADDRESS(2,COLUMN())),OFFSET($S$2,0,0,ROW()-1,13),ROW()-1,FALSE))</f>
        <v>7255800</v>
      </c>
      <c r="M18">
        <f ca="1">IF(AND(ISNUMBER($M$87),$B$69=1),$M$87,HLOOKUP(INDIRECT(ADDRESS(2,COLUMN())),OFFSET($S$2,0,0,ROW()-1,13),ROW()-1,FALSE))</f>
        <v>7034900</v>
      </c>
      <c r="N18">
        <f ca="1">IF(AND(ISNUMBER($N$87),$B$69=1),$N$87,HLOOKUP(INDIRECT(ADDRESS(2,COLUMN())),OFFSET($S$2,0,0,ROW()-1,13),ROW()-1,FALSE))</f>
        <v>6764300</v>
      </c>
      <c r="O18">
        <f ca="1">IF(AND(ISNUMBER($O$87),$B$69=1),$O$87,HLOOKUP(INDIRECT(ADDRESS(2,COLUMN())),OFFSET($S$2,0,0,ROW()-1,13),ROW()-1,FALSE))</f>
        <v>6709800</v>
      </c>
      <c r="P18">
        <f ca="1">IF(AND(ISNUMBER($P$87),$B$69=1),$P$87,HLOOKUP(INDIRECT(ADDRESS(2,COLUMN())),OFFSET($S$2,0,0,ROW()-1,13),ROW()-1,FALSE))</f>
        <v>6263900</v>
      </c>
      <c r="Q18">
        <f ca="1">IF(AND(ISNUMBER($Q$87),$B$69=1),$Q$87,HLOOKUP(INDIRECT(ADDRESS(2,COLUMN())),OFFSET($S$2,0,0,ROW()-1,13),ROW()-1,FALSE))</f>
        <v>6010300</v>
      </c>
      <c r="R18">
        <f ca="1">IF(AND(ISNUMBER($R$87),$B$69=1),$R$87,HLOOKUP(INDIRECT(ADDRESS(2,COLUMN())),OFFSET($S$2,0,0,ROW()-1,13),ROW()-1,FALSE))</f>
        <v>5959700</v>
      </c>
      <c r="S18">
        <f>5716800</f>
        <v>5716800</v>
      </c>
      <c r="T18">
        <f>8178400</f>
        <v>8178400</v>
      </c>
      <c r="U18">
        <f>8933400</f>
        <v>8933400</v>
      </c>
      <c r="V18">
        <f>8201800</f>
        <v>8201800</v>
      </c>
      <c r="W18">
        <f>8222700</f>
        <v>8222700</v>
      </c>
      <c r="X18">
        <f>7732100</f>
        <v>7732100</v>
      </c>
      <c r="Y18">
        <f>7255800</f>
        <v>7255800</v>
      </c>
      <c r="Z18">
        <f>7034900</f>
        <v>7034900</v>
      </c>
      <c r="AA18">
        <f>6764300</f>
        <v>6764300</v>
      </c>
      <c r="AB18">
        <f>6709800</f>
        <v>6709800</v>
      </c>
      <c r="AC18">
        <f>6263900</f>
        <v>6263900</v>
      </c>
      <c r="AD18">
        <f>6010300</f>
        <v>6010300</v>
      </c>
      <c r="AE18">
        <f>5959700</f>
        <v>5959700</v>
      </c>
    </row>
    <row r="19" spans="1:31" x14ac:dyDescent="0.25">
      <c r="A19" t="str">
        <f>"    Europe - Asia"</f>
        <v xml:space="preserve">    Europe - Asia</v>
      </c>
      <c r="B19" t="str">
        <f>"CSHVEASR Index"</f>
        <v>CSHVEASR Index</v>
      </c>
      <c r="C19" t="str">
        <f t="shared" si="0"/>
        <v>PX385</v>
      </c>
      <c r="D19" t="str">
        <f t="shared" si="1"/>
        <v>INTERVAL_SUM</v>
      </c>
      <c r="E19" t="str">
        <f t="shared" si="2"/>
        <v>Dynamic</v>
      </c>
      <c r="F19">
        <f ca="1">IF(AND(ISNUMBER($F$88),$B$69=1),$F$88,HLOOKUP(INDIRECT(ADDRESS(2,COLUMN())),OFFSET($S$2,0,0,ROW()-1,13),ROW()-1,FALSE))</f>
        <v>4749500</v>
      </c>
      <c r="G19">
        <f ca="1">IF(AND(ISNUMBER($G$88),$B$69=1),$G$88,HLOOKUP(INDIRECT(ADDRESS(2,COLUMN())),OFFSET($S$2,0,0,ROW()-1,13),ROW()-1,FALSE))</f>
        <v>6730800</v>
      </c>
      <c r="H19">
        <f ca="1">IF(AND(ISNUMBER($H$88),$B$69=1),$H$88,HLOOKUP(INDIRECT(ADDRESS(2,COLUMN())),OFFSET($S$2,0,0,ROW()-1,13),ROW()-1,FALSE))</f>
        <v>7750800</v>
      </c>
      <c r="I19">
        <f ca="1">IF(AND(ISNUMBER($I$88),$B$69=1),$I$88,HLOOKUP(INDIRECT(ADDRESS(2,COLUMN())),OFFSET($S$2,0,0,ROW()-1,13),ROW()-1,FALSE))</f>
        <v>8209400</v>
      </c>
      <c r="J19">
        <f ca="1">IF(AND(ISNUMBER($J$88),$B$69=1),$J$88,HLOOKUP(INDIRECT(ADDRESS(2,COLUMN())),OFFSET($S$2,0,0,ROW()-1,13),ROW()-1,FALSE))</f>
        <v>8134100</v>
      </c>
      <c r="K19">
        <f ca="1">IF(AND(ISNUMBER($K$88),$B$69=1),$K$88,HLOOKUP(INDIRECT(ADDRESS(2,COLUMN())),OFFSET($S$2,0,0,ROW()-1,13),ROW()-1,FALSE))</f>
        <v>7649500</v>
      </c>
      <c r="L19">
        <f ca="1">IF(AND(ISNUMBER($L$88),$B$69=1),$L$88,HLOOKUP(INDIRECT(ADDRESS(2,COLUMN())),OFFSET($S$2,0,0,ROW()-1,13),ROW()-1,FALSE))</f>
        <v>7892400</v>
      </c>
      <c r="M19">
        <f ca="1">IF(AND(ISNUMBER($M$88),$B$69=1),$M$88,HLOOKUP(INDIRECT(ADDRESS(2,COLUMN())),OFFSET($S$2,0,0,ROW()-1,13),ROW()-1,FALSE))</f>
        <v>7460800</v>
      </c>
      <c r="N19">
        <f ca="1">IF(AND(ISNUMBER($N$88),$B$69=1),$N$88,HLOOKUP(INDIRECT(ADDRESS(2,COLUMN())),OFFSET($S$2,0,0,ROW()-1,13),ROW()-1,FALSE))</f>
        <v>6930000</v>
      </c>
      <c r="O19">
        <f ca="1">IF(AND(ISNUMBER($O$88),$B$69=1),$O$88,HLOOKUP(INDIRECT(ADDRESS(2,COLUMN())),OFFSET($S$2,0,0,ROW()-1,13),ROW()-1,FALSE))</f>
        <v>6853700</v>
      </c>
      <c r="P19">
        <f ca="1">IF(AND(ISNUMBER($P$88),$B$69=1),$P$88,HLOOKUP(INDIRECT(ADDRESS(2,COLUMN())),OFFSET($S$2,0,0,ROW()-1,13),ROW()-1,FALSE))</f>
        <v>6861100</v>
      </c>
      <c r="Q19">
        <f ca="1">IF(AND(ISNUMBER($Q$88),$B$69=1),$Q$88,HLOOKUP(INDIRECT(ADDRESS(2,COLUMN())),OFFSET($S$2,0,0,ROW()-1,13),ROW()-1,FALSE))</f>
        <v>6508100</v>
      </c>
      <c r="R19">
        <f ca="1">IF(AND(ISNUMBER($R$88),$B$69=1),$R$88,HLOOKUP(INDIRECT(ADDRESS(2,COLUMN())),OFFSET($S$2,0,0,ROW()-1,13),ROW()-1,FALSE))</f>
        <v>6230500</v>
      </c>
      <c r="S19">
        <f>4749500</f>
        <v>4749500</v>
      </c>
      <c r="T19">
        <f>6730800</f>
        <v>6730800</v>
      </c>
      <c r="U19">
        <f>7750800</f>
        <v>7750800</v>
      </c>
      <c r="V19">
        <f>8209400</f>
        <v>8209400</v>
      </c>
      <c r="W19">
        <f>8134100</f>
        <v>8134100</v>
      </c>
      <c r="X19">
        <f>7649500</f>
        <v>7649500</v>
      </c>
      <c r="Y19">
        <f>7892400</f>
        <v>7892400</v>
      </c>
      <c r="Z19">
        <f>7460800</f>
        <v>7460800</v>
      </c>
      <c r="AA19">
        <f>6930000</f>
        <v>6930000</v>
      </c>
      <c r="AB19">
        <f>6853700</f>
        <v>6853700</v>
      </c>
      <c r="AC19">
        <f>6861100</f>
        <v>6861100</v>
      </c>
      <c r="AD19">
        <f>6508100</f>
        <v>6508100</v>
      </c>
      <c r="AE19">
        <f>6230500</f>
        <v>6230500</v>
      </c>
    </row>
    <row r="20" spans="1:31" x14ac:dyDescent="0.25">
      <c r="A20" t="str">
        <f>"    Europe - North America"</f>
        <v xml:space="preserve">    Europe - North America</v>
      </c>
      <c r="B20" t="str">
        <f>"CSHVENAR Index"</f>
        <v>CSHVENAR Index</v>
      </c>
      <c r="C20" t="str">
        <f t="shared" si="0"/>
        <v>PX385</v>
      </c>
      <c r="D20" t="str">
        <f t="shared" si="1"/>
        <v>INTERVAL_SUM</v>
      </c>
      <c r="E20" t="str">
        <f t="shared" si="2"/>
        <v>Dynamic</v>
      </c>
      <c r="F20">
        <f ca="1">IF(AND(ISNUMBER($F$89),$B$69=1),$F$89,HLOOKUP(INDIRECT(ADDRESS(2,COLUMN())),OFFSET($S$2,0,0,ROW()-1,13),ROW()-1,FALSE))</f>
        <v>3665100</v>
      </c>
      <c r="G20">
        <f ca="1">IF(AND(ISNUMBER($G$89),$B$69=1),$G$89,HLOOKUP(INDIRECT(ADDRESS(2,COLUMN())),OFFSET($S$2,0,0,ROW()-1,13),ROW()-1,FALSE))</f>
        <v>5520200</v>
      </c>
      <c r="H20">
        <f ca="1">IF(AND(ISNUMBER($H$89),$B$69=1),$H$89,HLOOKUP(INDIRECT(ADDRESS(2,COLUMN())),OFFSET($S$2,0,0,ROW()-1,13),ROW()-1,FALSE))</f>
        <v>5627800</v>
      </c>
      <c r="I20">
        <f ca="1">IF(AND(ISNUMBER($I$89),$B$69=1),$I$89,HLOOKUP(INDIRECT(ADDRESS(2,COLUMN())),OFFSET($S$2,0,0,ROW()-1,13),ROW()-1,FALSE))</f>
        <v>5010800</v>
      </c>
      <c r="J20">
        <f ca="1">IF(AND(ISNUMBER($J$89),$B$69=1),$J$89,HLOOKUP(INDIRECT(ADDRESS(2,COLUMN())),OFFSET($S$2,0,0,ROW()-1,13),ROW()-1,FALSE))</f>
        <v>5102000</v>
      </c>
      <c r="K20">
        <f ca="1">IF(AND(ISNUMBER($K$89),$B$69=1),$K$89,HLOOKUP(INDIRECT(ADDRESS(2,COLUMN())),OFFSET($S$2,0,0,ROW()-1,13),ROW()-1,FALSE))</f>
        <v>4978300</v>
      </c>
      <c r="L20">
        <f ca="1">IF(AND(ISNUMBER($L$89),$B$69=1),$L$89,HLOOKUP(INDIRECT(ADDRESS(2,COLUMN())),OFFSET($S$2,0,0,ROW()-1,13),ROW()-1,FALSE))</f>
        <v>4683700</v>
      </c>
      <c r="M20">
        <f ca="1">IF(AND(ISNUMBER($M$89),$B$69=1),$M$89,HLOOKUP(INDIRECT(ADDRESS(2,COLUMN())),OFFSET($S$2,0,0,ROW()-1,13),ROW()-1,FALSE))</f>
        <v>4326100</v>
      </c>
      <c r="N20">
        <f ca="1">IF(AND(ISNUMBER($N$89),$B$69=1),$N$89,HLOOKUP(INDIRECT(ADDRESS(2,COLUMN())),OFFSET($S$2,0,0,ROW()-1,13),ROW()-1,FALSE))</f>
        <v>4178800</v>
      </c>
      <c r="O20">
        <f ca="1">IF(AND(ISNUMBER($O$89),$B$69=1),$O$89,HLOOKUP(INDIRECT(ADDRESS(2,COLUMN())),OFFSET($S$2,0,0,ROW()-1,13),ROW()-1,FALSE))</f>
        <v>3917300</v>
      </c>
      <c r="P20">
        <f ca="1">IF(AND(ISNUMBER($P$89),$B$69=1),$P$89,HLOOKUP(INDIRECT(ADDRESS(2,COLUMN())),OFFSET($S$2,0,0,ROW()-1,13),ROW()-1,FALSE))</f>
        <v>3586100</v>
      </c>
      <c r="Q20">
        <f ca="1">IF(AND(ISNUMBER($Q$89),$B$69=1),$Q$89,HLOOKUP(INDIRECT(ADDRESS(2,COLUMN())),OFFSET($S$2,0,0,ROW()-1,13),ROW()-1,FALSE))</f>
        <v>3469100</v>
      </c>
      <c r="R20">
        <f ca="1">IF(AND(ISNUMBER($R$89),$B$69=1),$R$89,HLOOKUP(INDIRECT(ADDRESS(2,COLUMN())),OFFSET($S$2,0,0,ROW()-1,13),ROW()-1,FALSE))</f>
        <v>3286000</v>
      </c>
      <c r="S20">
        <f>3665100</f>
        <v>3665100</v>
      </c>
      <c r="T20">
        <f>5520200</f>
        <v>5520200</v>
      </c>
      <c r="U20">
        <f>5627800</f>
        <v>5627800</v>
      </c>
      <c r="V20">
        <f>5010800</f>
        <v>5010800</v>
      </c>
      <c r="W20">
        <f>5102000</f>
        <v>5102000</v>
      </c>
      <c r="X20">
        <f>4978300</f>
        <v>4978300</v>
      </c>
      <c r="Y20">
        <f>4683700</f>
        <v>4683700</v>
      </c>
      <c r="Z20">
        <f>4326100</f>
        <v>4326100</v>
      </c>
      <c r="AA20">
        <f>4178800</f>
        <v>4178800</v>
      </c>
      <c r="AB20">
        <f>3917300</f>
        <v>3917300</v>
      </c>
      <c r="AC20">
        <f>3586100</f>
        <v>3586100</v>
      </c>
      <c r="AD20">
        <f>3469100</f>
        <v>3469100</v>
      </c>
      <c r="AE20">
        <f>3286000</f>
        <v>3286000</v>
      </c>
    </row>
    <row r="21" spans="1:31" x14ac:dyDescent="0.25">
      <c r="A21" t="str">
        <f>"    Europe - Australasia &amp; Oceania"</f>
        <v xml:space="preserve">    Europe - Australasia &amp; Oceania</v>
      </c>
      <c r="B21" t="str">
        <f>"CSHVEAUO Index"</f>
        <v>CSHVEAUO Index</v>
      </c>
      <c r="C21" t="str">
        <f t="shared" si="0"/>
        <v>PX385</v>
      </c>
      <c r="D21" t="str">
        <f t="shared" si="1"/>
        <v>INTERVAL_SUM</v>
      </c>
      <c r="E21" t="str">
        <f t="shared" si="2"/>
        <v>Dynamic</v>
      </c>
      <c r="F21">
        <f ca="1">IF(AND(ISNUMBER($F$90),$B$69=1),$F$90,HLOOKUP(INDIRECT(ADDRESS(2,COLUMN())),OFFSET($S$2,0,0,ROW()-1,13),ROW()-1,FALSE))</f>
        <v>456500</v>
      </c>
      <c r="G21">
        <f ca="1">IF(AND(ISNUMBER($G$90),$B$69=1),$G$90,HLOOKUP(INDIRECT(ADDRESS(2,COLUMN())),OFFSET($S$2,0,0,ROW()-1,13),ROW()-1,FALSE))</f>
        <v>711300</v>
      </c>
      <c r="H21">
        <f ca="1">IF(AND(ISNUMBER($H$90),$B$69=1),$H$90,HLOOKUP(INDIRECT(ADDRESS(2,COLUMN())),OFFSET($S$2,0,0,ROW()-1,13),ROW()-1,FALSE))</f>
        <v>754100</v>
      </c>
      <c r="I21">
        <f ca="1">IF(AND(ISNUMBER($I$90),$B$69=1),$I$90,HLOOKUP(INDIRECT(ADDRESS(2,COLUMN())),OFFSET($S$2,0,0,ROW()-1,13),ROW()-1,FALSE))</f>
        <v>699300</v>
      </c>
      <c r="J21">
        <f ca="1">IF(AND(ISNUMBER($J$90),$B$69=1),$J$90,HLOOKUP(INDIRECT(ADDRESS(2,COLUMN())),OFFSET($S$2,0,0,ROW()-1,13),ROW()-1,FALSE))</f>
        <v>723100</v>
      </c>
      <c r="K21">
        <f ca="1">IF(AND(ISNUMBER($K$90),$B$69=1),$K$90,HLOOKUP(INDIRECT(ADDRESS(2,COLUMN())),OFFSET($S$2,0,0,ROW()-1,13),ROW()-1,FALSE))</f>
        <v>756600</v>
      </c>
      <c r="L21">
        <f ca="1">IF(AND(ISNUMBER($L$90),$B$69=1),$L$90,HLOOKUP(INDIRECT(ADDRESS(2,COLUMN())),OFFSET($S$2,0,0,ROW()-1,13),ROW()-1,FALSE))</f>
        <v>690800</v>
      </c>
      <c r="M21">
        <f ca="1">IF(AND(ISNUMBER($M$90),$B$69=1),$M$90,HLOOKUP(INDIRECT(ADDRESS(2,COLUMN())),OFFSET($S$2,0,0,ROW()-1,13),ROW()-1,FALSE))</f>
        <v>603100</v>
      </c>
      <c r="N21">
        <f ca="1">IF(AND(ISNUMBER($N$90),$B$69=1),$N$90,HLOOKUP(INDIRECT(ADDRESS(2,COLUMN())),OFFSET($S$2,0,0,ROW()-1,13),ROW()-1,FALSE))</f>
        <v>558200</v>
      </c>
      <c r="O21">
        <f ca="1">IF(AND(ISNUMBER($O$90),$B$69=1),$O$90,HLOOKUP(INDIRECT(ADDRESS(2,COLUMN())),OFFSET($S$2,0,0,ROW()-1,13),ROW()-1,FALSE))</f>
        <v>545800</v>
      </c>
      <c r="P21">
        <f ca="1">IF(AND(ISNUMBER($P$90),$B$69=1),$P$90,HLOOKUP(INDIRECT(ADDRESS(2,COLUMN())),OFFSET($S$2,0,0,ROW()-1,13),ROW()-1,FALSE))</f>
        <v>530800</v>
      </c>
      <c r="Q21">
        <f ca="1">IF(AND(ISNUMBER($Q$90),$B$69=1),$Q$90,HLOOKUP(INDIRECT(ADDRESS(2,COLUMN())),OFFSET($S$2,0,0,ROW()-1,13),ROW()-1,FALSE))</f>
        <v>504300</v>
      </c>
      <c r="R21">
        <f ca="1">IF(AND(ISNUMBER($R$90),$B$69=1),$R$90,HLOOKUP(INDIRECT(ADDRESS(2,COLUMN())),OFFSET($S$2,0,0,ROW()-1,13),ROW()-1,FALSE))</f>
        <v>480400</v>
      </c>
      <c r="S21">
        <f>456500</f>
        <v>456500</v>
      </c>
      <c r="T21">
        <f>711300</f>
        <v>711300</v>
      </c>
      <c r="U21">
        <f>754100</f>
        <v>754100</v>
      </c>
      <c r="V21">
        <f>699300</f>
        <v>699300</v>
      </c>
      <c r="W21">
        <f>723100</f>
        <v>723100</v>
      </c>
      <c r="X21">
        <f>756600</f>
        <v>756600</v>
      </c>
      <c r="Y21">
        <f>690800</f>
        <v>690800</v>
      </c>
      <c r="Z21">
        <f>603100</f>
        <v>603100</v>
      </c>
      <c r="AA21">
        <f>558200</f>
        <v>558200</v>
      </c>
      <c r="AB21">
        <f>545800</f>
        <v>545800</v>
      </c>
      <c r="AC21">
        <f>530800</f>
        <v>530800</v>
      </c>
      <c r="AD21">
        <f>504300</f>
        <v>504300</v>
      </c>
      <c r="AE21">
        <f>480400</f>
        <v>480400</v>
      </c>
    </row>
    <row r="22" spans="1:31" x14ac:dyDescent="0.25">
      <c r="A22" t="str">
        <f>"    Europe - Sub Saharan Africa"</f>
        <v xml:space="preserve">    Europe - Sub Saharan Africa</v>
      </c>
      <c r="B22" t="str">
        <f>"CSHVESSA Index"</f>
        <v>CSHVESSA Index</v>
      </c>
      <c r="C22" t="str">
        <f t="shared" si="0"/>
        <v>PX385</v>
      </c>
      <c r="D22" t="str">
        <f t="shared" si="1"/>
        <v>INTERVAL_SUM</v>
      </c>
      <c r="E22" t="str">
        <f t="shared" si="2"/>
        <v>Dynamic</v>
      </c>
      <c r="F22">
        <f ca="1">IF(AND(ISNUMBER($F$91),$B$69=1),$F$91,HLOOKUP(INDIRECT(ADDRESS(2,COLUMN())),OFFSET($S$2,0,0,ROW()-1,13),ROW()-1,FALSE))</f>
        <v>1553500</v>
      </c>
      <c r="G22">
        <f ca="1">IF(AND(ISNUMBER($G$91),$B$69=1),$G$91,HLOOKUP(INDIRECT(ADDRESS(2,COLUMN())),OFFSET($S$2,0,0,ROW()-1,13),ROW()-1,FALSE))</f>
        <v>2208300</v>
      </c>
      <c r="H22">
        <f ca="1">IF(AND(ISNUMBER($H$91),$B$69=1),$H$91,HLOOKUP(INDIRECT(ADDRESS(2,COLUMN())),OFFSET($S$2,0,0,ROW()-1,13),ROW()-1,FALSE))</f>
        <v>2216400</v>
      </c>
      <c r="I22">
        <f ca="1">IF(AND(ISNUMBER($I$91),$B$69=1),$I$91,HLOOKUP(INDIRECT(ADDRESS(2,COLUMN())),OFFSET($S$2,0,0,ROW()-1,13),ROW()-1,FALSE))</f>
        <v>2058100</v>
      </c>
      <c r="J22">
        <f ca="1">IF(AND(ISNUMBER($J$91),$B$69=1),$J$91,HLOOKUP(INDIRECT(ADDRESS(2,COLUMN())),OFFSET($S$2,0,0,ROW()-1,13),ROW()-1,FALSE))</f>
        <v>2173700</v>
      </c>
      <c r="K22">
        <f ca="1">IF(AND(ISNUMBER($K$91),$B$69=1),$K$91,HLOOKUP(INDIRECT(ADDRESS(2,COLUMN())),OFFSET($S$2,0,0,ROW()-1,13),ROW()-1,FALSE))</f>
        <v>2100900</v>
      </c>
      <c r="L22">
        <f ca="1">IF(AND(ISNUMBER($L$91),$B$69=1),$L$91,HLOOKUP(INDIRECT(ADDRESS(2,COLUMN())),OFFSET($S$2,0,0,ROW()-1,13),ROW()-1,FALSE))</f>
        <v>2016400</v>
      </c>
      <c r="M22">
        <f ca="1">IF(AND(ISNUMBER($M$91),$B$69=1),$M$91,HLOOKUP(INDIRECT(ADDRESS(2,COLUMN())),OFFSET($S$2,0,0,ROW()-1,13),ROW()-1,FALSE))</f>
        <v>1895400</v>
      </c>
      <c r="N22">
        <f ca="1">IF(AND(ISNUMBER($N$91),$B$69=1),$N$91,HLOOKUP(INDIRECT(ADDRESS(2,COLUMN())),OFFSET($S$2,0,0,ROW()-1,13),ROW()-1,FALSE))</f>
        <v>2062500</v>
      </c>
      <c r="O22">
        <f ca="1">IF(AND(ISNUMBER($O$91),$B$69=1),$O$91,HLOOKUP(INDIRECT(ADDRESS(2,COLUMN())),OFFSET($S$2,0,0,ROW()-1,13),ROW()-1,FALSE))</f>
        <v>1986200</v>
      </c>
      <c r="P22">
        <f ca="1">IF(AND(ISNUMBER($P$91),$B$69=1),$P$91,HLOOKUP(INDIRECT(ADDRESS(2,COLUMN())),OFFSET($S$2,0,0,ROW()-1,13),ROW()-1,FALSE))</f>
        <v>2048300</v>
      </c>
      <c r="Q22">
        <f ca="1">IF(AND(ISNUMBER($Q$91),$B$69=1),$Q$91,HLOOKUP(INDIRECT(ADDRESS(2,COLUMN())),OFFSET($S$2,0,0,ROW()-1,13),ROW()-1,FALSE))</f>
        <v>1887800</v>
      </c>
      <c r="R22">
        <f ca="1">IF(AND(ISNUMBER($R$91),$B$69=1),$R$91,HLOOKUP(INDIRECT(ADDRESS(2,COLUMN())),OFFSET($S$2,0,0,ROW()-1,13),ROW()-1,FALSE))</f>
        <v>1759000</v>
      </c>
      <c r="S22">
        <f>1553500</f>
        <v>1553500</v>
      </c>
      <c r="T22">
        <f>2208300</f>
        <v>2208300</v>
      </c>
      <c r="U22">
        <f>2216400</f>
        <v>2216400</v>
      </c>
      <c r="V22">
        <f>2058100</f>
        <v>2058100</v>
      </c>
      <c r="W22">
        <f>2173700</f>
        <v>2173700</v>
      </c>
      <c r="X22">
        <f>2100900</f>
        <v>2100900</v>
      </c>
      <c r="Y22">
        <f>2016400</f>
        <v>2016400</v>
      </c>
      <c r="Z22">
        <f>1895400</f>
        <v>1895400</v>
      </c>
      <c r="AA22">
        <f>2062500</f>
        <v>2062500</v>
      </c>
      <c r="AB22">
        <f>1986200</f>
        <v>1986200</v>
      </c>
      <c r="AC22">
        <f>2048300</f>
        <v>2048300</v>
      </c>
      <c r="AD22">
        <f>1887800</f>
        <v>1887800</v>
      </c>
      <c r="AE22">
        <f>1759000</f>
        <v>1759000</v>
      </c>
    </row>
    <row r="23" spans="1:31" x14ac:dyDescent="0.25">
      <c r="A23" t="str">
        <f>"    Europe - Indian Sub Cont. &amp; Middle East"</f>
        <v xml:space="preserve">    Europe - Indian Sub Cont. &amp; Middle East</v>
      </c>
      <c r="B23" t="str">
        <f>"CSHVEIME Index"</f>
        <v>CSHVEIME Index</v>
      </c>
      <c r="C23" t="str">
        <f t="shared" si="0"/>
        <v>PX385</v>
      </c>
      <c r="D23" t="str">
        <f t="shared" si="1"/>
        <v>INTERVAL_SUM</v>
      </c>
      <c r="E23" t="str">
        <f t="shared" si="2"/>
        <v>Dynamic</v>
      </c>
      <c r="F23">
        <f ca="1">IF(AND(ISNUMBER($F$92),$B$69=1),$F$92,HLOOKUP(INDIRECT(ADDRESS(2,COLUMN())),OFFSET($S$2,0,0,ROW()-1,13),ROW()-1,FALSE))</f>
        <v>2827800</v>
      </c>
      <c r="G23">
        <f ca="1">IF(AND(ISNUMBER($G$92),$B$69=1),$G$92,HLOOKUP(INDIRECT(ADDRESS(2,COLUMN())),OFFSET($S$2,0,0,ROW()-1,13),ROW()-1,FALSE))</f>
        <v>3846400</v>
      </c>
      <c r="H23">
        <f ca="1">IF(AND(ISNUMBER($H$92),$B$69=1),$H$92,HLOOKUP(INDIRECT(ADDRESS(2,COLUMN())),OFFSET($S$2,0,0,ROW()-1,13),ROW()-1,FALSE))</f>
        <v>3711900</v>
      </c>
      <c r="I23">
        <f ca="1">IF(AND(ISNUMBER($I$92),$B$69=1),$I$92,HLOOKUP(INDIRECT(ADDRESS(2,COLUMN())),OFFSET($S$2,0,0,ROW()-1,13),ROW()-1,FALSE))</f>
        <v>3794700</v>
      </c>
      <c r="J23">
        <f ca="1">IF(AND(ISNUMBER($J$92),$B$69=1),$J$92,HLOOKUP(INDIRECT(ADDRESS(2,COLUMN())),OFFSET($S$2,0,0,ROW()-1,13),ROW()-1,FALSE))</f>
        <v>4037500</v>
      </c>
      <c r="K23">
        <f ca="1">IF(AND(ISNUMBER($K$92),$B$69=1),$K$92,HLOOKUP(INDIRECT(ADDRESS(2,COLUMN())),OFFSET($S$2,0,0,ROW()-1,13),ROW()-1,FALSE))</f>
        <v>3964900</v>
      </c>
      <c r="L23">
        <f ca="1">IF(AND(ISNUMBER($L$92),$B$69=1),$L$92,HLOOKUP(INDIRECT(ADDRESS(2,COLUMN())),OFFSET($S$2,0,0,ROW()-1,13),ROW()-1,FALSE))</f>
        <v>3878100</v>
      </c>
      <c r="M23">
        <f ca="1">IF(AND(ISNUMBER($M$92),$B$69=1),$M$92,HLOOKUP(INDIRECT(ADDRESS(2,COLUMN())),OFFSET($S$2,0,0,ROW()-1,13),ROW()-1,FALSE))</f>
        <v>3827300</v>
      </c>
      <c r="N23">
        <f ca="1">IF(AND(ISNUMBER($N$92),$B$69=1),$N$92,HLOOKUP(INDIRECT(ADDRESS(2,COLUMN())),OFFSET($S$2,0,0,ROW()-1,13),ROW()-1,FALSE))</f>
        <v>3630200</v>
      </c>
      <c r="O23">
        <f ca="1">IF(AND(ISNUMBER($O$92),$B$69=1),$O$92,HLOOKUP(INDIRECT(ADDRESS(2,COLUMN())),OFFSET($S$2,0,0,ROW()-1,13),ROW()-1,FALSE))</f>
        <v>3376000</v>
      </c>
      <c r="P23">
        <f ca="1">IF(AND(ISNUMBER($P$92),$B$69=1),$P$92,HLOOKUP(INDIRECT(ADDRESS(2,COLUMN())),OFFSET($S$2,0,0,ROW()-1,13),ROW()-1,FALSE))</f>
        <v>3090800</v>
      </c>
      <c r="Q23">
        <f ca="1">IF(AND(ISNUMBER($Q$92),$B$69=1),$Q$92,HLOOKUP(INDIRECT(ADDRESS(2,COLUMN())),OFFSET($S$2,0,0,ROW()-1,13),ROW()-1,FALSE))</f>
        <v>3146400</v>
      </c>
      <c r="R23">
        <f ca="1">IF(AND(ISNUMBER($R$92),$B$69=1),$R$92,HLOOKUP(INDIRECT(ADDRESS(2,COLUMN())),OFFSET($S$2,0,0,ROW()-1,13),ROW()-1,FALSE))</f>
        <v>3006700</v>
      </c>
      <c r="S23">
        <f>2827800</f>
        <v>2827800</v>
      </c>
      <c r="T23">
        <f>3846400</f>
        <v>3846400</v>
      </c>
      <c r="U23">
        <f>3711900</f>
        <v>3711900</v>
      </c>
      <c r="V23">
        <f>3794700</f>
        <v>3794700</v>
      </c>
      <c r="W23">
        <f>4037500</f>
        <v>4037500</v>
      </c>
      <c r="X23">
        <f>3964900</f>
        <v>3964900</v>
      </c>
      <c r="Y23">
        <f>3878100</f>
        <v>3878100</v>
      </c>
      <c r="Z23">
        <f>3827300</f>
        <v>3827300</v>
      </c>
      <c r="AA23">
        <f>3630200</f>
        <v>3630200</v>
      </c>
      <c r="AB23">
        <f>3376000</f>
        <v>3376000</v>
      </c>
      <c r="AC23">
        <f>3090800</f>
        <v>3090800</v>
      </c>
      <c r="AD23">
        <f>3146400</f>
        <v>3146400</v>
      </c>
      <c r="AE23">
        <f>3006700</f>
        <v>3006700</v>
      </c>
    </row>
    <row r="24" spans="1:31" x14ac:dyDescent="0.25">
      <c r="A24" t="str">
        <f>"    Europe - South &amp; Central America"</f>
        <v xml:space="preserve">    Europe - South &amp; Central America</v>
      </c>
      <c r="B24" t="str">
        <f>"CSHVESCA Index"</f>
        <v>CSHVESCA Index</v>
      </c>
      <c r="C24" t="str">
        <f t="shared" si="0"/>
        <v>PX385</v>
      </c>
      <c r="D24" t="str">
        <f t="shared" si="1"/>
        <v>INTERVAL_SUM</v>
      </c>
      <c r="E24" t="str">
        <f t="shared" si="2"/>
        <v>Dynamic</v>
      </c>
      <c r="F24">
        <f ca="1">IF(AND(ISNUMBER($F$93),$B$69=1),$F$93,HLOOKUP(INDIRECT(ADDRESS(2,COLUMN())),OFFSET($S$2,0,0,ROW()-1,13),ROW()-1,FALSE))</f>
        <v>1243800</v>
      </c>
      <c r="G24">
        <f ca="1">IF(AND(ISNUMBER($G$93),$B$69=1),$G$93,HLOOKUP(INDIRECT(ADDRESS(2,COLUMN())),OFFSET($S$2,0,0,ROW()-1,13),ROW()-1,FALSE))</f>
        <v>1927900</v>
      </c>
      <c r="H24">
        <f ca="1">IF(AND(ISNUMBER($H$93),$B$69=1),$H$93,HLOOKUP(INDIRECT(ADDRESS(2,COLUMN())),OFFSET($S$2,0,0,ROW()-1,13),ROW()-1,FALSE))</f>
        <v>2110900</v>
      </c>
      <c r="I24">
        <f ca="1">IF(AND(ISNUMBER($I$93),$B$69=1),$I$93,HLOOKUP(INDIRECT(ADDRESS(2,COLUMN())),OFFSET($S$2,0,0,ROW()-1,13),ROW()-1,FALSE))</f>
        <v>1791000</v>
      </c>
      <c r="J24">
        <f ca="1">IF(AND(ISNUMBER($J$93),$B$69=1),$J$93,HLOOKUP(INDIRECT(ADDRESS(2,COLUMN())),OFFSET($S$2,0,0,ROW()-1,13),ROW()-1,FALSE))</f>
        <v>1870800</v>
      </c>
      <c r="K24">
        <f ca="1">IF(AND(ISNUMBER($K$93),$B$69=1),$K$93,HLOOKUP(INDIRECT(ADDRESS(2,COLUMN())),OFFSET($S$2,0,0,ROW()-1,13),ROW()-1,FALSE))</f>
        <v>1907400</v>
      </c>
      <c r="L24">
        <f ca="1">IF(AND(ISNUMBER($L$93),$B$69=1),$L$93,HLOOKUP(INDIRECT(ADDRESS(2,COLUMN())),OFFSET($S$2,0,0,ROW()-1,13),ROW()-1,FALSE))</f>
        <v>1800300</v>
      </c>
      <c r="M24">
        <f ca="1">IF(AND(ISNUMBER($M$93),$B$69=1),$M$93,HLOOKUP(INDIRECT(ADDRESS(2,COLUMN())),OFFSET($S$2,0,0,ROW()-1,13),ROW()-1,FALSE))</f>
        <v>1615000</v>
      </c>
      <c r="N24">
        <f ca="1">IF(AND(ISNUMBER($N$93),$B$69=1),$N$93,HLOOKUP(INDIRECT(ADDRESS(2,COLUMN())),OFFSET($S$2,0,0,ROW()-1,13),ROW()-1,FALSE))</f>
        <v>1578500</v>
      </c>
      <c r="O24">
        <f ca="1">IF(AND(ISNUMBER($O$93),$B$69=1),$O$93,HLOOKUP(INDIRECT(ADDRESS(2,COLUMN())),OFFSET($S$2,0,0,ROW()-1,13),ROW()-1,FALSE))</f>
        <v>1590900</v>
      </c>
      <c r="P24">
        <f ca="1">IF(AND(ISNUMBER($P$93),$B$69=1),$P$93,HLOOKUP(INDIRECT(ADDRESS(2,COLUMN())),OFFSET($S$2,0,0,ROW()-1,13),ROW()-1,FALSE))</f>
        <v>1631800</v>
      </c>
      <c r="Q24">
        <f ca="1">IF(AND(ISNUMBER($Q$93),$B$69=1),$Q$93,HLOOKUP(INDIRECT(ADDRESS(2,COLUMN())),OFFSET($S$2,0,0,ROW()-1,13),ROW()-1,FALSE))</f>
        <v>1558200</v>
      </c>
      <c r="R24">
        <f ca="1">IF(AND(ISNUMBER($R$93),$B$69=1),$R$93,HLOOKUP(INDIRECT(ADDRESS(2,COLUMN())),OFFSET($S$2,0,0,ROW()-1,13),ROW()-1,FALSE))</f>
        <v>1475100</v>
      </c>
      <c r="S24">
        <f>1243800</f>
        <v>1243800</v>
      </c>
      <c r="T24">
        <f>1927900</f>
        <v>1927900</v>
      </c>
      <c r="U24">
        <f>2110900</f>
        <v>2110900</v>
      </c>
      <c r="V24">
        <f>1791000</f>
        <v>1791000</v>
      </c>
      <c r="W24">
        <f>1870800</f>
        <v>1870800</v>
      </c>
      <c r="X24">
        <f>1907400</f>
        <v>1907400</v>
      </c>
      <c r="Y24">
        <f>1800300</f>
        <v>1800300</v>
      </c>
      <c r="Z24">
        <f>1615000</f>
        <v>1615000</v>
      </c>
      <c r="AA24">
        <f>1578500</f>
        <v>1578500</v>
      </c>
      <c r="AB24">
        <f>1590900</f>
        <v>1590900</v>
      </c>
      <c r="AC24">
        <f>1631800</f>
        <v>1631800</v>
      </c>
      <c r="AD24">
        <f>1558200</f>
        <v>1558200</v>
      </c>
      <c r="AE24">
        <f>1475100</f>
        <v>1475100</v>
      </c>
    </row>
    <row r="25" spans="1:31" x14ac:dyDescent="0.25">
      <c r="A25" t="str">
        <f>"    Indian Sub Cont. &amp; Middle East - Australasia &amp; Oceania"</f>
        <v xml:space="preserve">    Indian Sub Cont. &amp; Middle East - Australasia &amp; Oceania</v>
      </c>
      <c r="B25" t="str">
        <f>"CSHVIAUO Index"</f>
        <v>CSHVIAUO Index</v>
      </c>
      <c r="C25" t="str">
        <f t="shared" si="0"/>
        <v>PX385</v>
      </c>
      <c r="D25" t="str">
        <f t="shared" si="1"/>
        <v>INTERVAL_SUM</v>
      </c>
      <c r="E25" t="str">
        <f t="shared" si="2"/>
        <v>Dynamic</v>
      </c>
      <c r="F25">
        <f ca="1">IF(AND(ISNUMBER($F$94),$B$69=1),$F$94,HLOOKUP(INDIRECT(ADDRESS(2,COLUMN())),OFFSET($S$2,0,0,ROW()-1,13),ROW()-1,FALSE))</f>
        <v>116700</v>
      </c>
      <c r="G25">
        <f ca="1">IF(AND(ISNUMBER($G$94),$B$69=1),$G$94,HLOOKUP(INDIRECT(ADDRESS(2,COLUMN())),OFFSET($S$2,0,0,ROW()-1,13),ROW()-1,FALSE))</f>
        <v>149600</v>
      </c>
      <c r="H25">
        <f ca="1">IF(AND(ISNUMBER($H$94),$B$69=1),$H$94,HLOOKUP(INDIRECT(ADDRESS(2,COLUMN())),OFFSET($S$2,0,0,ROW()-1,13),ROW()-1,FALSE))</f>
        <v>158200</v>
      </c>
      <c r="I25">
        <f ca="1">IF(AND(ISNUMBER($I$94),$B$69=1),$I$94,HLOOKUP(INDIRECT(ADDRESS(2,COLUMN())),OFFSET($S$2,0,0,ROW()-1,13),ROW()-1,FALSE))</f>
        <v>162700</v>
      </c>
      <c r="J25">
        <f ca="1">IF(AND(ISNUMBER($J$94),$B$69=1),$J$94,HLOOKUP(INDIRECT(ADDRESS(2,COLUMN())),OFFSET($S$2,0,0,ROW()-1,13),ROW()-1,FALSE))</f>
        <v>156000</v>
      </c>
      <c r="K25">
        <f ca="1">IF(AND(ISNUMBER($K$94),$B$69=1),$K$94,HLOOKUP(INDIRECT(ADDRESS(2,COLUMN())),OFFSET($S$2,0,0,ROW()-1,13),ROW()-1,FALSE))</f>
        <v>157200</v>
      </c>
      <c r="L25">
        <f ca="1">IF(AND(ISNUMBER($L$94),$B$69=1),$L$94,HLOOKUP(INDIRECT(ADDRESS(2,COLUMN())),OFFSET($S$2,0,0,ROW()-1,13),ROW()-1,FALSE))</f>
        <v>190100</v>
      </c>
      <c r="M25">
        <f ca="1">IF(AND(ISNUMBER($M$94),$B$69=1),$M$94,HLOOKUP(INDIRECT(ADDRESS(2,COLUMN())),OFFSET($S$2,0,0,ROW()-1,13),ROW()-1,FALSE))</f>
        <v>191900</v>
      </c>
      <c r="N25">
        <f ca="1">IF(AND(ISNUMBER($N$94),$B$69=1),$N$94,HLOOKUP(INDIRECT(ADDRESS(2,COLUMN())),OFFSET($S$2,0,0,ROW()-1,13),ROW()-1,FALSE))</f>
        <v>174100</v>
      </c>
      <c r="O25">
        <f ca="1">IF(AND(ISNUMBER($O$94),$B$69=1),$O$94,HLOOKUP(INDIRECT(ADDRESS(2,COLUMN())),OFFSET($S$2,0,0,ROW()-1,13),ROW()-1,FALSE))</f>
        <v>163600</v>
      </c>
      <c r="P25">
        <f ca="1">IF(AND(ISNUMBER($P$94),$B$69=1),$P$94,HLOOKUP(INDIRECT(ADDRESS(2,COLUMN())),OFFSET($S$2,0,0,ROW()-1,13),ROW()-1,FALSE))</f>
        <v>130000</v>
      </c>
      <c r="Q25">
        <f ca="1">IF(AND(ISNUMBER($Q$94),$B$69=1),$Q$94,HLOOKUP(INDIRECT(ADDRESS(2,COLUMN())),OFFSET($S$2,0,0,ROW()-1,13),ROW()-1,FALSE))</f>
        <v>109500</v>
      </c>
      <c r="R25">
        <f ca="1">IF(AND(ISNUMBER($R$94),$B$69=1),$R$94,HLOOKUP(INDIRECT(ADDRESS(2,COLUMN())),OFFSET($S$2,0,0,ROW()-1,13),ROW()-1,FALSE))</f>
        <v>101400</v>
      </c>
      <c r="S25">
        <f>116700</f>
        <v>116700</v>
      </c>
      <c r="T25">
        <f>149600</f>
        <v>149600</v>
      </c>
      <c r="U25">
        <f>158200</f>
        <v>158200</v>
      </c>
      <c r="V25">
        <f>162700</f>
        <v>162700</v>
      </c>
      <c r="W25">
        <f>156000</f>
        <v>156000</v>
      </c>
      <c r="X25">
        <f>157200</f>
        <v>157200</v>
      </c>
      <c r="Y25">
        <f>190100</f>
        <v>190100</v>
      </c>
      <c r="Z25">
        <f>191900</f>
        <v>191900</v>
      </c>
      <c r="AA25">
        <f>174100</f>
        <v>174100</v>
      </c>
      <c r="AB25">
        <f>163600</f>
        <v>163600</v>
      </c>
      <c r="AC25">
        <f>130000</f>
        <v>130000</v>
      </c>
      <c r="AD25">
        <f>109500</f>
        <v>109500</v>
      </c>
      <c r="AE25">
        <f>101400</f>
        <v>101400</v>
      </c>
    </row>
    <row r="26" spans="1:31" x14ac:dyDescent="0.25">
      <c r="A26" t="str">
        <f>"    Indian Sub Cont. &amp; Middle East - North America"</f>
        <v xml:space="preserve">    Indian Sub Cont. &amp; Middle East - North America</v>
      </c>
      <c r="B26" t="str">
        <f>"CSHVINAR Index"</f>
        <v>CSHVINAR Index</v>
      </c>
      <c r="C26" t="str">
        <f t="shared" si="0"/>
        <v>PX385</v>
      </c>
      <c r="D26" t="str">
        <f t="shared" si="1"/>
        <v>INTERVAL_SUM</v>
      </c>
      <c r="E26" t="str">
        <f t="shared" si="2"/>
        <v>Dynamic</v>
      </c>
      <c r="F26">
        <f ca="1">IF(AND(ISNUMBER($F$95),$B$69=1),$F$95,HLOOKUP(INDIRECT(ADDRESS(2,COLUMN())),OFFSET($S$2,0,0,ROW()-1,13),ROW()-1,FALSE))</f>
        <v>1335500</v>
      </c>
      <c r="G26">
        <f ca="1">IF(AND(ISNUMBER($G$95),$B$69=1),$G$95,HLOOKUP(INDIRECT(ADDRESS(2,COLUMN())),OFFSET($S$2,0,0,ROW()-1,13),ROW()-1,FALSE))</f>
        <v>1841900</v>
      </c>
      <c r="H26">
        <f ca="1">IF(AND(ISNUMBER($H$95),$B$69=1),$H$95,HLOOKUP(INDIRECT(ADDRESS(2,COLUMN())),OFFSET($S$2,0,0,ROW()-1,13),ROW()-1,FALSE))</f>
        <v>1940500</v>
      </c>
      <c r="I26">
        <f ca="1">IF(AND(ISNUMBER($I$95),$B$69=1),$I$95,HLOOKUP(INDIRECT(ADDRESS(2,COLUMN())),OFFSET($S$2,0,0,ROW()-1,13),ROW()-1,FALSE))</f>
        <v>1458100</v>
      </c>
      <c r="J26">
        <f ca="1">IF(AND(ISNUMBER($J$95),$B$69=1),$J$95,HLOOKUP(INDIRECT(ADDRESS(2,COLUMN())),OFFSET($S$2,0,0,ROW()-1,13),ROW()-1,FALSE))</f>
        <v>1436100</v>
      </c>
      <c r="K26">
        <f ca="1">IF(AND(ISNUMBER($K$95),$B$69=1),$K$95,HLOOKUP(INDIRECT(ADDRESS(2,COLUMN())),OFFSET($S$2,0,0,ROW()-1,13),ROW()-1,FALSE))</f>
        <v>1348800</v>
      </c>
      <c r="L26">
        <f ca="1">IF(AND(ISNUMBER($L$95),$B$69=1),$L$95,HLOOKUP(INDIRECT(ADDRESS(2,COLUMN())),OFFSET($S$2,0,0,ROW()-1,13),ROW()-1,FALSE))</f>
        <v>1183400</v>
      </c>
      <c r="M26">
        <f ca="1">IF(AND(ISNUMBER($M$95),$B$69=1),$M$95,HLOOKUP(INDIRECT(ADDRESS(2,COLUMN())),OFFSET($S$2,0,0,ROW()-1,13),ROW()-1,FALSE))</f>
        <v>1126100</v>
      </c>
      <c r="N26">
        <f ca="1">IF(AND(ISNUMBER($N$95),$B$69=1),$N$95,HLOOKUP(INDIRECT(ADDRESS(2,COLUMN())),OFFSET($S$2,0,0,ROW()-1,13),ROW()-1,FALSE))</f>
        <v>1063900</v>
      </c>
      <c r="O26">
        <f ca="1">IF(AND(ISNUMBER($O$95),$B$69=1),$O$95,HLOOKUP(INDIRECT(ADDRESS(2,COLUMN())),OFFSET($S$2,0,0,ROW()-1,13),ROW()-1,FALSE))</f>
        <v>990200</v>
      </c>
      <c r="P26">
        <f ca="1">IF(AND(ISNUMBER($P$95),$B$69=1),$P$95,HLOOKUP(INDIRECT(ADDRESS(2,COLUMN())),OFFSET($S$2,0,0,ROW()-1,13),ROW()-1,FALSE))</f>
        <v>892400</v>
      </c>
      <c r="Q26">
        <f ca="1">IF(AND(ISNUMBER($Q$95),$B$69=1),$Q$95,HLOOKUP(INDIRECT(ADDRESS(2,COLUMN())),OFFSET($S$2,0,0,ROW()-1,13),ROW()-1,FALSE))</f>
        <v>948500</v>
      </c>
      <c r="R26">
        <f ca="1">IF(AND(ISNUMBER($R$95),$B$69=1),$R$95,HLOOKUP(INDIRECT(ADDRESS(2,COLUMN())),OFFSET($S$2,0,0,ROW()-1,13),ROW()-1,FALSE))</f>
        <v>929400</v>
      </c>
      <c r="S26">
        <f>1335500</f>
        <v>1335500</v>
      </c>
      <c r="T26">
        <f>1841900</f>
        <v>1841900</v>
      </c>
      <c r="U26">
        <f>1940500</f>
        <v>1940500</v>
      </c>
      <c r="V26">
        <f>1458100</f>
        <v>1458100</v>
      </c>
      <c r="W26">
        <f>1436100</f>
        <v>1436100</v>
      </c>
      <c r="X26">
        <f>1348800</f>
        <v>1348800</v>
      </c>
      <c r="Y26">
        <f>1183400</f>
        <v>1183400</v>
      </c>
      <c r="Z26">
        <f>1126100</f>
        <v>1126100</v>
      </c>
      <c r="AA26">
        <f>1063900</f>
        <v>1063900</v>
      </c>
      <c r="AB26">
        <f>990200</f>
        <v>990200</v>
      </c>
      <c r="AC26">
        <f>892400</f>
        <v>892400</v>
      </c>
      <c r="AD26">
        <f>948500</f>
        <v>948500</v>
      </c>
      <c r="AE26">
        <f>929400</f>
        <v>929400</v>
      </c>
    </row>
    <row r="27" spans="1:31" x14ac:dyDescent="0.25">
      <c r="A27" t="str">
        <f>"    Indian Sub Cont. &amp; Middle East - Asia"</f>
        <v xml:space="preserve">    Indian Sub Cont. &amp; Middle East - Asia</v>
      </c>
      <c r="B27" t="str">
        <f>"CSHVIASR Index"</f>
        <v>CSHVIASR Index</v>
      </c>
      <c r="C27" t="str">
        <f t="shared" si="0"/>
        <v>PX385</v>
      </c>
      <c r="D27" t="str">
        <f t="shared" si="1"/>
        <v>INTERVAL_SUM</v>
      </c>
      <c r="E27" t="str">
        <f t="shared" si="2"/>
        <v>Dynamic</v>
      </c>
      <c r="F27">
        <f ca="1">IF(AND(ISNUMBER($F$96),$B$69=1),$F$96,HLOOKUP(INDIRECT(ADDRESS(2,COLUMN())),OFFSET($S$2,0,0,ROW()-1,13),ROW()-1,FALSE))</f>
        <v>2374800</v>
      </c>
      <c r="G27">
        <f ca="1">IF(AND(ISNUMBER($G$96),$B$69=1),$G$96,HLOOKUP(INDIRECT(ADDRESS(2,COLUMN())),OFFSET($S$2,0,0,ROW()-1,13),ROW()-1,FALSE))</f>
        <v>3223700</v>
      </c>
      <c r="H27">
        <f ca="1">IF(AND(ISNUMBER($H$96),$B$69=1),$H$96,HLOOKUP(INDIRECT(ADDRESS(2,COLUMN())),OFFSET($S$2,0,0,ROW()-1,13),ROW()-1,FALSE))</f>
        <v>3005300</v>
      </c>
      <c r="I27">
        <f ca="1">IF(AND(ISNUMBER($I$96),$B$69=1),$I$96,HLOOKUP(INDIRECT(ADDRESS(2,COLUMN())),OFFSET($S$2,0,0,ROW()-1,13),ROW()-1,FALSE))</f>
        <v>3139900</v>
      </c>
      <c r="J27">
        <f ca="1">IF(AND(ISNUMBER($J$96),$B$69=1),$J$96,HLOOKUP(INDIRECT(ADDRESS(2,COLUMN())),OFFSET($S$2,0,0,ROW()-1,13),ROW()-1,FALSE))</f>
        <v>2831600</v>
      </c>
      <c r="K27">
        <f ca="1">IF(AND(ISNUMBER($K$96),$B$69=1),$K$96,HLOOKUP(INDIRECT(ADDRESS(2,COLUMN())),OFFSET($S$2,0,0,ROW()-1,13),ROW()-1,FALSE))</f>
        <v>2993000</v>
      </c>
      <c r="L27">
        <f ca="1">IF(AND(ISNUMBER($L$96),$B$69=1),$L$96,HLOOKUP(INDIRECT(ADDRESS(2,COLUMN())),OFFSET($S$2,0,0,ROW()-1,13),ROW()-1,FALSE))</f>
        <v>2843000</v>
      </c>
      <c r="M27">
        <f ca="1">IF(AND(ISNUMBER($M$96),$B$69=1),$M$96,HLOOKUP(INDIRECT(ADDRESS(2,COLUMN())),OFFSET($S$2,0,0,ROW()-1,13),ROW()-1,FALSE))</f>
        <v>2633000</v>
      </c>
      <c r="N27">
        <f ca="1">IF(AND(ISNUMBER($N$96),$B$69=1),$N$96,HLOOKUP(INDIRECT(ADDRESS(2,COLUMN())),OFFSET($S$2,0,0,ROW()-1,13),ROW()-1,FALSE))</f>
        <v>2499300</v>
      </c>
      <c r="O27">
        <f ca="1">IF(AND(ISNUMBER($O$96),$B$69=1),$O$96,HLOOKUP(INDIRECT(ADDRESS(2,COLUMN())),OFFSET($S$2,0,0,ROW()-1,13),ROW()-1,FALSE))</f>
        <v>2464100</v>
      </c>
      <c r="P27">
        <f ca="1">IF(AND(ISNUMBER($P$96),$B$69=1),$P$96,HLOOKUP(INDIRECT(ADDRESS(2,COLUMN())),OFFSET($S$2,0,0,ROW()-1,13),ROW()-1,FALSE))</f>
        <v>2484600</v>
      </c>
      <c r="Q27">
        <f ca="1">IF(AND(ISNUMBER($Q$96),$B$69=1),$Q$96,HLOOKUP(INDIRECT(ADDRESS(2,COLUMN())),OFFSET($S$2,0,0,ROW()-1,13),ROW()-1,FALSE))</f>
        <v>2331700</v>
      </c>
      <c r="R27">
        <f ca="1">IF(AND(ISNUMBER($R$96),$B$69=1),$R$96,HLOOKUP(INDIRECT(ADDRESS(2,COLUMN())),OFFSET($S$2,0,0,ROW()-1,13),ROW()-1,FALSE))</f>
        <v>2260600</v>
      </c>
      <c r="S27">
        <f>2374800</f>
        <v>2374800</v>
      </c>
      <c r="T27">
        <f>3223700</f>
        <v>3223700</v>
      </c>
      <c r="U27">
        <f>3005300</f>
        <v>3005300</v>
      </c>
      <c r="V27">
        <f>3139900</f>
        <v>3139900</v>
      </c>
      <c r="W27">
        <f>2831600</f>
        <v>2831600</v>
      </c>
      <c r="X27">
        <f>2993000</f>
        <v>2993000</v>
      </c>
      <c r="Y27">
        <f>2843000</f>
        <v>2843000</v>
      </c>
      <c r="Z27">
        <f>2633000</f>
        <v>2633000</v>
      </c>
      <c r="AA27">
        <f>2499300</f>
        <v>2499300</v>
      </c>
      <c r="AB27">
        <f>2464100</f>
        <v>2464100</v>
      </c>
      <c r="AC27">
        <f>2484600</f>
        <v>2484600</v>
      </c>
      <c r="AD27">
        <f>2331700</f>
        <v>2331700</v>
      </c>
      <c r="AE27">
        <f>2260600</f>
        <v>2260600</v>
      </c>
    </row>
    <row r="28" spans="1:31" x14ac:dyDescent="0.25">
      <c r="A28" t="str">
        <f>"    Indian Sub Cont. &amp; Middle East - Europe"</f>
        <v xml:space="preserve">    Indian Sub Cont. &amp; Middle East - Europe</v>
      </c>
      <c r="B28" t="str">
        <f>"CSHVIEUR Index"</f>
        <v>CSHVIEUR Index</v>
      </c>
      <c r="C28" t="str">
        <f t="shared" si="0"/>
        <v>PX385</v>
      </c>
      <c r="D28" t="str">
        <f t="shared" si="1"/>
        <v>INTERVAL_SUM</v>
      </c>
      <c r="E28" t="str">
        <f t="shared" si="2"/>
        <v>Dynamic</v>
      </c>
      <c r="F28">
        <f ca="1">IF(AND(ISNUMBER($F$97),$B$69=1),$F$97,HLOOKUP(INDIRECT(ADDRESS(2,COLUMN())),OFFSET($S$2,0,0,ROW()-1,13),ROW()-1,FALSE))</f>
        <v>2448900</v>
      </c>
      <c r="G28">
        <f ca="1">IF(AND(ISNUMBER($G$97),$B$69=1),$G$97,HLOOKUP(INDIRECT(ADDRESS(2,COLUMN())),OFFSET($S$2,0,0,ROW()-1,13),ROW()-1,FALSE))</f>
        <v>3074600</v>
      </c>
      <c r="H28">
        <f ca="1">IF(AND(ISNUMBER($H$97),$B$69=1),$H$97,HLOOKUP(INDIRECT(ADDRESS(2,COLUMN())),OFFSET($S$2,0,0,ROW()-1,13),ROW()-1,FALSE))</f>
        <v>3253500</v>
      </c>
      <c r="I28">
        <f ca="1">IF(AND(ISNUMBER($I$97),$B$69=1),$I$97,HLOOKUP(INDIRECT(ADDRESS(2,COLUMN())),OFFSET($S$2,0,0,ROW()-1,13),ROW()-1,FALSE))</f>
        <v>2738900</v>
      </c>
      <c r="J28">
        <f ca="1">IF(AND(ISNUMBER($J$97),$B$69=1),$J$97,HLOOKUP(INDIRECT(ADDRESS(2,COLUMN())),OFFSET($S$2,0,0,ROW()-1,13),ROW()-1,FALSE))</f>
        <v>2883000</v>
      </c>
      <c r="K28">
        <f ca="1">IF(AND(ISNUMBER($K$97),$B$69=1),$K$97,HLOOKUP(INDIRECT(ADDRESS(2,COLUMN())),OFFSET($S$2,0,0,ROW()-1,13),ROW()-1,FALSE))</f>
        <v>2883200</v>
      </c>
      <c r="L28">
        <f ca="1">IF(AND(ISNUMBER($L$97),$B$69=1),$L$97,HLOOKUP(INDIRECT(ADDRESS(2,COLUMN())),OFFSET($S$2,0,0,ROW()-1,13),ROW()-1,FALSE))</f>
        <v>2741500</v>
      </c>
      <c r="M28">
        <f ca="1">IF(AND(ISNUMBER($M$97),$B$69=1),$M$97,HLOOKUP(INDIRECT(ADDRESS(2,COLUMN())),OFFSET($S$2,0,0,ROW()-1,13),ROW()-1,FALSE))</f>
        <v>2607000</v>
      </c>
      <c r="N28">
        <f ca="1">IF(AND(ISNUMBER($N$97),$B$69=1),$N$97,HLOOKUP(INDIRECT(ADDRESS(2,COLUMN())),OFFSET($S$2,0,0,ROW()-1,13),ROW()-1,FALSE))</f>
        <v>2400300</v>
      </c>
      <c r="O28">
        <f ca="1">IF(AND(ISNUMBER($O$97),$B$69=1),$O$97,HLOOKUP(INDIRECT(ADDRESS(2,COLUMN())),OFFSET($S$2,0,0,ROW()-1,13),ROW()-1,FALSE))</f>
        <v>2382800</v>
      </c>
      <c r="P28">
        <f ca="1">IF(AND(ISNUMBER($P$97),$B$69=1),$P$97,HLOOKUP(INDIRECT(ADDRESS(2,COLUMN())),OFFSET($S$2,0,0,ROW()-1,13),ROW()-1,FALSE))</f>
        <v>2200800</v>
      </c>
      <c r="Q28">
        <f ca="1">IF(AND(ISNUMBER($Q$97),$B$69=1),$Q$97,HLOOKUP(INDIRECT(ADDRESS(2,COLUMN())),OFFSET($S$2,0,0,ROW()-1,13),ROW()-1,FALSE))</f>
        <v>2065300</v>
      </c>
      <c r="R28">
        <f ca="1">IF(AND(ISNUMBER($R$97),$B$69=1),$R$97,HLOOKUP(INDIRECT(ADDRESS(2,COLUMN())),OFFSET($S$2,0,0,ROW()-1,13),ROW()-1,FALSE))</f>
        <v>2031800</v>
      </c>
      <c r="S28">
        <f>2448900</f>
        <v>2448900</v>
      </c>
      <c r="T28">
        <f>3074600</f>
        <v>3074600</v>
      </c>
      <c r="U28">
        <f>3253500</f>
        <v>3253500</v>
      </c>
      <c r="V28">
        <f>2738900</f>
        <v>2738900</v>
      </c>
      <c r="W28">
        <f>2883000</f>
        <v>2883000</v>
      </c>
      <c r="X28">
        <f>2883200</f>
        <v>2883200</v>
      </c>
      <c r="Y28">
        <f>2741500</f>
        <v>2741500</v>
      </c>
      <c r="Z28">
        <f>2607000</f>
        <v>2607000</v>
      </c>
      <c r="AA28">
        <f>2400300</f>
        <v>2400300</v>
      </c>
      <c r="AB28">
        <f>2382800</f>
        <v>2382800</v>
      </c>
      <c r="AC28">
        <f>2200800</f>
        <v>2200800</v>
      </c>
      <c r="AD28">
        <f>2065300</f>
        <v>2065300</v>
      </c>
      <c r="AE28">
        <f>2031800</f>
        <v>2031800</v>
      </c>
    </row>
    <row r="29" spans="1:31" x14ac:dyDescent="0.25">
      <c r="A29" t="str">
        <f>"    Indian Sub Cont. &amp; Middle East - South &amp; Central America"</f>
        <v xml:space="preserve">    Indian Sub Cont. &amp; Middle East - South &amp; Central America</v>
      </c>
      <c r="B29" t="str">
        <f>"CSHVISCA Index"</f>
        <v>CSHVISCA Index</v>
      </c>
      <c r="C29" t="str">
        <f t="shared" si="0"/>
        <v>PX385</v>
      </c>
      <c r="D29" t="str">
        <f t="shared" si="1"/>
        <v>INTERVAL_SUM</v>
      </c>
      <c r="E29" t="str">
        <f t="shared" si="2"/>
        <v>Dynamic</v>
      </c>
      <c r="F29">
        <f ca="1">IF(AND(ISNUMBER($F$98),$B$69=1),$F$98,HLOOKUP(INDIRECT(ADDRESS(2,COLUMN())),OFFSET($S$2,0,0,ROW()-1,13),ROW()-1,FALSE))</f>
        <v>299400</v>
      </c>
      <c r="G29">
        <f ca="1">IF(AND(ISNUMBER($G$98),$B$69=1),$G$98,HLOOKUP(INDIRECT(ADDRESS(2,COLUMN())),OFFSET($S$2,0,0,ROW()-1,13),ROW()-1,FALSE))</f>
        <v>307700</v>
      </c>
      <c r="H29">
        <f ca="1">IF(AND(ISNUMBER($H$98),$B$69=1),$H$98,HLOOKUP(INDIRECT(ADDRESS(2,COLUMN())),OFFSET($S$2,0,0,ROW()-1,13),ROW()-1,FALSE))</f>
        <v>444600</v>
      </c>
      <c r="I29">
        <f ca="1">IF(AND(ISNUMBER($I$98),$B$69=1),$I$98,HLOOKUP(INDIRECT(ADDRESS(2,COLUMN())),OFFSET($S$2,0,0,ROW()-1,13),ROW()-1,FALSE))</f>
        <v>324200</v>
      </c>
      <c r="J29">
        <f ca="1">IF(AND(ISNUMBER($J$98),$B$69=1),$J$98,HLOOKUP(INDIRECT(ADDRESS(2,COLUMN())),OFFSET($S$2,0,0,ROW()-1,13),ROW()-1,FALSE))</f>
        <v>323200</v>
      </c>
      <c r="K29">
        <f ca="1">IF(AND(ISNUMBER($K$98),$B$69=1),$K$98,HLOOKUP(INDIRECT(ADDRESS(2,COLUMN())),OFFSET($S$2,0,0,ROW()-1,13),ROW()-1,FALSE))</f>
        <v>359200</v>
      </c>
      <c r="L29">
        <f ca="1">IF(AND(ISNUMBER($L$98),$B$69=1),$L$98,HLOOKUP(INDIRECT(ADDRESS(2,COLUMN())),OFFSET($S$2,0,0,ROW()-1,13),ROW()-1,FALSE))</f>
        <v>342900</v>
      </c>
      <c r="M29">
        <f ca="1">IF(AND(ISNUMBER($M$98),$B$69=1),$M$98,HLOOKUP(INDIRECT(ADDRESS(2,COLUMN())),OFFSET($S$2,0,0,ROW()-1,13),ROW()-1,FALSE))</f>
        <v>297100</v>
      </c>
      <c r="N29">
        <f ca="1">IF(AND(ISNUMBER($N$98),$B$69=1),$N$98,HLOOKUP(INDIRECT(ADDRESS(2,COLUMN())),OFFSET($S$2,0,0,ROW()-1,13),ROW()-1,FALSE))</f>
        <v>288500</v>
      </c>
      <c r="O29">
        <f ca="1">IF(AND(ISNUMBER($O$98),$B$69=1),$O$98,HLOOKUP(INDIRECT(ADDRESS(2,COLUMN())),OFFSET($S$2,0,0,ROW()-1,13),ROW()-1,FALSE))</f>
        <v>303100</v>
      </c>
      <c r="P29">
        <f ca="1">IF(AND(ISNUMBER($P$98),$B$69=1),$P$98,HLOOKUP(INDIRECT(ADDRESS(2,COLUMN())),OFFSET($S$2,0,0,ROW()-1,13),ROW()-1,FALSE))</f>
        <v>281700</v>
      </c>
      <c r="Q29">
        <f ca="1">IF(AND(ISNUMBER($Q$98),$B$69=1),$Q$98,HLOOKUP(INDIRECT(ADDRESS(2,COLUMN())),OFFSET($S$2,0,0,ROW()-1,13),ROW()-1,FALSE))</f>
        <v>278400</v>
      </c>
      <c r="R29">
        <f ca="1">IF(AND(ISNUMBER($R$98),$B$69=1),$R$98,HLOOKUP(INDIRECT(ADDRESS(2,COLUMN())),OFFSET($S$2,0,0,ROW()-1,13),ROW()-1,FALSE))</f>
        <v>254300</v>
      </c>
      <c r="S29">
        <f>299400</f>
        <v>299400</v>
      </c>
      <c r="T29">
        <f>307700</f>
        <v>307700</v>
      </c>
      <c r="U29">
        <f>444600</f>
        <v>444600</v>
      </c>
      <c r="V29">
        <f>324200</f>
        <v>324200</v>
      </c>
      <c r="W29">
        <f>323200</f>
        <v>323200</v>
      </c>
      <c r="X29">
        <f>359200</f>
        <v>359200</v>
      </c>
      <c r="Y29">
        <f>342900</f>
        <v>342900</v>
      </c>
      <c r="Z29">
        <f>297100</f>
        <v>297100</v>
      </c>
      <c r="AA29">
        <f>288500</f>
        <v>288500</v>
      </c>
      <c r="AB29">
        <f>303100</f>
        <v>303100</v>
      </c>
      <c r="AC29">
        <f>281700</f>
        <v>281700</v>
      </c>
      <c r="AD29">
        <f>278400</f>
        <v>278400</v>
      </c>
      <c r="AE29">
        <f>254300</f>
        <v>254300</v>
      </c>
    </row>
    <row r="30" spans="1:31" x14ac:dyDescent="0.25">
      <c r="A30" t="str">
        <f>"    Indian Sub Cont. &amp; Middle East - Sub Saharan Africa"</f>
        <v xml:space="preserve">    Indian Sub Cont. &amp; Middle East - Sub Saharan Africa</v>
      </c>
      <c r="B30" t="str">
        <f>"CSHVISSA Index"</f>
        <v>CSHVISSA Index</v>
      </c>
      <c r="C30" t="str">
        <f t="shared" si="0"/>
        <v>PX385</v>
      </c>
      <c r="D30" t="str">
        <f t="shared" si="1"/>
        <v>INTERVAL_SUM</v>
      </c>
      <c r="E30" t="str">
        <f t="shared" si="2"/>
        <v>Dynamic</v>
      </c>
      <c r="F30">
        <f ca="1">IF(AND(ISNUMBER($F$99),$B$69=1),$F$99,HLOOKUP(INDIRECT(ADDRESS(2,COLUMN())),OFFSET($S$2,0,0,ROW()-1,13),ROW()-1,FALSE))</f>
        <v>1209500</v>
      </c>
      <c r="G30">
        <f ca="1">IF(AND(ISNUMBER($G$99),$B$69=1),$G$99,HLOOKUP(INDIRECT(ADDRESS(2,COLUMN())),OFFSET($S$2,0,0,ROW()-1,13),ROW()-1,FALSE))</f>
        <v>1336000</v>
      </c>
      <c r="H30">
        <f ca="1">IF(AND(ISNUMBER($H$99),$B$69=1),$H$99,HLOOKUP(INDIRECT(ADDRESS(2,COLUMN())),OFFSET($S$2,0,0,ROW()-1,13),ROW()-1,FALSE))</f>
        <v>1327200</v>
      </c>
      <c r="I30">
        <f ca="1">IF(AND(ISNUMBER($I$99),$B$69=1),$I$99,HLOOKUP(INDIRECT(ADDRESS(2,COLUMN())),OFFSET($S$2,0,0,ROW()-1,13),ROW()-1,FALSE))</f>
        <v>1260900</v>
      </c>
      <c r="J30">
        <f ca="1">IF(AND(ISNUMBER($J$99),$B$69=1),$J$99,HLOOKUP(INDIRECT(ADDRESS(2,COLUMN())),OFFSET($S$2,0,0,ROW()-1,13),ROW()-1,FALSE))</f>
        <v>1252900</v>
      </c>
      <c r="K30">
        <f ca="1">IF(AND(ISNUMBER($K$99),$B$69=1),$K$99,HLOOKUP(INDIRECT(ADDRESS(2,COLUMN())),OFFSET($S$2,0,0,ROW()-1,13),ROW()-1,FALSE))</f>
        <v>1194500</v>
      </c>
      <c r="L30">
        <f ca="1">IF(AND(ISNUMBER($L$99),$B$69=1),$L$99,HLOOKUP(INDIRECT(ADDRESS(2,COLUMN())),OFFSET($S$2,0,0,ROW()-1,13),ROW()-1,FALSE))</f>
        <v>1151300</v>
      </c>
      <c r="M30">
        <f ca="1">IF(AND(ISNUMBER($M$99),$B$69=1),$M$99,HLOOKUP(INDIRECT(ADDRESS(2,COLUMN())),OFFSET($S$2,0,0,ROW()-1,13),ROW()-1,FALSE))</f>
        <v>1041200</v>
      </c>
      <c r="N30">
        <f ca="1">IF(AND(ISNUMBER($N$99),$B$69=1),$N$99,HLOOKUP(INDIRECT(ADDRESS(2,COLUMN())),OFFSET($S$2,0,0,ROW()-1,13),ROW()-1,FALSE))</f>
        <v>1057500</v>
      </c>
      <c r="O30">
        <f ca="1">IF(AND(ISNUMBER($O$99),$B$69=1),$O$99,HLOOKUP(INDIRECT(ADDRESS(2,COLUMN())),OFFSET($S$2,0,0,ROW()-1,13),ROW()-1,FALSE))</f>
        <v>1054800</v>
      </c>
      <c r="P30">
        <f ca="1">IF(AND(ISNUMBER($P$99),$B$69=1),$P$99,HLOOKUP(INDIRECT(ADDRESS(2,COLUMN())),OFFSET($S$2,0,0,ROW()-1,13),ROW()-1,FALSE))</f>
        <v>950900</v>
      </c>
      <c r="Q30">
        <f ca="1">IF(AND(ISNUMBER($Q$99),$B$69=1),$Q$99,HLOOKUP(INDIRECT(ADDRESS(2,COLUMN())),OFFSET($S$2,0,0,ROW()-1,13),ROW()-1,FALSE))</f>
        <v>841600</v>
      </c>
      <c r="R30">
        <f ca="1">IF(AND(ISNUMBER($R$99),$B$69=1),$R$99,HLOOKUP(INDIRECT(ADDRESS(2,COLUMN())),OFFSET($S$2,0,0,ROW()-1,13),ROW()-1,FALSE))</f>
        <v>848400</v>
      </c>
      <c r="S30">
        <f>1209500</f>
        <v>1209500</v>
      </c>
      <c r="T30">
        <f>1336000</f>
        <v>1336000</v>
      </c>
      <c r="U30">
        <f>1327200</f>
        <v>1327200</v>
      </c>
      <c r="V30">
        <f>1260900</f>
        <v>1260900</v>
      </c>
      <c r="W30">
        <f>1252900</f>
        <v>1252900</v>
      </c>
      <c r="X30">
        <f>1194500</f>
        <v>1194500</v>
      </c>
      <c r="Y30">
        <f>1151300</f>
        <v>1151300</v>
      </c>
      <c r="Z30">
        <f>1041200</f>
        <v>1041200</v>
      </c>
      <c r="AA30">
        <f>1057500</f>
        <v>1057500</v>
      </c>
      <c r="AB30">
        <f>1054800</f>
        <v>1054800</v>
      </c>
      <c r="AC30">
        <f>950900</f>
        <v>950900</v>
      </c>
      <c r="AD30">
        <f>841600</f>
        <v>841600</v>
      </c>
      <c r="AE30">
        <f>848400</f>
        <v>848400</v>
      </c>
    </row>
    <row r="31" spans="1:31" x14ac:dyDescent="0.25">
      <c r="A31" t="str">
        <f>"    Indian Sub Cont. &amp; Middle East - Ind. Sub Cont. &amp; ME"</f>
        <v xml:space="preserve">    Indian Sub Cont. &amp; Middle East - Ind. Sub Cont. &amp; ME</v>
      </c>
      <c r="B31" t="str">
        <f>"CSHVIIME Index"</f>
        <v>CSHVIIME Index</v>
      </c>
      <c r="C31" t="str">
        <f t="shared" si="0"/>
        <v>PX385</v>
      </c>
      <c r="D31" t="str">
        <f t="shared" si="1"/>
        <v>INTERVAL_SUM</v>
      </c>
      <c r="E31" t="str">
        <f t="shared" si="2"/>
        <v>Dynamic</v>
      </c>
      <c r="F31">
        <f ca="1">IF(AND(ISNUMBER($F$100),$B$69=1),$F$100,HLOOKUP(INDIRECT(ADDRESS(2,COLUMN())),OFFSET($S$2,0,0,ROW()-1,13),ROW()-1,FALSE))</f>
        <v>3186200</v>
      </c>
      <c r="G31">
        <f ca="1">IF(AND(ISNUMBER($G$100),$B$69=1),$G$100,HLOOKUP(INDIRECT(ADDRESS(2,COLUMN())),OFFSET($S$2,0,0,ROW()-1,13),ROW()-1,FALSE))</f>
        <v>3911600</v>
      </c>
      <c r="H31">
        <f ca="1">IF(AND(ISNUMBER($H$100),$B$69=1),$H$100,HLOOKUP(INDIRECT(ADDRESS(2,COLUMN())),OFFSET($S$2,0,0,ROW()-1,13),ROW()-1,FALSE))</f>
        <v>3555200</v>
      </c>
      <c r="I31">
        <f ca="1">IF(AND(ISNUMBER($I$100),$B$69=1),$I$100,HLOOKUP(INDIRECT(ADDRESS(2,COLUMN())),OFFSET($S$2,0,0,ROW()-1,13),ROW()-1,FALSE))</f>
        <v>3985800</v>
      </c>
      <c r="J31">
        <f ca="1">IF(AND(ISNUMBER($J$100),$B$69=1),$J$100,HLOOKUP(INDIRECT(ADDRESS(2,COLUMN())),OFFSET($S$2,0,0,ROW()-1,13),ROW()-1,FALSE))</f>
        <v>3946600</v>
      </c>
      <c r="K31">
        <f ca="1">IF(AND(ISNUMBER($K$100),$B$69=1),$K$100,HLOOKUP(INDIRECT(ADDRESS(2,COLUMN())),OFFSET($S$2,0,0,ROW()-1,13),ROW()-1,FALSE))</f>
        <v>3782900</v>
      </c>
      <c r="L31">
        <f ca="1">IF(AND(ISNUMBER($L$100),$B$69=1),$L$100,HLOOKUP(INDIRECT(ADDRESS(2,COLUMN())),OFFSET($S$2,0,0,ROW()-1,13),ROW()-1,FALSE))</f>
        <v>3560700</v>
      </c>
      <c r="M31">
        <f ca="1">IF(AND(ISNUMBER($M$100),$B$69=1),$M$100,HLOOKUP(INDIRECT(ADDRESS(2,COLUMN())),OFFSET($S$2,0,0,ROW()-1,13),ROW()-1,FALSE))</f>
        <v>3337200</v>
      </c>
      <c r="N31">
        <f ca="1">IF(AND(ISNUMBER($N$100),$B$69=1),$N$100,HLOOKUP(INDIRECT(ADDRESS(2,COLUMN())),OFFSET($S$2,0,0,ROW()-1,13),ROW()-1,FALSE))</f>
        <v>3133800</v>
      </c>
      <c r="O31">
        <f ca="1">IF(AND(ISNUMBER($O$100),$B$69=1),$O$100,HLOOKUP(INDIRECT(ADDRESS(2,COLUMN())),OFFSET($S$2,0,0,ROW()-1,13),ROW()-1,FALSE))</f>
        <v>2962100</v>
      </c>
      <c r="P31">
        <f ca="1">IF(AND(ISNUMBER($P$100),$B$69=1),$P$100,HLOOKUP(INDIRECT(ADDRESS(2,COLUMN())),OFFSET($S$2,0,0,ROW()-1,13),ROW()-1,FALSE))</f>
        <v>2720300</v>
      </c>
      <c r="Q31">
        <f ca="1">IF(AND(ISNUMBER($Q$100),$B$69=1),$Q$100,HLOOKUP(INDIRECT(ADDRESS(2,COLUMN())),OFFSET($S$2,0,0,ROW()-1,13),ROW()-1,FALSE))</f>
        <v>2606100</v>
      </c>
      <c r="R31">
        <f ca="1">IF(AND(ISNUMBER($R$100),$B$69=1),$R$100,HLOOKUP(INDIRECT(ADDRESS(2,COLUMN())),OFFSET($S$2,0,0,ROW()-1,13),ROW()-1,FALSE))</f>
        <v>2269500</v>
      </c>
      <c r="S31">
        <f>3186200</f>
        <v>3186200</v>
      </c>
      <c r="T31">
        <f>3911600</f>
        <v>3911600</v>
      </c>
      <c r="U31">
        <f>3555200</f>
        <v>3555200</v>
      </c>
      <c r="V31">
        <f>3985800</f>
        <v>3985800</v>
      </c>
      <c r="W31">
        <f>3946600</f>
        <v>3946600</v>
      </c>
      <c r="X31">
        <f>3782900</f>
        <v>3782900</v>
      </c>
      <c r="Y31">
        <f>3560700</f>
        <v>3560700</v>
      </c>
      <c r="Z31">
        <f>3337200</f>
        <v>3337200</v>
      </c>
      <c r="AA31">
        <f>3133800</f>
        <v>3133800</v>
      </c>
      <c r="AB31">
        <f>2962100</f>
        <v>2962100</v>
      </c>
      <c r="AC31">
        <f>2720300</f>
        <v>2720300</v>
      </c>
      <c r="AD31">
        <f>2606100</f>
        <v>2606100</v>
      </c>
      <c r="AE31">
        <f>2269500</f>
        <v>2269500</v>
      </c>
    </row>
    <row r="32" spans="1:31" x14ac:dyDescent="0.25">
      <c r="A32" t="str">
        <f>"    North America - Europe"</f>
        <v xml:space="preserve">    North America - Europe</v>
      </c>
      <c r="B32" t="str">
        <f>"CSHVNEUR Index"</f>
        <v>CSHVNEUR Index</v>
      </c>
      <c r="C32" t="str">
        <f t="shared" si="0"/>
        <v>PX385</v>
      </c>
      <c r="D32" t="str">
        <f t="shared" si="1"/>
        <v>INTERVAL_SUM</v>
      </c>
      <c r="E32" t="str">
        <f t="shared" si="2"/>
        <v>Dynamic</v>
      </c>
      <c r="F32">
        <f ca="1">IF(AND(ISNUMBER($F$101),$B$69=1),$F$101,HLOOKUP(INDIRECT(ADDRESS(2,COLUMN())),OFFSET($S$2,0,0,ROW()-1,13),ROW()-1,FALSE))</f>
        <v>1909700</v>
      </c>
      <c r="G32">
        <f ca="1">IF(AND(ISNUMBER($G$101),$B$69=1),$G$101,HLOOKUP(INDIRECT(ADDRESS(2,COLUMN())),OFFSET($S$2,0,0,ROW()-1,13),ROW()-1,FALSE))</f>
        <v>2596200</v>
      </c>
      <c r="H32">
        <f ca="1">IF(AND(ISNUMBER($H$101),$B$69=1),$H$101,HLOOKUP(INDIRECT(ADDRESS(2,COLUMN())),OFFSET($S$2,0,0,ROW()-1,13),ROW()-1,FALSE))</f>
        <v>2685800</v>
      </c>
      <c r="I32">
        <f ca="1">IF(AND(ISNUMBER($I$101),$B$69=1),$I$101,HLOOKUP(INDIRECT(ADDRESS(2,COLUMN())),OFFSET($S$2,0,0,ROW()-1,13),ROW()-1,FALSE))</f>
        <v>2652300</v>
      </c>
      <c r="J32">
        <f ca="1">IF(AND(ISNUMBER($J$101),$B$69=1),$J$101,HLOOKUP(INDIRECT(ADDRESS(2,COLUMN())),OFFSET($S$2,0,0,ROW()-1,13),ROW()-1,FALSE))</f>
        <v>3009700</v>
      </c>
      <c r="K32">
        <f ca="1">IF(AND(ISNUMBER($K$101),$B$69=1),$K$101,HLOOKUP(INDIRECT(ADDRESS(2,COLUMN())),OFFSET($S$2,0,0,ROW()-1,13),ROW()-1,FALSE))</f>
        <v>2902900</v>
      </c>
      <c r="L32">
        <f ca="1">IF(AND(ISNUMBER($L$101),$B$69=1),$L$101,HLOOKUP(INDIRECT(ADDRESS(2,COLUMN())),OFFSET($S$2,0,0,ROW()-1,13),ROW()-1,FALSE))</f>
        <v>2734500</v>
      </c>
      <c r="M32">
        <f ca="1">IF(AND(ISNUMBER($M$101),$B$69=1),$M$101,HLOOKUP(INDIRECT(ADDRESS(2,COLUMN())),OFFSET($S$2,0,0,ROW()-1,13),ROW()-1,FALSE))</f>
        <v>2591600</v>
      </c>
      <c r="N32">
        <f ca="1">IF(AND(ISNUMBER($N$101),$B$69=1),$N$101,HLOOKUP(INDIRECT(ADDRESS(2,COLUMN())),OFFSET($S$2,0,0,ROW()-1,13),ROW()-1,FALSE))</f>
        <v>2579700</v>
      </c>
      <c r="O32">
        <f ca="1">IF(AND(ISNUMBER($O$101),$B$69=1),$O$101,HLOOKUP(INDIRECT(ADDRESS(2,COLUMN())),OFFSET($S$2,0,0,ROW()-1,13),ROW()-1,FALSE))</f>
        <v>2730100</v>
      </c>
      <c r="P32">
        <f ca="1">IF(AND(ISNUMBER($P$101),$B$69=1),$P$101,HLOOKUP(INDIRECT(ADDRESS(2,COLUMN())),OFFSET($S$2,0,0,ROW()-1,13),ROW()-1,FALSE))</f>
        <v>2728800</v>
      </c>
      <c r="Q32">
        <f ca="1">IF(AND(ISNUMBER($Q$101),$B$69=1),$Q$101,HLOOKUP(INDIRECT(ADDRESS(2,COLUMN())),OFFSET($S$2,0,0,ROW()-1,13),ROW()-1,FALSE))</f>
        <v>2631800</v>
      </c>
      <c r="R32">
        <f ca="1">IF(AND(ISNUMBER($R$101),$B$69=1),$R$101,HLOOKUP(INDIRECT(ADDRESS(2,COLUMN())),OFFSET($S$2,0,0,ROW()-1,13),ROW()-1,FALSE))</f>
        <v>2761700</v>
      </c>
      <c r="S32">
        <f>1909700</f>
        <v>1909700</v>
      </c>
      <c r="T32">
        <f>2596200</f>
        <v>2596200</v>
      </c>
      <c r="U32">
        <f>2685800</f>
        <v>2685800</v>
      </c>
      <c r="V32">
        <f>2652300</f>
        <v>2652300</v>
      </c>
      <c r="W32">
        <f>3009700</f>
        <v>3009700</v>
      </c>
      <c r="X32">
        <f>2902900</f>
        <v>2902900</v>
      </c>
      <c r="Y32">
        <f>2734500</f>
        <v>2734500</v>
      </c>
      <c r="Z32">
        <f>2591600</f>
        <v>2591600</v>
      </c>
      <c r="AA32">
        <f>2579700</f>
        <v>2579700</v>
      </c>
      <c r="AB32">
        <f>2730100</f>
        <v>2730100</v>
      </c>
      <c r="AC32">
        <f>2728800</f>
        <v>2728800</v>
      </c>
      <c r="AD32">
        <f>2631800</f>
        <v>2631800</v>
      </c>
      <c r="AE32">
        <f>2761700</f>
        <v>2761700</v>
      </c>
    </row>
    <row r="33" spans="1:31" x14ac:dyDescent="0.25">
      <c r="A33" t="str">
        <f>"    North America - South &amp; Central America"</f>
        <v xml:space="preserve">    North America - South &amp; Central America</v>
      </c>
      <c r="B33" t="str">
        <f>"CSHVNSCA Index"</f>
        <v>CSHVNSCA Index</v>
      </c>
      <c r="C33" t="str">
        <f t="shared" si="0"/>
        <v>PX385</v>
      </c>
      <c r="D33" t="str">
        <f t="shared" si="1"/>
        <v>INTERVAL_SUM</v>
      </c>
      <c r="E33" t="str">
        <f t="shared" si="2"/>
        <v>Dynamic</v>
      </c>
      <c r="F33">
        <f ca="1">IF(AND(ISNUMBER($F$102),$B$69=1),$F$102,HLOOKUP(INDIRECT(ADDRESS(2,COLUMN())),OFFSET($S$2,0,0,ROW()-1,13),ROW()-1,FALSE))</f>
        <v>2110900</v>
      </c>
      <c r="G33">
        <f ca="1">IF(AND(ISNUMBER($G$102),$B$69=1),$G$102,HLOOKUP(INDIRECT(ADDRESS(2,COLUMN())),OFFSET($S$2,0,0,ROW()-1,13),ROW()-1,FALSE))</f>
        <v>3019200</v>
      </c>
      <c r="H33">
        <f ca="1">IF(AND(ISNUMBER($H$102),$B$69=1),$H$102,HLOOKUP(INDIRECT(ADDRESS(2,COLUMN())),OFFSET($S$2,0,0,ROW()-1,13),ROW()-1,FALSE))</f>
        <v>2957900</v>
      </c>
      <c r="I33">
        <f ca="1">IF(AND(ISNUMBER($I$102),$B$69=1),$I$102,HLOOKUP(INDIRECT(ADDRESS(2,COLUMN())),OFFSET($S$2,0,0,ROW()-1,13),ROW()-1,FALSE))</f>
        <v>2626700</v>
      </c>
      <c r="J33">
        <f ca="1">IF(AND(ISNUMBER($J$102),$B$69=1),$J$102,HLOOKUP(INDIRECT(ADDRESS(2,COLUMN())),OFFSET($S$2,0,0,ROW()-1,13),ROW()-1,FALSE))</f>
        <v>2893200</v>
      </c>
      <c r="K33">
        <f ca="1">IF(AND(ISNUMBER($K$102),$B$69=1),$K$102,HLOOKUP(INDIRECT(ADDRESS(2,COLUMN())),OFFSET($S$2,0,0,ROW()-1,13),ROW()-1,FALSE))</f>
        <v>2977200</v>
      </c>
      <c r="L33">
        <f ca="1">IF(AND(ISNUMBER($L$102),$B$69=1),$L$102,HLOOKUP(INDIRECT(ADDRESS(2,COLUMN())),OFFSET($S$2,0,0,ROW()-1,13),ROW()-1,FALSE))</f>
        <v>2861200</v>
      </c>
      <c r="M33">
        <f ca="1">IF(AND(ISNUMBER($M$102),$B$69=1),$M$102,HLOOKUP(INDIRECT(ADDRESS(2,COLUMN())),OFFSET($S$2,0,0,ROW()-1,13),ROW()-1,FALSE))</f>
        <v>2872100</v>
      </c>
      <c r="N33">
        <f ca="1">IF(AND(ISNUMBER($N$102),$B$69=1),$N$102,HLOOKUP(INDIRECT(ADDRESS(2,COLUMN())),OFFSET($S$2,0,0,ROW()-1,13),ROW()-1,FALSE))</f>
        <v>2982200</v>
      </c>
      <c r="O33">
        <f ca="1">IF(AND(ISNUMBER($O$102),$B$69=1),$O$102,HLOOKUP(INDIRECT(ADDRESS(2,COLUMN())),OFFSET($S$2,0,0,ROW()-1,13),ROW()-1,FALSE))</f>
        <v>3063300</v>
      </c>
      <c r="P33">
        <f ca="1">IF(AND(ISNUMBER($P$102),$B$69=1),$P$102,HLOOKUP(INDIRECT(ADDRESS(2,COLUMN())),OFFSET($S$2,0,0,ROW()-1,13),ROW()-1,FALSE))</f>
        <v>3139500</v>
      </c>
      <c r="Q33">
        <f ca="1">IF(AND(ISNUMBER($Q$102),$B$69=1),$Q$102,HLOOKUP(INDIRECT(ADDRESS(2,COLUMN())),OFFSET($S$2,0,0,ROW()-1,13),ROW()-1,FALSE))</f>
        <v>1858000</v>
      </c>
      <c r="R33">
        <f ca="1">IF(AND(ISNUMBER($R$102),$B$69=1),$R$102,HLOOKUP(INDIRECT(ADDRESS(2,COLUMN())),OFFSET($S$2,0,0,ROW()-1,13),ROW()-1,FALSE))</f>
        <v>2010600</v>
      </c>
      <c r="S33">
        <f>2110900</f>
        <v>2110900</v>
      </c>
      <c r="T33">
        <f>3019200</f>
        <v>3019200</v>
      </c>
      <c r="U33">
        <f>2957900</f>
        <v>2957900</v>
      </c>
      <c r="V33">
        <f>2626700</f>
        <v>2626700</v>
      </c>
      <c r="W33">
        <f>2893200</f>
        <v>2893200</v>
      </c>
      <c r="X33">
        <f>2977200</f>
        <v>2977200</v>
      </c>
      <c r="Y33">
        <f>2861200</f>
        <v>2861200</v>
      </c>
      <c r="Z33">
        <f>2872100</f>
        <v>2872100</v>
      </c>
      <c r="AA33">
        <f>2982200</f>
        <v>2982200</v>
      </c>
      <c r="AB33">
        <f>3063300</f>
        <v>3063300</v>
      </c>
      <c r="AC33">
        <f>3139500</f>
        <v>3139500</v>
      </c>
      <c r="AD33">
        <f>1858000</f>
        <v>1858000</v>
      </c>
      <c r="AE33">
        <f>2010600</f>
        <v>2010600</v>
      </c>
    </row>
    <row r="34" spans="1:31" x14ac:dyDescent="0.25">
      <c r="A34" t="str">
        <f>"    North America - Indian Sub Cont. &amp; Middle East"</f>
        <v xml:space="preserve">    North America - Indian Sub Cont. &amp; Middle East</v>
      </c>
      <c r="B34" t="str">
        <f>"CSHVNIME Index"</f>
        <v>CSHVNIME Index</v>
      </c>
      <c r="C34" t="str">
        <f t="shared" si="0"/>
        <v>PX385</v>
      </c>
      <c r="D34" t="str">
        <f t="shared" si="1"/>
        <v>INTERVAL_SUM</v>
      </c>
      <c r="E34" t="str">
        <f t="shared" si="2"/>
        <v>Dynamic</v>
      </c>
      <c r="F34">
        <f ca="1">IF(AND(ISNUMBER($F$103),$B$69=1),$F$103,HLOOKUP(INDIRECT(ADDRESS(2,COLUMN())),OFFSET($S$2,0,0,ROW()-1,13),ROW()-1,FALSE))</f>
        <v>1200800</v>
      </c>
      <c r="G34">
        <f ca="1">IF(AND(ISNUMBER($G$103),$B$69=1),$G$103,HLOOKUP(INDIRECT(ADDRESS(2,COLUMN())),OFFSET($S$2,0,0,ROW()-1,13),ROW()-1,FALSE))</f>
        <v>1512500</v>
      </c>
      <c r="H34">
        <f ca="1">IF(AND(ISNUMBER($H$103),$B$69=1),$H$103,HLOOKUP(INDIRECT(ADDRESS(2,COLUMN())),OFFSET($S$2,0,0,ROW()-1,13),ROW()-1,FALSE))</f>
        <v>1412800</v>
      </c>
      <c r="I34">
        <f ca="1">IF(AND(ISNUMBER($I$103),$B$69=1),$I$103,HLOOKUP(INDIRECT(ADDRESS(2,COLUMN())),OFFSET($S$2,0,0,ROW()-1,13),ROW()-1,FALSE))</f>
        <v>1421000</v>
      </c>
      <c r="J34">
        <f ca="1">IF(AND(ISNUMBER($J$103),$B$69=1),$J$103,HLOOKUP(INDIRECT(ADDRESS(2,COLUMN())),OFFSET($S$2,0,0,ROW()-1,13),ROW()-1,FALSE))</f>
        <v>1676400</v>
      </c>
      <c r="K34">
        <f ca="1">IF(AND(ISNUMBER($K$103),$B$69=1),$K$103,HLOOKUP(INDIRECT(ADDRESS(2,COLUMN())),OFFSET($S$2,0,0,ROW()-1,13),ROW()-1,FALSE))</f>
        <v>1498700</v>
      </c>
      <c r="L34">
        <f ca="1">IF(AND(ISNUMBER($L$103),$B$69=1),$L$103,HLOOKUP(INDIRECT(ADDRESS(2,COLUMN())),OFFSET($S$2,0,0,ROW()-1,13),ROW()-1,FALSE))</f>
        <v>1277300</v>
      </c>
      <c r="M34">
        <f ca="1">IF(AND(ISNUMBER($M$103),$B$69=1),$M$103,HLOOKUP(INDIRECT(ADDRESS(2,COLUMN())),OFFSET($S$2,0,0,ROW()-1,13),ROW()-1,FALSE))</f>
        <v>1209800</v>
      </c>
      <c r="N34">
        <f ca="1">IF(AND(ISNUMBER($N$103),$B$69=1),$N$103,HLOOKUP(INDIRECT(ADDRESS(2,COLUMN())),OFFSET($S$2,0,0,ROW()-1,13),ROW()-1,FALSE))</f>
        <v>1148500</v>
      </c>
      <c r="O34">
        <f ca="1">IF(AND(ISNUMBER($O$103),$B$69=1),$O$103,HLOOKUP(INDIRECT(ADDRESS(2,COLUMN())),OFFSET($S$2,0,0,ROW()-1,13),ROW()-1,FALSE))</f>
        <v>1134400</v>
      </c>
      <c r="P34">
        <f ca="1">IF(AND(ISNUMBER($P$103),$B$69=1),$P$103,HLOOKUP(INDIRECT(ADDRESS(2,COLUMN())),OFFSET($S$2,0,0,ROW()-1,13),ROW()-1,FALSE))</f>
        <v>1149200</v>
      </c>
      <c r="Q34">
        <f ca="1">IF(AND(ISNUMBER($Q$103),$B$69=1),$Q$103,HLOOKUP(INDIRECT(ADDRESS(2,COLUMN())),OFFSET($S$2,0,0,ROW()-1,13),ROW()-1,FALSE))</f>
        <v>1045100</v>
      </c>
      <c r="R34">
        <f ca="1">IF(AND(ISNUMBER($R$103),$B$69=1),$R$103,HLOOKUP(INDIRECT(ADDRESS(2,COLUMN())),OFFSET($S$2,0,0,ROW()-1,13),ROW()-1,FALSE))</f>
        <v>1064300</v>
      </c>
      <c r="S34">
        <f>1200800</f>
        <v>1200800</v>
      </c>
      <c r="T34">
        <f>1512500</f>
        <v>1512500</v>
      </c>
      <c r="U34">
        <f>1412800</f>
        <v>1412800</v>
      </c>
      <c r="V34">
        <f>1421000</f>
        <v>1421000</v>
      </c>
      <c r="W34">
        <f>1676400</f>
        <v>1676400</v>
      </c>
      <c r="X34">
        <f>1498700</f>
        <v>1498700</v>
      </c>
      <c r="Y34">
        <f>1277300</f>
        <v>1277300</v>
      </c>
      <c r="Z34">
        <f>1209800</f>
        <v>1209800</v>
      </c>
      <c r="AA34">
        <f>1148500</f>
        <v>1148500</v>
      </c>
      <c r="AB34">
        <f>1134400</f>
        <v>1134400</v>
      </c>
      <c r="AC34">
        <f>1149200</f>
        <v>1149200</v>
      </c>
      <c r="AD34">
        <f>1045100</f>
        <v>1045100</v>
      </c>
      <c r="AE34">
        <f>1064300</f>
        <v>1064300</v>
      </c>
    </row>
    <row r="35" spans="1:31" x14ac:dyDescent="0.25">
      <c r="A35" t="str">
        <f>"    North America - Sub Saharan Africa"</f>
        <v xml:space="preserve">    North America - Sub Saharan Africa</v>
      </c>
      <c r="B35" t="str">
        <f>"CSHVNSSA Index"</f>
        <v>CSHVNSSA Index</v>
      </c>
      <c r="C35" t="str">
        <f t="shared" si="0"/>
        <v>PX385</v>
      </c>
      <c r="D35" t="str">
        <f t="shared" si="1"/>
        <v>INTERVAL_SUM</v>
      </c>
      <c r="E35" t="str">
        <f t="shared" si="2"/>
        <v>Dynamic</v>
      </c>
      <c r="F35">
        <f ca="1">IF(AND(ISNUMBER($F$104),$B$69=1),$F$104,HLOOKUP(INDIRECT(ADDRESS(2,COLUMN())),OFFSET($S$2,0,0,ROW()-1,13),ROW()-1,FALSE))</f>
        <v>226700</v>
      </c>
      <c r="G35">
        <f ca="1">IF(AND(ISNUMBER($G$104),$B$69=1),$G$104,HLOOKUP(INDIRECT(ADDRESS(2,COLUMN())),OFFSET($S$2,0,0,ROW()-1,13),ROW()-1,FALSE))</f>
        <v>311900</v>
      </c>
      <c r="H35">
        <f ca="1">IF(AND(ISNUMBER($H$104),$B$69=1),$H$104,HLOOKUP(INDIRECT(ADDRESS(2,COLUMN())),OFFSET($S$2,0,0,ROW()-1,13),ROW()-1,FALSE))</f>
        <v>360400</v>
      </c>
      <c r="I35">
        <f ca="1">IF(AND(ISNUMBER($I$104),$B$69=1),$I$104,HLOOKUP(INDIRECT(ADDRESS(2,COLUMN())),OFFSET($S$2,0,0,ROW()-1,13),ROW()-1,FALSE))</f>
        <v>350000</v>
      </c>
      <c r="J35">
        <f ca="1">IF(AND(ISNUMBER($J$104),$B$69=1),$J$104,HLOOKUP(INDIRECT(ADDRESS(2,COLUMN())),OFFSET($S$2,0,0,ROW()-1,13),ROW()-1,FALSE))</f>
        <v>378300</v>
      </c>
      <c r="K35">
        <f ca="1">IF(AND(ISNUMBER($K$104),$B$69=1),$K$104,HLOOKUP(INDIRECT(ADDRESS(2,COLUMN())),OFFSET($S$2,0,0,ROW()-1,13),ROW()-1,FALSE))</f>
        <v>334400</v>
      </c>
      <c r="L35">
        <f ca="1">IF(AND(ISNUMBER($L$104),$B$69=1),$L$104,HLOOKUP(INDIRECT(ADDRESS(2,COLUMN())),OFFSET($S$2,0,0,ROW()-1,13),ROW()-1,FALSE))</f>
        <v>304800</v>
      </c>
      <c r="M35">
        <f ca="1">IF(AND(ISNUMBER($M$104),$B$69=1),$M$104,HLOOKUP(INDIRECT(ADDRESS(2,COLUMN())),OFFSET($S$2,0,0,ROW()-1,13),ROW()-1,FALSE))</f>
        <v>296100</v>
      </c>
      <c r="N35">
        <f ca="1">IF(AND(ISNUMBER($N$104),$B$69=1),$N$104,HLOOKUP(INDIRECT(ADDRESS(2,COLUMN())),OFFSET($S$2,0,0,ROW()-1,13),ROW()-1,FALSE))</f>
        <v>296900</v>
      </c>
      <c r="O35">
        <f ca="1">IF(AND(ISNUMBER($O$104),$B$69=1),$O$104,HLOOKUP(INDIRECT(ADDRESS(2,COLUMN())),OFFSET($S$2,0,0,ROW()-1,13),ROW()-1,FALSE))</f>
        <v>315300</v>
      </c>
      <c r="P35">
        <f ca="1">IF(AND(ISNUMBER($P$104),$B$69=1),$P$104,HLOOKUP(INDIRECT(ADDRESS(2,COLUMN())),OFFSET($S$2,0,0,ROW()-1,13),ROW()-1,FALSE))</f>
        <v>324700</v>
      </c>
      <c r="Q35">
        <f ca="1">IF(AND(ISNUMBER($Q$104),$B$69=1),$Q$104,HLOOKUP(INDIRECT(ADDRESS(2,COLUMN())),OFFSET($S$2,0,0,ROW()-1,13),ROW()-1,FALSE))</f>
        <v>373600</v>
      </c>
      <c r="R35">
        <f ca="1">IF(AND(ISNUMBER($R$104),$B$69=1),$R$104,HLOOKUP(INDIRECT(ADDRESS(2,COLUMN())),OFFSET($S$2,0,0,ROW()-1,13),ROW()-1,FALSE))</f>
        <v>369800</v>
      </c>
      <c r="S35">
        <f>226700</f>
        <v>226700</v>
      </c>
      <c r="T35">
        <f>311900</f>
        <v>311900</v>
      </c>
      <c r="U35">
        <f>360400</f>
        <v>360400</v>
      </c>
      <c r="V35">
        <f>350000</f>
        <v>350000</v>
      </c>
      <c r="W35">
        <f>378300</f>
        <v>378300</v>
      </c>
      <c r="X35">
        <f>334400</f>
        <v>334400</v>
      </c>
      <c r="Y35">
        <f>304800</f>
        <v>304800</v>
      </c>
      <c r="Z35">
        <f>296100</f>
        <v>296100</v>
      </c>
      <c r="AA35">
        <f>296900</f>
        <v>296900</v>
      </c>
      <c r="AB35">
        <f>315300</f>
        <v>315300</v>
      </c>
      <c r="AC35">
        <f>324700</f>
        <v>324700</v>
      </c>
      <c r="AD35">
        <f>373600</f>
        <v>373600</v>
      </c>
      <c r="AE35">
        <f>369800</f>
        <v>369800</v>
      </c>
    </row>
    <row r="36" spans="1:31" x14ac:dyDescent="0.25">
      <c r="A36" t="str">
        <f>"    North America - North America"</f>
        <v xml:space="preserve">    North America - North America</v>
      </c>
      <c r="B36" t="str">
        <f>"CSHVNNAR Index"</f>
        <v>CSHVNNAR Index</v>
      </c>
      <c r="C36" t="str">
        <f t="shared" ref="C36:C52" si="3">"PX385"</f>
        <v>PX385</v>
      </c>
      <c r="D36" t="str">
        <f t="shared" ref="D36:D52" si="4">"INTERVAL_SUM"</f>
        <v>INTERVAL_SUM</v>
      </c>
      <c r="E36" t="str">
        <f t="shared" ref="E36:E52" si="5">"Dynamic"</f>
        <v>Dynamic</v>
      </c>
      <c r="F36">
        <f ca="1">IF(AND(ISNUMBER($F$105),$B$69=1),$F$105,HLOOKUP(INDIRECT(ADDRESS(2,COLUMN())),OFFSET($S$2,0,0,ROW()-1,13),ROW()-1,FALSE))</f>
        <v>167100</v>
      </c>
      <c r="G36">
        <f ca="1">IF(AND(ISNUMBER($G$105),$B$69=1),$G$105,HLOOKUP(INDIRECT(ADDRESS(2,COLUMN())),OFFSET($S$2,0,0,ROW()-1,13),ROW()-1,FALSE))</f>
        <v>261900</v>
      </c>
      <c r="H36">
        <f ca="1">IF(AND(ISNUMBER($H$105),$B$69=1),$H$105,HLOOKUP(INDIRECT(ADDRESS(2,COLUMN())),OFFSET($S$2,0,0,ROW()-1,13),ROW()-1,FALSE))</f>
        <v>301100</v>
      </c>
      <c r="I36">
        <f ca="1">IF(AND(ISNUMBER($I$105),$B$69=1),$I$105,HLOOKUP(INDIRECT(ADDRESS(2,COLUMN())),OFFSET($S$2,0,0,ROW()-1,13),ROW()-1,FALSE))</f>
        <v>305500</v>
      </c>
      <c r="J36">
        <f ca="1">IF(AND(ISNUMBER($J$105),$B$69=1),$J$105,HLOOKUP(INDIRECT(ADDRESS(2,COLUMN())),OFFSET($S$2,0,0,ROW()-1,13),ROW()-1,FALSE))</f>
        <v>331000</v>
      </c>
      <c r="K36">
        <f ca="1">IF(AND(ISNUMBER($K$105),$B$69=1),$K$105,HLOOKUP(INDIRECT(ADDRESS(2,COLUMN())),OFFSET($S$2,0,0,ROW()-1,13),ROW()-1,FALSE))</f>
        <v>319100</v>
      </c>
      <c r="L36">
        <f ca="1">IF(AND(ISNUMBER($L$105),$B$69=1),$L$105,HLOOKUP(INDIRECT(ADDRESS(2,COLUMN())),OFFSET($S$2,0,0,ROW()-1,13),ROW()-1,FALSE))</f>
        <v>291600</v>
      </c>
      <c r="M36">
        <f ca="1">IF(AND(ISNUMBER($M$105),$B$69=1),$M$105,HLOOKUP(INDIRECT(ADDRESS(2,COLUMN())),OFFSET($S$2,0,0,ROW()-1,13),ROW()-1,FALSE))</f>
        <v>266400</v>
      </c>
      <c r="N36">
        <f ca="1">IF(AND(ISNUMBER($N$105),$B$69=1),$N$105,HLOOKUP(INDIRECT(ADDRESS(2,COLUMN())),OFFSET($S$2,0,0,ROW()-1,13),ROW()-1,FALSE))</f>
        <v>246100</v>
      </c>
      <c r="O36">
        <f ca="1">IF(AND(ISNUMBER($O$105),$B$69=1),$O$105,HLOOKUP(INDIRECT(ADDRESS(2,COLUMN())),OFFSET($S$2,0,0,ROW()-1,13),ROW()-1,FALSE))</f>
        <v>236600</v>
      </c>
      <c r="P36">
        <f ca="1">IF(AND(ISNUMBER($P$105),$B$69=1),$P$105,HLOOKUP(INDIRECT(ADDRESS(2,COLUMN())),OFFSET($S$2,0,0,ROW()-1,13),ROW()-1,FALSE))</f>
        <v>237600</v>
      </c>
      <c r="Q36">
        <f ca="1">IF(AND(ISNUMBER($Q$105),$B$69=1),$Q$105,HLOOKUP(INDIRECT(ADDRESS(2,COLUMN())),OFFSET($S$2,0,0,ROW()-1,13),ROW()-1,FALSE))</f>
        <v>476300</v>
      </c>
      <c r="R36">
        <f ca="1">IF(AND(ISNUMBER($R$105),$B$69=1),$R$105,HLOOKUP(INDIRECT(ADDRESS(2,COLUMN())),OFFSET($S$2,0,0,ROW()-1,13),ROW()-1,FALSE))</f>
        <v>416300</v>
      </c>
      <c r="S36">
        <f>167100</f>
        <v>167100</v>
      </c>
      <c r="T36">
        <f>261900</f>
        <v>261900</v>
      </c>
      <c r="U36">
        <f>301100</f>
        <v>301100</v>
      </c>
      <c r="V36">
        <f>305500</f>
        <v>305500</v>
      </c>
      <c r="W36">
        <f>331000</f>
        <v>331000</v>
      </c>
      <c r="X36">
        <f>319100</f>
        <v>319100</v>
      </c>
      <c r="Y36">
        <f>291600</f>
        <v>291600</v>
      </c>
      <c r="Z36">
        <f>266400</f>
        <v>266400</v>
      </c>
      <c r="AA36">
        <f>246100</f>
        <v>246100</v>
      </c>
      <c r="AB36">
        <f>236600</f>
        <v>236600</v>
      </c>
      <c r="AC36">
        <f>237600</f>
        <v>237600</v>
      </c>
      <c r="AD36">
        <f>476300</f>
        <v>476300</v>
      </c>
      <c r="AE36">
        <f>416300</f>
        <v>416300</v>
      </c>
    </row>
    <row r="37" spans="1:31" x14ac:dyDescent="0.25">
      <c r="A37" t="str">
        <f>"    North America - Asia"</f>
        <v xml:space="preserve">    North America - Asia</v>
      </c>
      <c r="B37" t="str">
        <f>"CSHVNASR Index"</f>
        <v>CSHVNASR Index</v>
      </c>
      <c r="C37" t="str">
        <f t="shared" si="3"/>
        <v>PX385</v>
      </c>
      <c r="D37" t="str">
        <f t="shared" si="4"/>
        <v>INTERVAL_SUM</v>
      </c>
      <c r="E37" t="str">
        <f t="shared" si="5"/>
        <v>Dynamic</v>
      </c>
      <c r="F37">
        <f ca="1">IF(AND(ISNUMBER($F$106),$B$69=1),$F$106,HLOOKUP(INDIRECT(ADDRESS(2,COLUMN())),OFFSET($S$2,0,0,ROW()-1,13),ROW()-1,FALSE))</f>
        <v>4538100</v>
      </c>
      <c r="G37">
        <f ca="1">IF(AND(ISNUMBER($G$106),$B$69=1),$G$106,HLOOKUP(INDIRECT(ADDRESS(2,COLUMN())),OFFSET($S$2,0,0,ROW()-1,13),ROW()-1,FALSE))</f>
        <v>6005900</v>
      </c>
      <c r="H37">
        <f ca="1">IF(AND(ISNUMBER($H$106),$B$69=1),$H$106,HLOOKUP(INDIRECT(ADDRESS(2,COLUMN())),OFFSET($S$2,0,0,ROW()-1,13),ROW()-1,FALSE))</f>
        <v>6377600</v>
      </c>
      <c r="I37">
        <f ca="1">IF(AND(ISNUMBER($I$106),$B$69=1),$I$106,HLOOKUP(INDIRECT(ADDRESS(2,COLUMN())),OFFSET($S$2,0,0,ROW()-1,13),ROW()-1,FALSE))</f>
        <v>7304400</v>
      </c>
      <c r="J37">
        <f ca="1">IF(AND(ISNUMBER($J$106),$B$69=1),$J$106,HLOOKUP(INDIRECT(ADDRESS(2,COLUMN())),OFFSET($S$2,0,0,ROW()-1,13),ROW()-1,FALSE))</f>
        <v>7448200</v>
      </c>
      <c r="K37">
        <f ca="1">IF(AND(ISNUMBER($K$106),$B$69=1),$K$106,HLOOKUP(INDIRECT(ADDRESS(2,COLUMN())),OFFSET($S$2,0,0,ROW()-1,13),ROW()-1,FALSE))</f>
        <v>7514000</v>
      </c>
      <c r="L37">
        <f ca="1">IF(AND(ISNUMBER($L$106),$B$69=1),$L$106,HLOOKUP(INDIRECT(ADDRESS(2,COLUMN())),OFFSET($S$2,0,0,ROW()-1,13),ROW()-1,FALSE))</f>
        <v>7997400</v>
      </c>
      <c r="M37">
        <f ca="1">IF(AND(ISNUMBER($M$106),$B$69=1),$M$106,HLOOKUP(INDIRECT(ADDRESS(2,COLUMN())),OFFSET($S$2,0,0,ROW()-1,13),ROW()-1,FALSE))</f>
        <v>7861000</v>
      </c>
      <c r="N37">
        <f ca="1">IF(AND(ISNUMBER($N$106),$B$69=1),$N$106,HLOOKUP(INDIRECT(ADDRESS(2,COLUMN())),OFFSET($S$2,0,0,ROW()-1,13),ROW()-1,FALSE))</f>
        <v>7304700</v>
      </c>
      <c r="O37">
        <f ca="1">IF(AND(ISNUMBER($O$106),$B$69=1),$O$106,HLOOKUP(INDIRECT(ADDRESS(2,COLUMN())),OFFSET($S$2,0,0,ROW()-1,13),ROW()-1,FALSE))</f>
        <v>7568600</v>
      </c>
      <c r="P37">
        <f ca="1">IF(AND(ISNUMBER($P$106),$B$69=1),$P$106,HLOOKUP(INDIRECT(ADDRESS(2,COLUMN())),OFFSET($S$2,0,0,ROW()-1,13),ROW()-1,FALSE))</f>
        <v>7895600</v>
      </c>
      <c r="Q37">
        <f ca="1">IF(AND(ISNUMBER($Q$106),$B$69=1),$Q$106,HLOOKUP(INDIRECT(ADDRESS(2,COLUMN())),OFFSET($S$2,0,0,ROW()-1,13),ROW()-1,FALSE))</f>
        <v>7760600</v>
      </c>
      <c r="R37">
        <f ca="1">IF(AND(ISNUMBER($R$106),$B$69=1),$R$106,HLOOKUP(INDIRECT(ADDRESS(2,COLUMN())),OFFSET($S$2,0,0,ROW()-1,13),ROW()-1,FALSE))</f>
        <v>7828600</v>
      </c>
      <c r="S37">
        <f>4538100</f>
        <v>4538100</v>
      </c>
      <c r="T37">
        <f>6005900</f>
        <v>6005900</v>
      </c>
      <c r="U37">
        <f>6377600</f>
        <v>6377600</v>
      </c>
      <c r="V37">
        <f>7304400</f>
        <v>7304400</v>
      </c>
      <c r="W37">
        <f>7448200</f>
        <v>7448200</v>
      </c>
      <c r="X37">
        <f>7514000</f>
        <v>7514000</v>
      </c>
      <c r="Y37">
        <f>7997400</f>
        <v>7997400</v>
      </c>
      <c r="Z37">
        <f>7861000</f>
        <v>7861000</v>
      </c>
      <c r="AA37">
        <f>7304700</f>
        <v>7304700</v>
      </c>
      <c r="AB37">
        <f>7568600</f>
        <v>7568600</v>
      </c>
      <c r="AC37">
        <f>7895600</f>
        <v>7895600</v>
      </c>
      <c r="AD37">
        <f>7760600</f>
        <v>7760600</v>
      </c>
      <c r="AE37">
        <f>7828600</f>
        <v>7828600</v>
      </c>
    </row>
    <row r="38" spans="1:31" x14ac:dyDescent="0.25">
      <c r="A38" t="str">
        <f>"    North America - Australasia &amp; Oceania"</f>
        <v xml:space="preserve">    North America - Australasia &amp; Oceania</v>
      </c>
      <c r="B38" t="str">
        <f>"CSHVNAUO Index"</f>
        <v>CSHVNAUO Index</v>
      </c>
      <c r="C38" t="str">
        <f t="shared" si="3"/>
        <v>PX385</v>
      </c>
      <c r="D38" t="str">
        <f t="shared" si="4"/>
        <v>INTERVAL_SUM</v>
      </c>
      <c r="E38" t="str">
        <f t="shared" si="5"/>
        <v>Dynamic</v>
      </c>
      <c r="F38">
        <f ca="1">IF(AND(ISNUMBER($F$107),$B$69=1),$F$107,HLOOKUP(INDIRECT(ADDRESS(2,COLUMN())),OFFSET($S$2,0,0,ROW()-1,13),ROW()-1,FALSE))</f>
        <v>199500</v>
      </c>
      <c r="G38">
        <f ca="1">IF(AND(ISNUMBER($G$107),$B$69=1),$G$107,HLOOKUP(INDIRECT(ADDRESS(2,COLUMN())),OFFSET($S$2,0,0,ROW()-1,13),ROW()-1,FALSE))</f>
        <v>334000</v>
      </c>
      <c r="H38">
        <f ca="1">IF(AND(ISNUMBER($H$107),$B$69=1),$H$107,HLOOKUP(INDIRECT(ADDRESS(2,COLUMN())),OFFSET($S$2,0,0,ROW()-1,13),ROW()-1,FALSE))</f>
        <v>324600</v>
      </c>
      <c r="I38">
        <f ca="1">IF(AND(ISNUMBER($I$107),$B$69=1),$I$107,HLOOKUP(INDIRECT(ADDRESS(2,COLUMN())),OFFSET($S$2,0,0,ROW()-1,13),ROW()-1,FALSE))</f>
        <v>331500</v>
      </c>
      <c r="J38">
        <f ca="1">IF(AND(ISNUMBER($J$107),$B$69=1),$J$107,HLOOKUP(INDIRECT(ADDRESS(2,COLUMN())),OFFSET($S$2,0,0,ROW()-1,13),ROW()-1,FALSE))</f>
        <v>344600</v>
      </c>
      <c r="K38">
        <f ca="1">IF(AND(ISNUMBER($K$107),$B$69=1),$K$107,HLOOKUP(INDIRECT(ADDRESS(2,COLUMN())),OFFSET($S$2,0,0,ROW()-1,13),ROW()-1,FALSE))</f>
        <v>340800</v>
      </c>
      <c r="L38">
        <f ca="1">IF(AND(ISNUMBER($L$107),$B$69=1),$L$107,HLOOKUP(INDIRECT(ADDRESS(2,COLUMN())),OFFSET($S$2,0,0,ROW()-1,13),ROW()-1,FALSE))</f>
        <v>352100</v>
      </c>
      <c r="M38">
        <f ca="1">IF(AND(ISNUMBER($M$107),$B$69=1),$M$107,HLOOKUP(INDIRECT(ADDRESS(2,COLUMN())),OFFSET($S$2,0,0,ROW()-1,13),ROW()-1,FALSE))</f>
        <v>367300</v>
      </c>
      <c r="N38">
        <f ca="1">IF(AND(ISNUMBER($N$107),$B$69=1),$N$107,HLOOKUP(INDIRECT(ADDRESS(2,COLUMN())),OFFSET($S$2,0,0,ROW()-1,13),ROW()-1,FALSE))</f>
        <v>370600</v>
      </c>
      <c r="O38">
        <f ca="1">IF(AND(ISNUMBER($O$107),$B$69=1),$O$107,HLOOKUP(INDIRECT(ADDRESS(2,COLUMN())),OFFSET($S$2,0,0,ROW()-1,13),ROW()-1,FALSE))</f>
        <v>403000</v>
      </c>
      <c r="P38">
        <f ca="1">IF(AND(ISNUMBER($P$107),$B$69=1),$P$107,HLOOKUP(INDIRECT(ADDRESS(2,COLUMN())),OFFSET($S$2,0,0,ROW()-1,13),ROW()-1,FALSE))</f>
        <v>397600</v>
      </c>
      <c r="Q38">
        <f ca="1">IF(AND(ISNUMBER($Q$107),$B$69=1),$Q$107,HLOOKUP(INDIRECT(ADDRESS(2,COLUMN())),OFFSET($S$2,0,0,ROW()-1,13),ROW()-1,FALSE))</f>
        <v>325700</v>
      </c>
      <c r="R38">
        <f ca="1">IF(AND(ISNUMBER($R$107),$B$69=1),$R$107,HLOOKUP(INDIRECT(ADDRESS(2,COLUMN())),OFFSET($S$2,0,0,ROW()-1,13),ROW()-1,FALSE))</f>
        <v>320300</v>
      </c>
      <c r="S38">
        <f>199500</f>
        <v>199500</v>
      </c>
      <c r="T38">
        <f>334000</f>
        <v>334000</v>
      </c>
      <c r="U38">
        <f>324600</f>
        <v>324600</v>
      </c>
      <c r="V38">
        <f>331500</f>
        <v>331500</v>
      </c>
      <c r="W38">
        <f>344600</f>
        <v>344600</v>
      </c>
      <c r="X38">
        <f>340800</f>
        <v>340800</v>
      </c>
      <c r="Y38">
        <f>352100</f>
        <v>352100</v>
      </c>
      <c r="Z38">
        <f>367300</f>
        <v>367300</v>
      </c>
      <c r="AA38">
        <f>370600</f>
        <v>370600</v>
      </c>
      <c r="AB38">
        <f>403000</f>
        <v>403000</v>
      </c>
      <c r="AC38">
        <f>397600</f>
        <v>397600</v>
      </c>
      <c r="AD38">
        <f>325700</f>
        <v>325700</v>
      </c>
      <c r="AE38">
        <f>320300</f>
        <v>320300</v>
      </c>
    </row>
    <row r="39" spans="1:31" x14ac:dyDescent="0.25">
      <c r="A39" t="str">
        <f>"    South &amp; Central America - South &amp; Central America"</f>
        <v xml:space="preserve">    South &amp; Central America - South &amp; Central America</v>
      </c>
      <c r="B39" t="str">
        <f>"CSHVCSCA Index"</f>
        <v>CSHVCSCA Index</v>
      </c>
      <c r="C39" t="str">
        <f t="shared" si="3"/>
        <v>PX385</v>
      </c>
      <c r="D39" t="str">
        <f t="shared" si="4"/>
        <v>INTERVAL_SUM</v>
      </c>
      <c r="E39" t="str">
        <f t="shared" si="5"/>
        <v>Dynamic</v>
      </c>
      <c r="F39">
        <f ca="1">IF(AND(ISNUMBER($F$108),$B$69=1),$F$108,HLOOKUP(INDIRECT(ADDRESS(2,COLUMN())),OFFSET($S$2,0,0,ROW()-1,13),ROW()-1,FALSE))</f>
        <v>1107300</v>
      </c>
      <c r="G39">
        <f ca="1">IF(AND(ISNUMBER($G$108),$B$69=1),$G$108,HLOOKUP(INDIRECT(ADDRESS(2,COLUMN())),OFFSET($S$2,0,0,ROW()-1,13),ROW()-1,FALSE))</f>
        <v>1480500</v>
      </c>
      <c r="H39">
        <f ca="1">IF(AND(ISNUMBER($H$108),$B$69=1),$H$108,HLOOKUP(INDIRECT(ADDRESS(2,COLUMN())),OFFSET($S$2,0,0,ROW()-1,13),ROW()-1,FALSE))</f>
        <v>1585900</v>
      </c>
      <c r="I39">
        <f ca="1">IF(AND(ISNUMBER($I$108),$B$69=1),$I$108,HLOOKUP(INDIRECT(ADDRESS(2,COLUMN())),OFFSET($S$2,0,0,ROW()-1,13),ROW()-1,FALSE))</f>
        <v>1481200</v>
      </c>
      <c r="J39">
        <f ca="1">IF(AND(ISNUMBER($J$108),$B$69=1),$J$108,HLOOKUP(INDIRECT(ADDRESS(2,COLUMN())),OFFSET($S$2,0,0,ROW()-1,13),ROW()-1,FALSE))</f>
        <v>1841800</v>
      </c>
      <c r="K39">
        <f ca="1">IF(AND(ISNUMBER($K$108),$B$69=1),$K$108,HLOOKUP(INDIRECT(ADDRESS(2,COLUMN())),OFFSET($S$2,0,0,ROW()-1,13),ROW()-1,FALSE))</f>
        <v>1823000</v>
      </c>
      <c r="L39">
        <f ca="1">IF(AND(ISNUMBER($L$108),$B$69=1),$L$108,HLOOKUP(INDIRECT(ADDRESS(2,COLUMN())),OFFSET($S$2,0,0,ROW()-1,13),ROW()-1,FALSE))</f>
        <v>1735400</v>
      </c>
      <c r="M39">
        <f ca="1">IF(AND(ISNUMBER($M$108),$B$69=1),$M$108,HLOOKUP(INDIRECT(ADDRESS(2,COLUMN())),OFFSET($S$2,0,0,ROW()-1,13),ROW()-1,FALSE))</f>
        <v>1550400</v>
      </c>
      <c r="N39">
        <f ca="1">IF(AND(ISNUMBER($N$108),$B$69=1),$N$108,HLOOKUP(INDIRECT(ADDRESS(2,COLUMN())),OFFSET($S$2,0,0,ROW()-1,13),ROW()-1,FALSE))</f>
        <v>1523400</v>
      </c>
      <c r="O39">
        <f ca="1">IF(AND(ISNUMBER($O$108),$B$69=1),$O$108,HLOOKUP(INDIRECT(ADDRESS(2,COLUMN())),OFFSET($S$2,0,0,ROW()-1,13),ROW()-1,FALSE))</f>
        <v>1483400</v>
      </c>
      <c r="P39">
        <f ca="1">IF(AND(ISNUMBER($P$108),$B$69=1),$P$108,HLOOKUP(INDIRECT(ADDRESS(2,COLUMN())),OFFSET($S$2,0,0,ROW()-1,13),ROW()-1,FALSE))</f>
        <v>1427400</v>
      </c>
      <c r="Q39">
        <f ca="1">IF(AND(ISNUMBER($Q$108),$B$69=1),$Q$108,HLOOKUP(INDIRECT(ADDRESS(2,COLUMN())),OFFSET($S$2,0,0,ROW()-1,13),ROW()-1,FALSE))</f>
        <v>1300500</v>
      </c>
      <c r="R39">
        <f ca="1">IF(AND(ISNUMBER($R$108),$B$69=1),$R$108,HLOOKUP(INDIRECT(ADDRESS(2,COLUMN())),OFFSET($S$2,0,0,ROW()-1,13),ROW()-1,FALSE))</f>
        <v>1274000</v>
      </c>
      <c r="S39">
        <f>1107300</f>
        <v>1107300</v>
      </c>
      <c r="T39">
        <f>1480500</f>
        <v>1480500</v>
      </c>
      <c r="U39">
        <f>1585900</f>
        <v>1585900</v>
      </c>
      <c r="V39">
        <f>1481200</f>
        <v>1481200</v>
      </c>
      <c r="W39">
        <f>1841800</f>
        <v>1841800</v>
      </c>
      <c r="X39">
        <f>1823000</f>
        <v>1823000</v>
      </c>
      <c r="Y39">
        <f>1735400</f>
        <v>1735400</v>
      </c>
      <c r="Z39">
        <f>1550400</f>
        <v>1550400</v>
      </c>
      <c r="AA39">
        <f>1523400</f>
        <v>1523400</v>
      </c>
      <c r="AB39">
        <f>1483400</f>
        <v>1483400</v>
      </c>
      <c r="AC39">
        <f>1427400</f>
        <v>1427400</v>
      </c>
      <c r="AD39">
        <f>1300500</f>
        <v>1300500</v>
      </c>
      <c r="AE39">
        <f>1274000</f>
        <v>1274000</v>
      </c>
    </row>
    <row r="40" spans="1:31" x14ac:dyDescent="0.25">
      <c r="A40" t="str">
        <f>"    South &amp; Central America - Indian Sub Cont. &amp; Middle East"</f>
        <v xml:space="preserve">    South &amp; Central America - Indian Sub Cont. &amp; Middle East</v>
      </c>
      <c r="B40" t="str">
        <f>"CSHVCIME Index"</f>
        <v>CSHVCIME Index</v>
      </c>
      <c r="C40" t="str">
        <f t="shared" si="3"/>
        <v>PX385</v>
      </c>
      <c r="D40" t="str">
        <f t="shared" si="4"/>
        <v>INTERVAL_SUM</v>
      </c>
      <c r="E40" t="str">
        <f t="shared" si="5"/>
        <v>Dynamic</v>
      </c>
      <c r="F40">
        <f ca="1">IF(AND(ISNUMBER($F$109),$B$69=1),$F$109,HLOOKUP(INDIRECT(ADDRESS(2,COLUMN())),OFFSET($S$2,0,0,ROW()-1,13),ROW()-1,FALSE))</f>
        <v>358400</v>
      </c>
      <c r="G40">
        <f ca="1">IF(AND(ISNUMBER($G$109),$B$69=1),$G$109,HLOOKUP(INDIRECT(ADDRESS(2,COLUMN())),OFFSET($S$2,0,0,ROW()-1,13),ROW()-1,FALSE))</f>
        <v>440200</v>
      </c>
      <c r="H40">
        <f ca="1">IF(AND(ISNUMBER($H$109),$B$69=1),$H$109,HLOOKUP(INDIRECT(ADDRESS(2,COLUMN())),OFFSET($S$2,0,0,ROW()-1,13),ROW()-1,FALSE))</f>
        <v>435000</v>
      </c>
      <c r="I40">
        <f ca="1">IF(AND(ISNUMBER($I$109),$B$69=1),$I$109,HLOOKUP(INDIRECT(ADDRESS(2,COLUMN())),OFFSET($S$2,0,0,ROW()-1,13),ROW()-1,FALSE))</f>
        <v>455800</v>
      </c>
      <c r="J40">
        <f ca="1">IF(AND(ISNUMBER($J$109),$B$69=1),$J$109,HLOOKUP(INDIRECT(ADDRESS(2,COLUMN())),OFFSET($S$2,0,0,ROW()-1,13),ROW()-1,FALSE))</f>
        <v>434500</v>
      </c>
      <c r="K40">
        <f ca="1">IF(AND(ISNUMBER($K$109),$B$69=1),$K$109,HLOOKUP(INDIRECT(ADDRESS(2,COLUMN())),OFFSET($S$2,0,0,ROW()-1,13),ROW()-1,FALSE))</f>
        <v>415000</v>
      </c>
      <c r="L40">
        <f ca="1">IF(AND(ISNUMBER($L$109),$B$69=1),$L$109,HLOOKUP(INDIRECT(ADDRESS(2,COLUMN())),OFFSET($S$2,0,0,ROW()-1,13),ROW()-1,FALSE))</f>
        <v>446900</v>
      </c>
      <c r="M40">
        <f ca="1">IF(AND(ISNUMBER($M$109),$B$69=1),$M$109,HLOOKUP(INDIRECT(ADDRESS(2,COLUMN())),OFFSET($S$2,0,0,ROW()-1,13),ROW()-1,FALSE))</f>
        <v>460900</v>
      </c>
      <c r="N40">
        <f ca="1">IF(AND(ISNUMBER($N$109),$B$69=1),$N$109,HLOOKUP(INDIRECT(ADDRESS(2,COLUMN())),OFFSET($S$2,0,0,ROW()-1,13),ROW()-1,FALSE))</f>
        <v>391700</v>
      </c>
      <c r="O40">
        <f ca="1">IF(AND(ISNUMBER($O$109),$B$69=1),$O$109,HLOOKUP(INDIRECT(ADDRESS(2,COLUMN())),OFFSET($S$2,0,0,ROW()-1,13),ROW()-1,FALSE))</f>
        <v>320900</v>
      </c>
      <c r="P40">
        <f ca="1">IF(AND(ISNUMBER($P$109),$B$69=1),$P$109,HLOOKUP(INDIRECT(ADDRESS(2,COLUMN())),OFFSET($S$2,0,0,ROW()-1,13),ROW()-1,FALSE))</f>
        <v>284300</v>
      </c>
      <c r="Q40">
        <f ca="1">IF(AND(ISNUMBER($Q$109),$B$69=1),$Q$109,HLOOKUP(INDIRECT(ADDRESS(2,COLUMN())),OFFSET($S$2,0,0,ROW()-1,13),ROW()-1,FALSE))</f>
        <v>294700</v>
      </c>
      <c r="R40">
        <f ca="1">IF(AND(ISNUMBER($R$109),$B$69=1),$R$109,HLOOKUP(INDIRECT(ADDRESS(2,COLUMN())),OFFSET($S$2,0,0,ROW()-1,13),ROW()-1,FALSE))</f>
        <v>281200</v>
      </c>
      <c r="S40">
        <f>358400</f>
        <v>358400</v>
      </c>
      <c r="T40">
        <f>440200</f>
        <v>440200</v>
      </c>
      <c r="U40">
        <f>435000</f>
        <v>435000</v>
      </c>
      <c r="V40">
        <f>455800</f>
        <v>455800</v>
      </c>
      <c r="W40">
        <f>434500</f>
        <v>434500</v>
      </c>
      <c r="X40">
        <f>415000</f>
        <v>415000</v>
      </c>
      <c r="Y40">
        <f>446900</f>
        <v>446900</v>
      </c>
      <c r="Z40">
        <f>460900</f>
        <v>460900</v>
      </c>
      <c r="AA40">
        <f>391700</f>
        <v>391700</v>
      </c>
      <c r="AB40">
        <f>320900</f>
        <v>320900</v>
      </c>
      <c r="AC40">
        <f>284300</f>
        <v>284300</v>
      </c>
      <c r="AD40">
        <f>294700</f>
        <v>294700</v>
      </c>
      <c r="AE40">
        <f>281200</f>
        <v>281200</v>
      </c>
    </row>
    <row r="41" spans="1:31" x14ac:dyDescent="0.25">
      <c r="A41" t="str">
        <f>"    South &amp; Central America - Europe"</f>
        <v xml:space="preserve">    South &amp; Central America - Europe</v>
      </c>
      <c r="B41" t="str">
        <f>"CSHVCEUR Index"</f>
        <v>CSHVCEUR Index</v>
      </c>
      <c r="C41" t="str">
        <f t="shared" si="3"/>
        <v>PX385</v>
      </c>
      <c r="D41" t="str">
        <f t="shared" si="4"/>
        <v>INTERVAL_SUM</v>
      </c>
      <c r="E41" t="str">
        <f t="shared" si="5"/>
        <v>Dynamic</v>
      </c>
      <c r="F41">
        <f ca="1">IF(AND(ISNUMBER($F$110),$B$69=1),$F$110,HLOOKUP(INDIRECT(ADDRESS(2,COLUMN())),OFFSET($S$2,0,0,ROW()-1,13),ROW()-1,FALSE))</f>
        <v>1513300</v>
      </c>
      <c r="G41">
        <f ca="1">IF(AND(ISNUMBER($G$110),$B$69=1),$G$110,HLOOKUP(INDIRECT(ADDRESS(2,COLUMN())),OFFSET($S$2,0,0,ROW()-1,13),ROW()-1,FALSE))</f>
        <v>2058900</v>
      </c>
      <c r="H41">
        <f ca="1">IF(AND(ISNUMBER($H$110),$B$69=1),$H$110,HLOOKUP(INDIRECT(ADDRESS(2,COLUMN())),OFFSET($S$2,0,0,ROW()-1,13),ROW()-1,FALSE))</f>
        <v>2207400</v>
      </c>
      <c r="I41">
        <f ca="1">IF(AND(ISNUMBER($I$110),$B$69=1),$I$110,HLOOKUP(INDIRECT(ADDRESS(2,COLUMN())),OFFSET($S$2,0,0,ROW()-1,13),ROW()-1,FALSE))</f>
        <v>2110200</v>
      </c>
      <c r="J41">
        <f ca="1">IF(AND(ISNUMBER($J$110),$B$69=1),$J$110,HLOOKUP(INDIRECT(ADDRESS(2,COLUMN())),OFFSET($S$2,0,0,ROW()-1,13),ROW()-1,FALSE))</f>
        <v>2023500</v>
      </c>
      <c r="K41">
        <f ca="1">IF(AND(ISNUMBER($K$110),$B$69=1),$K$110,HLOOKUP(INDIRECT(ADDRESS(2,COLUMN())),OFFSET($S$2,0,0,ROW()-1,13),ROW()-1,FALSE))</f>
        <v>2087600</v>
      </c>
      <c r="L41">
        <f ca="1">IF(AND(ISNUMBER($L$110),$B$69=1),$L$110,HLOOKUP(INDIRECT(ADDRESS(2,COLUMN())),OFFSET($S$2,0,0,ROW()-1,13),ROW()-1,FALSE))</f>
        <v>1912000</v>
      </c>
      <c r="M41">
        <f ca="1">IF(AND(ISNUMBER($M$110),$B$69=1),$M$110,HLOOKUP(INDIRECT(ADDRESS(2,COLUMN())),OFFSET($S$2,0,0,ROW()-1,13),ROW()-1,FALSE))</f>
        <v>1840700</v>
      </c>
      <c r="N41">
        <f ca="1">IF(AND(ISNUMBER($N$110),$B$69=1),$N$110,HLOOKUP(INDIRECT(ADDRESS(2,COLUMN())),OFFSET($S$2,0,0,ROW()-1,13),ROW()-1,FALSE))</f>
        <v>1747100</v>
      </c>
      <c r="O41">
        <f ca="1">IF(AND(ISNUMBER($O$110),$B$69=1),$O$110,HLOOKUP(INDIRECT(ADDRESS(2,COLUMN())),OFFSET($S$2,0,0,ROW()-1,13),ROW()-1,FALSE))</f>
        <v>1641400</v>
      </c>
      <c r="P41">
        <f ca="1">IF(AND(ISNUMBER($P$110),$B$69=1),$P$110,HLOOKUP(INDIRECT(ADDRESS(2,COLUMN())),OFFSET($S$2,0,0,ROW()-1,13),ROW()-1,FALSE))</f>
        <v>1608300</v>
      </c>
      <c r="Q41">
        <f ca="1">IF(AND(ISNUMBER($Q$110),$B$69=1),$Q$110,HLOOKUP(INDIRECT(ADDRESS(2,COLUMN())),OFFSET($S$2,0,0,ROW()-1,13),ROW()-1,FALSE))</f>
        <v>1584100</v>
      </c>
      <c r="R41">
        <f ca="1">IF(AND(ISNUMBER($R$110),$B$69=1),$R$110,HLOOKUP(INDIRECT(ADDRESS(2,COLUMN())),OFFSET($S$2,0,0,ROW()-1,13),ROW()-1,FALSE))</f>
        <v>1644600</v>
      </c>
      <c r="S41">
        <f>1513300</f>
        <v>1513300</v>
      </c>
      <c r="T41">
        <f>2058900</f>
        <v>2058900</v>
      </c>
      <c r="U41">
        <f>2207400</f>
        <v>2207400</v>
      </c>
      <c r="V41">
        <f>2110200</f>
        <v>2110200</v>
      </c>
      <c r="W41">
        <f>2023500</f>
        <v>2023500</v>
      </c>
      <c r="X41">
        <f>2087600</f>
        <v>2087600</v>
      </c>
      <c r="Y41">
        <f>1912000</f>
        <v>1912000</v>
      </c>
      <c r="Z41">
        <f>1840700</f>
        <v>1840700</v>
      </c>
      <c r="AA41">
        <f>1747100</f>
        <v>1747100</v>
      </c>
      <c r="AB41">
        <f>1641400</f>
        <v>1641400</v>
      </c>
      <c r="AC41">
        <f>1608300</f>
        <v>1608300</v>
      </c>
      <c r="AD41">
        <f>1584100</f>
        <v>1584100</v>
      </c>
      <c r="AE41">
        <f>1644600</f>
        <v>1644600</v>
      </c>
    </row>
    <row r="42" spans="1:31" x14ac:dyDescent="0.25">
      <c r="A42" t="str">
        <f>"    South &amp; Central America - Asia"</f>
        <v xml:space="preserve">    South &amp; Central America - Asia</v>
      </c>
      <c r="B42" t="str">
        <f>"CSHVCASR Index"</f>
        <v>CSHVCASR Index</v>
      </c>
      <c r="C42" t="str">
        <f t="shared" si="3"/>
        <v>PX385</v>
      </c>
      <c r="D42" t="str">
        <f t="shared" si="4"/>
        <v>INTERVAL_SUM</v>
      </c>
      <c r="E42" t="str">
        <f t="shared" si="5"/>
        <v>Dynamic</v>
      </c>
      <c r="F42">
        <f ca="1">IF(AND(ISNUMBER($F$111),$B$69=1),$F$111,HLOOKUP(INDIRECT(ADDRESS(2,COLUMN())),OFFSET($S$2,0,0,ROW()-1,13),ROW()-1,FALSE))</f>
        <v>1479600</v>
      </c>
      <c r="G42">
        <f ca="1">IF(AND(ISNUMBER($G$111),$B$69=1),$G$111,HLOOKUP(INDIRECT(ADDRESS(2,COLUMN())),OFFSET($S$2,0,0,ROW()-1,13),ROW()-1,FALSE))</f>
        <v>1915300</v>
      </c>
      <c r="H42">
        <f ca="1">IF(AND(ISNUMBER($H$111),$B$69=1),$H$111,HLOOKUP(INDIRECT(ADDRESS(2,COLUMN())),OFFSET($S$2,0,0,ROW()-1,13),ROW()-1,FALSE))</f>
        <v>1968700</v>
      </c>
      <c r="I42">
        <f ca="1">IF(AND(ISNUMBER($I$111),$B$69=1),$I$111,HLOOKUP(INDIRECT(ADDRESS(2,COLUMN())),OFFSET($S$2,0,0,ROW()-1,13),ROW()-1,FALSE))</f>
        <v>2102100</v>
      </c>
      <c r="J42">
        <f ca="1">IF(AND(ISNUMBER($J$111),$B$69=1),$J$111,HLOOKUP(INDIRECT(ADDRESS(2,COLUMN())),OFFSET($S$2,0,0,ROW()-1,13),ROW()-1,FALSE))</f>
        <v>1891000</v>
      </c>
      <c r="K42">
        <f ca="1">IF(AND(ISNUMBER($K$111),$B$69=1),$K$111,HLOOKUP(INDIRECT(ADDRESS(2,COLUMN())),OFFSET($S$2,0,0,ROW()-1,13),ROW()-1,FALSE))</f>
        <v>1903800</v>
      </c>
      <c r="L42">
        <f ca="1">IF(AND(ISNUMBER($L$111),$B$69=1),$L$111,HLOOKUP(INDIRECT(ADDRESS(2,COLUMN())),OFFSET($S$2,0,0,ROW()-1,13),ROW()-1,FALSE))</f>
        <v>1813900</v>
      </c>
      <c r="M42">
        <f ca="1">IF(AND(ISNUMBER($M$111),$B$69=1),$M$111,HLOOKUP(INDIRECT(ADDRESS(2,COLUMN())),OFFSET($S$2,0,0,ROW()-1,13),ROW()-1,FALSE))</f>
        <v>1662900</v>
      </c>
      <c r="N42">
        <f ca="1">IF(AND(ISNUMBER($N$111),$B$69=1),$N$111,HLOOKUP(INDIRECT(ADDRESS(2,COLUMN())),OFFSET($S$2,0,0,ROW()-1,13),ROW()-1,FALSE))</f>
        <v>1566400</v>
      </c>
      <c r="O42">
        <f ca="1">IF(AND(ISNUMBER($O$111),$B$69=1),$O$111,HLOOKUP(INDIRECT(ADDRESS(2,COLUMN())),OFFSET($S$2,0,0,ROW()-1,13),ROW()-1,FALSE))</f>
        <v>1551500</v>
      </c>
      <c r="P42">
        <f ca="1">IF(AND(ISNUMBER($P$111),$B$69=1),$P$111,HLOOKUP(INDIRECT(ADDRESS(2,COLUMN())),OFFSET($S$2,0,0,ROW()-1,13),ROW()-1,FALSE))</f>
        <v>1433500</v>
      </c>
      <c r="Q42">
        <f ca="1">IF(AND(ISNUMBER($Q$111),$B$69=1),$Q$111,HLOOKUP(INDIRECT(ADDRESS(2,COLUMN())),OFFSET($S$2,0,0,ROW()-1,13),ROW()-1,FALSE))</f>
        <v>1318800</v>
      </c>
      <c r="R42">
        <f ca="1">IF(AND(ISNUMBER($R$111),$B$69=1),$R$111,HLOOKUP(INDIRECT(ADDRESS(2,COLUMN())),OFFSET($S$2,0,0,ROW()-1,13),ROW()-1,FALSE))</f>
        <v>1391400</v>
      </c>
      <c r="S42">
        <f>1479600</f>
        <v>1479600</v>
      </c>
      <c r="T42">
        <f>1915300</f>
        <v>1915300</v>
      </c>
      <c r="U42">
        <f>1968700</f>
        <v>1968700</v>
      </c>
      <c r="V42">
        <f>2102100</f>
        <v>2102100</v>
      </c>
      <c r="W42">
        <f>1891000</f>
        <v>1891000</v>
      </c>
      <c r="X42">
        <f>1903800</f>
        <v>1903800</v>
      </c>
      <c r="Y42">
        <f>1813900</f>
        <v>1813900</v>
      </c>
      <c r="Z42">
        <f>1662900</f>
        <v>1662900</v>
      </c>
      <c r="AA42">
        <f>1566400</f>
        <v>1566400</v>
      </c>
      <c r="AB42">
        <f>1551500</f>
        <v>1551500</v>
      </c>
      <c r="AC42">
        <f>1433500</f>
        <v>1433500</v>
      </c>
      <c r="AD42">
        <f>1318800</f>
        <v>1318800</v>
      </c>
      <c r="AE42">
        <f>1391400</f>
        <v>1391400</v>
      </c>
    </row>
    <row r="43" spans="1:31" x14ac:dyDescent="0.25">
      <c r="A43" t="str">
        <f>"    South &amp; Central America - North America"</f>
        <v xml:space="preserve">    South &amp; Central America - North America</v>
      </c>
      <c r="B43" t="str">
        <f>"CSHVCNAR Index"</f>
        <v>CSHVCNAR Index</v>
      </c>
      <c r="C43" t="str">
        <f t="shared" si="3"/>
        <v>PX385</v>
      </c>
      <c r="D43" t="str">
        <f t="shared" si="4"/>
        <v>INTERVAL_SUM</v>
      </c>
      <c r="E43" t="str">
        <f t="shared" si="5"/>
        <v>Dynamic</v>
      </c>
      <c r="F43">
        <f ca="1">IF(AND(ISNUMBER($F$112),$B$69=1),$F$112,HLOOKUP(INDIRECT(ADDRESS(2,COLUMN())),OFFSET($S$2,0,0,ROW()-1,13),ROW()-1,FALSE))</f>
        <v>1919400</v>
      </c>
      <c r="G43">
        <f ca="1">IF(AND(ISNUMBER($G$112),$B$69=1),$G$112,HLOOKUP(INDIRECT(ADDRESS(2,COLUMN())),OFFSET($S$2,0,0,ROW()-1,13),ROW()-1,FALSE))</f>
        <v>2685700</v>
      </c>
      <c r="H43">
        <f ca="1">IF(AND(ISNUMBER($H$112),$B$69=1),$H$112,HLOOKUP(INDIRECT(ADDRESS(2,COLUMN())),OFFSET($S$2,0,0,ROW()-1,13),ROW()-1,FALSE))</f>
        <v>2683500</v>
      </c>
      <c r="I43">
        <f ca="1">IF(AND(ISNUMBER($I$112),$B$69=1),$I$112,HLOOKUP(INDIRECT(ADDRESS(2,COLUMN())),OFFSET($S$2,0,0,ROW()-1,13),ROW()-1,FALSE))</f>
        <v>2585100</v>
      </c>
      <c r="J43">
        <f ca="1">IF(AND(ISNUMBER($J$112),$B$69=1),$J$112,HLOOKUP(INDIRECT(ADDRESS(2,COLUMN())),OFFSET($S$2,0,0,ROW()-1,13),ROW()-1,FALSE))</f>
        <v>2527600</v>
      </c>
      <c r="K43">
        <f ca="1">IF(AND(ISNUMBER($K$112),$B$69=1),$K$112,HLOOKUP(INDIRECT(ADDRESS(2,COLUMN())),OFFSET($S$2,0,0,ROW()-1,13),ROW()-1,FALSE))</f>
        <v>2477000</v>
      </c>
      <c r="L43">
        <f ca="1">IF(AND(ISNUMBER($L$112),$B$69=1),$L$112,HLOOKUP(INDIRECT(ADDRESS(2,COLUMN())),OFFSET($S$2,0,0,ROW()-1,13),ROW()-1,FALSE))</f>
        <v>2385300</v>
      </c>
      <c r="M43">
        <f ca="1">IF(AND(ISNUMBER($M$112),$B$69=1),$M$112,HLOOKUP(INDIRECT(ADDRESS(2,COLUMN())),OFFSET($S$2,0,0,ROW()-1,13),ROW()-1,FALSE))</f>
        <v>2327900</v>
      </c>
      <c r="N43">
        <f ca="1">IF(AND(ISNUMBER($N$112),$B$69=1),$N$112,HLOOKUP(INDIRECT(ADDRESS(2,COLUMN())),OFFSET($S$2,0,0,ROW()-1,13),ROW()-1,FALSE))</f>
        <v>2192700</v>
      </c>
      <c r="O43">
        <f ca="1">IF(AND(ISNUMBER($O$112),$B$69=1),$O$112,HLOOKUP(INDIRECT(ADDRESS(2,COLUMN())),OFFSET($S$2,0,0,ROW()-1,13),ROW()-1,FALSE))</f>
        <v>2141800</v>
      </c>
      <c r="P43">
        <f ca="1">IF(AND(ISNUMBER($P$112),$B$69=1),$P$112,HLOOKUP(INDIRECT(ADDRESS(2,COLUMN())),OFFSET($S$2,0,0,ROW()-1,13),ROW()-1,FALSE))</f>
        <v>2092700</v>
      </c>
      <c r="Q43">
        <f ca="1">IF(AND(ISNUMBER($Q$112),$B$69=1),$Q$112,HLOOKUP(INDIRECT(ADDRESS(2,COLUMN())),OFFSET($S$2,0,0,ROW()-1,13),ROW()-1,FALSE))</f>
        <v>1246200</v>
      </c>
      <c r="R43">
        <f ca="1">IF(AND(ISNUMBER($R$112),$B$69=1),$R$112,HLOOKUP(INDIRECT(ADDRESS(2,COLUMN())),OFFSET($S$2,0,0,ROW()-1,13),ROW()-1,FALSE))</f>
        <v>1594500</v>
      </c>
      <c r="S43">
        <f>1919400</f>
        <v>1919400</v>
      </c>
      <c r="T43">
        <f>2685700</f>
        <v>2685700</v>
      </c>
      <c r="U43">
        <f>2683500</f>
        <v>2683500</v>
      </c>
      <c r="V43">
        <f>2585100</f>
        <v>2585100</v>
      </c>
      <c r="W43">
        <f>2527600</f>
        <v>2527600</v>
      </c>
      <c r="X43">
        <f>2477000</f>
        <v>2477000</v>
      </c>
      <c r="Y43">
        <f>2385300</f>
        <v>2385300</v>
      </c>
      <c r="Z43">
        <f>2327900</f>
        <v>2327900</v>
      </c>
      <c r="AA43">
        <f>2192700</f>
        <v>2192700</v>
      </c>
      <c r="AB43">
        <f>2141800</f>
        <v>2141800</v>
      </c>
      <c r="AC43">
        <f>2092700</f>
        <v>2092700</v>
      </c>
      <c r="AD43">
        <f>1246200</f>
        <v>1246200</v>
      </c>
      <c r="AE43">
        <f>1594500</f>
        <v>1594500</v>
      </c>
    </row>
    <row r="44" spans="1:31" x14ac:dyDescent="0.25">
      <c r="A44" t="str">
        <f>"    South &amp; Central America - Australasia &amp; Oceania"</f>
        <v xml:space="preserve">    South &amp; Central America - Australasia &amp; Oceania</v>
      </c>
      <c r="B44" t="str">
        <f>"CSHVCAUO Index"</f>
        <v>CSHVCAUO Index</v>
      </c>
      <c r="C44" t="str">
        <f t="shared" si="3"/>
        <v>PX385</v>
      </c>
      <c r="D44" t="str">
        <f t="shared" si="4"/>
        <v>INTERVAL_SUM</v>
      </c>
      <c r="E44" t="str">
        <f t="shared" si="5"/>
        <v>Dynamic</v>
      </c>
      <c r="F44">
        <f ca="1">IF(AND(ISNUMBER($F$113),$B$69=1),$F$113,HLOOKUP(INDIRECT(ADDRESS(2,COLUMN())),OFFSET($S$2,0,0,ROW()-1,13),ROW()-1,FALSE))</f>
        <v>28000</v>
      </c>
      <c r="G44">
        <f ca="1">IF(AND(ISNUMBER($G$113),$B$69=1),$G$113,HLOOKUP(INDIRECT(ADDRESS(2,COLUMN())),OFFSET($S$2,0,0,ROW()-1,13),ROW()-1,FALSE))</f>
        <v>40700</v>
      </c>
      <c r="H44">
        <f ca="1">IF(AND(ISNUMBER($H$113),$B$69=1),$H$113,HLOOKUP(INDIRECT(ADDRESS(2,COLUMN())),OFFSET($S$2,0,0,ROW()-1,13),ROW()-1,FALSE))</f>
        <v>48300</v>
      </c>
      <c r="I44">
        <f ca="1">IF(AND(ISNUMBER($I$113),$B$69=1),$I$113,HLOOKUP(INDIRECT(ADDRESS(2,COLUMN())),OFFSET($S$2,0,0,ROW()-1,13),ROW()-1,FALSE))</f>
        <v>44600</v>
      </c>
      <c r="J44">
        <f ca="1">IF(AND(ISNUMBER($J$113),$B$69=1),$J$113,HLOOKUP(INDIRECT(ADDRESS(2,COLUMN())),OFFSET($S$2,0,0,ROW()-1,13),ROW()-1,FALSE))</f>
        <v>39100</v>
      </c>
      <c r="K44">
        <f ca="1">IF(AND(ISNUMBER($K$113),$B$69=1),$K$113,HLOOKUP(INDIRECT(ADDRESS(2,COLUMN())),OFFSET($S$2,0,0,ROW()-1,13),ROW()-1,FALSE))</f>
        <v>41200</v>
      </c>
      <c r="L44">
        <f ca="1">IF(AND(ISNUMBER($L$113),$B$69=1),$L$113,HLOOKUP(INDIRECT(ADDRESS(2,COLUMN())),OFFSET($S$2,0,0,ROW()-1,13),ROW()-1,FALSE))</f>
        <v>41000</v>
      </c>
      <c r="M44">
        <f ca="1">IF(AND(ISNUMBER($M$113),$B$69=1),$M$113,HLOOKUP(INDIRECT(ADDRESS(2,COLUMN())),OFFSET($S$2,0,0,ROW()-1,13),ROW()-1,FALSE))</f>
        <v>57400</v>
      </c>
      <c r="N44">
        <f ca="1">IF(AND(ISNUMBER($N$113),$B$69=1),$N$113,HLOOKUP(INDIRECT(ADDRESS(2,COLUMN())),OFFSET($S$2,0,0,ROW()-1,13),ROW()-1,FALSE))</f>
        <v>57900</v>
      </c>
      <c r="O44">
        <f ca="1">IF(AND(ISNUMBER($O$113),$B$69=1),$O$113,HLOOKUP(INDIRECT(ADDRESS(2,COLUMN())),OFFSET($S$2,0,0,ROW()-1,13),ROW()-1,FALSE))</f>
        <v>59300</v>
      </c>
      <c r="P44">
        <f ca="1">IF(AND(ISNUMBER($P$113),$B$69=1),$P$113,HLOOKUP(INDIRECT(ADDRESS(2,COLUMN())),OFFSET($S$2,0,0,ROW()-1,13),ROW()-1,FALSE))</f>
        <v>48800</v>
      </c>
      <c r="Q44">
        <f ca="1">IF(AND(ISNUMBER($Q$113),$B$69=1),$Q$113,HLOOKUP(INDIRECT(ADDRESS(2,COLUMN())),OFFSET($S$2,0,0,ROW()-1,13),ROW()-1,FALSE))</f>
        <v>48900</v>
      </c>
      <c r="R44">
        <f ca="1">IF(AND(ISNUMBER($R$113),$B$69=1),$R$113,HLOOKUP(INDIRECT(ADDRESS(2,COLUMN())),OFFSET($S$2,0,0,ROW()-1,13),ROW()-1,FALSE))</f>
        <v>45500</v>
      </c>
      <c r="S44">
        <f>28000</f>
        <v>28000</v>
      </c>
      <c r="T44">
        <f>40700</f>
        <v>40700</v>
      </c>
      <c r="U44">
        <f>48300</f>
        <v>48300</v>
      </c>
      <c r="V44">
        <f>44600</f>
        <v>44600</v>
      </c>
      <c r="W44">
        <f>39100</f>
        <v>39100</v>
      </c>
      <c r="X44">
        <f>41200</f>
        <v>41200</v>
      </c>
      <c r="Y44">
        <f>41000</f>
        <v>41000</v>
      </c>
      <c r="Z44">
        <f>57400</f>
        <v>57400</v>
      </c>
      <c r="AA44">
        <f>57900</f>
        <v>57900</v>
      </c>
      <c r="AB44">
        <f>59300</f>
        <v>59300</v>
      </c>
      <c r="AC44">
        <f>48800</f>
        <v>48800</v>
      </c>
      <c r="AD44">
        <f>48900</f>
        <v>48900</v>
      </c>
      <c r="AE44">
        <f>45500</f>
        <v>45500</v>
      </c>
    </row>
    <row r="45" spans="1:31" x14ac:dyDescent="0.25">
      <c r="A45" t="str">
        <f>"    South &amp; Central America - Sub Saharan Africa"</f>
        <v xml:space="preserve">    South &amp; Central America - Sub Saharan Africa</v>
      </c>
      <c r="B45" t="str">
        <f>"CSHVCSSA Index"</f>
        <v>CSHVCSSA Index</v>
      </c>
      <c r="C45" t="str">
        <f t="shared" si="3"/>
        <v>PX385</v>
      </c>
      <c r="D45" t="str">
        <f t="shared" si="4"/>
        <v>INTERVAL_SUM</v>
      </c>
      <c r="E45" t="str">
        <f t="shared" si="5"/>
        <v>Dynamic</v>
      </c>
      <c r="F45">
        <f ca="1">IF(AND(ISNUMBER($F$114),$B$69=1),$F$114,HLOOKUP(INDIRECT(ADDRESS(2,COLUMN())),OFFSET($S$2,0,0,ROW()-1,13),ROW()-1,FALSE))</f>
        <v>276500</v>
      </c>
      <c r="G45">
        <f ca="1">IF(AND(ISNUMBER($G$114),$B$69=1),$G$114,HLOOKUP(INDIRECT(ADDRESS(2,COLUMN())),OFFSET($S$2,0,0,ROW()-1,13),ROW()-1,FALSE))</f>
        <v>315300</v>
      </c>
      <c r="H45">
        <f ca="1">IF(AND(ISNUMBER($H$114),$B$69=1),$H$114,HLOOKUP(INDIRECT(ADDRESS(2,COLUMN())),OFFSET($S$2,0,0,ROW()-1,13),ROW()-1,FALSE))</f>
        <v>318100</v>
      </c>
      <c r="I45">
        <f ca="1">IF(AND(ISNUMBER($I$114),$B$69=1),$I$114,HLOOKUP(INDIRECT(ADDRESS(2,COLUMN())),OFFSET($S$2,0,0,ROW()-1,13),ROW()-1,FALSE))</f>
        <v>274900</v>
      </c>
      <c r="J45">
        <f ca="1">IF(AND(ISNUMBER($J$114),$B$69=1),$J$114,HLOOKUP(INDIRECT(ADDRESS(2,COLUMN())),OFFSET($S$2,0,0,ROW()-1,13),ROW()-1,FALSE))</f>
        <v>289000</v>
      </c>
      <c r="K45">
        <f ca="1">IF(AND(ISNUMBER($K$114),$B$69=1),$K$114,HLOOKUP(INDIRECT(ADDRESS(2,COLUMN())),OFFSET($S$2,0,0,ROW()-1,13),ROW()-1,FALSE))</f>
        <v>290200</v>
      </c>
      <c r="L45">
        <f ca="1">IF(AND(ISNUMBER($L$114),$B$69=1),$L$114,HLOOKUP(INDIRECT(ADDRESS(2,COLUMN())),OFFSET($S$2,0,0,ROW()-1,13),ROW()-1,FALSE))</f>
        <v>304400</v>
      </c>
      <c r="M45">
        <f ca="1">IF(AND(ISNUMBER($M$114),$B$69=1),$M$114,HLOOKUP(INDIRECT(ADDRESS(2,COLUMN())),OFFSET($S$2,0,0,ROW()-1,13),ROW()-1,FALSE))</f>
        <v>244300</v>
      </c>
      <c r="N45">
        <f ca="1">IF(AND(ISNUMBER($N$114),$B$69=1),$N$114,HLOOKUP(INDIRECT(ADDRESS(2,COLUMN())),OFFSET($S$2,0,0,ROW()-1,13),ROW()-1,FALSE))</f>
        <v>256100</v>
      </c>
      <c r="O45">
        <f ca="1">IF(AND(ISNUMBER($O$114),$B$69=1),$O$114,HLOOKUP(INDIRECT(ADDRESS(2,COLUMN())),OFFSET($S$2,0,0,ROW()-1,13),ROW()-1,FALSE))</f>
        <v>262400</v>
      </c>
      <c r="P45">
        <f ca="1">IF(AND(ISNUMBER($P$114),$B$69=1),$P$114,HLOOKUP(INDIRECT(ADDRESS(2,COLUMN())),OFFSET($S$2,0,0,ROW()-1,13),ROW()-1,FALSE))</f>
        <v>245200</v>
      </c>
      <c r="Q45">
        <f ca="1">IF(AND(ISNUMBER($Q$114),$B$69=1),$Q$114,HLOOKUP(INDIRECT(ADDRESS(2,COLUMN())),OFFSET($S$2,0,0,ROW()-1,13),ROW()-1,FALSE))</f>
        <v>255500</v>
      </c>
      <c r="R45">
        <f ca="1">IF(AND(ISNUMBER($R$114),$B$69=1),$R$114,HLOOKUP(INDIRECT(ADDRESS(2,COLUMN())),OFFSET($S$2,0,0,ROW()-1,13),ROW()-1,FALSE))</f>
        <v>276300</v>
      </c>
      <c r="S45">
        <f>276500</f>
        <v>276500</v>
      </c>
      <c r="T45">
        <f>315300</f>
        <v>315300</v>
      </c>
      <c r="U45">
        <f>318100</f>
        <v>318100</v>
      </c>
      <c r="V45">
        <f>274900</f>
        <v>274900</v>
      </c>
      <c r="W45">
        <f>289000</f>
        <v>289000</v>
      </c>
      <c r="X45">
        <f>290200</f>
        <v>290200</v>
      </c>
      <c r="Y45">
        <f>304400</f>
        <v>304400</v>
      </c>
      <c r="Z45">
        <f>244300</f>
        <v>244300</v>
      </c>
      <c r="AA45">
        <f>256100</f>
        <v>256100</v>
      </c>
      <c r="AB45">
        <f>262400</f>
        <v>262400</v>
      </c>
      <c r="AC45">
        <f>245200</f>
        <v>245200</v>
      </c>
      <c r="AD45">
        <f>255500</f>
        <v>255500</v>
      </c>
      <c r="AE45">
        <f>276300</f>
        <v>276300</v>
      </c>
    </row>
    <row r="46" spans="1:31" x14ac:dyDescent="0.25">
      <c r="A46" t="str">
        <f>"    Sub Saharan Africa - Europe"</f>
        <v xml:space="preserve">    Sub Saharan Africa - Europe</v>
      </c>
      <c r="B46" t="str">
        <f>"CSHVSEUR Index"</f>
        <v>CSHVSEUR Index</v>
      </c>
      <c r="C46" t="str">
        <f t="shared" si="3"/>
        <v>PX385</v>
      </c>
      <c r="D46" t="str">
        <f t="shared" si="4"/>
        <v>INTERVAL_SUM</v>
      </c>
      <c r="E46" t="str">
        <f t="shared" si="5"/>
        <v>Dynamic</v>
      </c>
      <c r="F46">
        <f ca="1">IF(AND(ISNUMBER($F$115),$B$69=1),$F$115,HLOOKUP(INDIRECT(ADDRESS(2,COLUMN())),OFFSET($S$2,0,0,ROW()-1,13),ROW()-1,FALSE))</f>
        <v>743800</v>
      </c>
      <c r="G46">
        <f ca="1">IF(AND(ISNUMBER($G$115),$B$69=1),$G$115,HLOOKUP(INDIRECT(ADDRESS(2,COLUMN())),OFFSET($S$2,0,0,ROW()-1,13),ROW()-1,FALSE))</f>
        <v>935900</v>
      </c>
      <c r="H46">
        <f ca="1">IF(AND(ISNUMBER($H$115),$B$69=1),$H$115,HLOOKUP(INDIRECT(ADDRESS(2,COLUMN())),OFFSET($S$2,0,0,ROW()-1,13),ROW()-1,FALSE))</f>
        <v>879600</v>
      </c>
      <c r="I46">
        <f ca="1">IF(AND(ISNUMBER($I$115),$B$69=1),$I$115,HLOOKUP(INDIRECT(ADDRESS(2,COLUMN())),OFFSET($S$2,0,0,ROW()-1,13),ROW()-1,FALSE))</f>
        <v>827900</v>
      </c>
      <c r="J46">
        <f ca="1">IF(AND(ISNUMBER($J$115),$B$69=1),$J$115,HLOOKUP(INDIRECT(ADDRESS(2,COLUMN())),OFFSET($S$2,0,0,ROW()-1,13),ROW()-1,FALSE))</f>
        <v>815000</v>
      </c>
      <c r="K46">
        <f ca="1">IF(AND(ISNUMBER($K$115),$B$69=1),$K$115,HLOOKUP(INDIRECT(ADDRESS(2,COLUMN())),OFFSET($S$2,0,0,ROW()-1,13),ROW()-1,FALSE))</f>
        <v>862800</v>
      </c>
      <c r="L46">
        <f ca="1">IF(AND(ISNUMBER($L$115),$B$69=1),$L$115,HLOOKUP(INDIRECT(ADDRESS(2,COLUMN())),OFFSET($S$2,0,0,ROW()-1,13),ROW()-1,FALSE))</f>
        <v>824600</v>
      </c>
      <c r="M46">
        <f ca="1">IF(AND(ISNUMBER($M$115),$B$69=1),$M$115,HLOOKUP(INDIRECT(ADDRESS(2,COLUMN())),OFFSET($S$2,0,0,ROW()-1,13),ROW()-1,FALSE))</f>
        <v>773900</v>
      </c>
      <c r="N46">
        <f ca="1">IF(AND(ISNUMBER($N$115),$B$69=1),$N$115,HLOOKUP(INDIRECT(ADDRESS(2,COLUMN())),OFFSET($S$2,0,0,ROW()-1,13),ROW()-1,FALSE))</f>
        <v>848800</v>
      </c>
      <c r="O46">
        <f ca="1">IF(AND(ISNUMBER($O$115),$B$69=1),$O$115,HLOOKUP(INDIRECT(ADDRESS(2,COLUMN())),OFFSET($S$2,0,0,ROW()-1,13),ROW()-1,FALSE))</f>
        <v>781100</v>
      </c>
      <c r="P46">
        <f ca="1">IF(AND(ISNUMBER($P$115),$B$69=1),$P$115,HLOOKUP(INDIRECT(ADDRESS(2,COLUMN())),OFFSET($S$2,0,0,ROW()-1,13),ROW()-1,FALSE))</f>
        <v>804100</v>
      </c>
      <c r="Q46">
        <f ca="1">IF(AND(ISNUMBER($Q$115),$B$69=1),$Q$115,HLOOKUP(INDIRECT(ADDRESS(2,COLUMN())),OFFSET($S$2,0,0,ROW()-1,13),ROW()-1,FALSE))</f>
        <v>783500</v>
      </c>
      <c r="R46">
        <f ca="1">IF(AND(ISNUMBER($R$115),$B$69=1),$R$115,HLOOKUP(INDIRECT(ADDRESS(2,COLUMN())),OFFSET($S$2,0,0,ROW()-1,13),ROW()-1,FALSE))</f>
        <v>782400</v>
      </c>
      <c r="S46">
        <f>743800</f>
        <v>743800</v>
      </c>
      <c r="T46">
        <f>935900</f>
        <v>935900</v>
      </c>
      <c r="U46">
        <f>879600</f>
        <v>879600</v>
      </c>
      <c r="V46">
        <f>827900</f>
        <v>827900</v>
      </c>
      <c r="W46">
        <f>815000</f>
        <v>815000</v>
      </c>
      <c r="X46">
        <f>862800</f>
        <v>862800</v>
      </c>
      <c r="Y46">
        <f>824600</f>
        <v>824600</v>
      </c>
      <c r="Z46">
        <f>773900</f>
        <v>773900</v>
      </c>
      <c r="AA46">
        <f>848800</f>
        <v>848800</v>
      </c>
      <c r="AB46">
        <f>781100</f>
        <v>781100</v>
      </c>
      <c r="AC46">
        <f>804100</f>
        <v>804100</v>
      </c>
      <c r="AD46">
        <f>783500</f>
        <v>783500</v>
      </c>
      <c r="AE46">
        <f>782400</f>
        <v>782400</v>
      </c>
    </row>
    <row r="47" spans="1:31" x14ac:dyDescent="0.25">
      <c r="A47" t="str">
        <f>"    Sub Saharan Africa - Asia"</f>
        <v xml:space="preserve">    Sub Saharan Africa - Asia</v>
      </c>
      <c r="B47" t="str">
        <f>"CSHVSASR Index"</f>
        <v>CSHVSASR Index</v>
      </c>
      <c r="C47" t="str">
        <f t="shared" si="3"/>
        <v>PX385</v>
      </c>
      <c r="D47" t="str">
        <f t="shared" si="4"/>
        <v>INTERVAL_SUM</v>
      </c>
      <c r="E47" t="str">
        <f t="shared" si="5"/>
        <v>Dynamic</v>
      </c>
      <c r="F47">
        <f ca="1">IF(AND(ISNUMBER($F$116),$B$69=1),$F$116,HLOOKUP(INDIRECT(ADDRESS(2,COLUMN())),OFFSET($S$2,0,0,ROW()-1,13),ROW()-1,FALSE))</f>
        <v>1010000</v>
      </c>
      <c r="G47">
        <f ca="1">IF(AND(ISNUMBER($G$116),$B$69=1),$G$116,HLOOKUP(INDIRECT(ADDRESS(2,COLUMN())),OFFSET($S$2,0,0,ROW()-1,13),ROW()-1,FALSE))</f>
        <v>1170300</v>
      </c>
      <c r="H47">
        <f ca="1">IF(AND(ISNUMBER($H$116),$B$69=1),$H$116,HLOOKUP(INDIRECT(ADDRESS(2,COLUMN())),OFFSET($S$2,0,0,ROW()-1,13),ROW()-1,FALSE))</f>
        <v>1273200</v>
      </c>
      <c r="I47">
        <f ca="1">IF(AND(ISNUMBER($I$116),$B$69=1),$I$116,HLOOKUP(INDIRECT(ADDRESS(2,COLUMN())),OFFSET($S$2,0,0,ROW()-1,13),ROW()-1,FALSE))</f>
        <v>1237600</v>
      </c>
      <c r="J47">
        <f ca="1">IF(AND(ISNUMBER($J$116),$B$69=1),$J$116,HLOOKUP(INDIRECT(ADDRESS(2,COLUMN())),OFFSET($S$2,0,0,ROW()-1,13),ROW()-1,FALSE))</f>
        <v>1311800</v>
      </c>
      <c r="K47">
        <f ca="1">IF(AND(ISNUMBER($K$116),$B$69=1),$K$116,HLOOKUP(INDIRECT(ADDRESS(2,COLUMN())),OFFSET($S$2,0,0,ROW()-1,13),ROW()-1,FALSE))</f>
        <v>1174400</v>
      </c>
      <c r="L47">
        <f ca="1">IF(AND(ISNUMBER($L$116),$B$69=1),$L$116,HLOOKUP(INDIRECT(ADDRESS(2,COLUMN())),OFFSET($S$2,0,0,ROW()-1,13),ROW()-1,FALSE))</f>
        <v>1137700</v>
      </c>
      <c r="M47">
        <f ca="1">IF(AND(ISNUMBER($M$116),$B$69=1),$M$116,HLOOKUP(INDIRECT(ADDRESS(2,COLUMN())),OFFSET($S$2,0,0,ROW()-1,13),ROW()-1,FALSE))</f>
        <v>1008100</v>
      </c>
      <c r="N47">
        <f ca="1">IF(AND(ISNUMBER($N$116),$B$69=1),$N$116,HLOOKUP(INDIRECT(ADDRESS(2,COLUMN())),OFFSET($S$2,0,0,ROW()-1,13),ROW()-1,FALSE))</f>
        <v>986600</v>
      </c>
      <c r="O47">
        <f ca="1">IF(AND(ISNUMBER($O$116),$B$69=1),$O$116,HLOOKUP(INDIRECT(ADDRESS(2,COLUMN())),OFFSET($S$2,0,0,ROW()-1,13),ROW()-1,FALSE))</f>
        <v>1070100</v>
      </c>
      <c r="P47">
        <f ca="1">IF(AND(ISNUMBER($P$116),$B$69=1),$P$116,HLOOKUP(INDIRECT(ADDRESS(2,COLUMN())),OFFSET($S$2,0,0,ROW()-1,13),ROW()-1,FALSE))</f>
        <v>1096100</v>
      </c>
      <c r="Q47">
        <f ca="1">IF(AND(ISNUMBER($Q$116),$B$69=1),$Q$116,HLOOKUP(INDIRECT(ADDRESS(2,COLUMN())),OFFSET($S$2,0,0,ROW()-1,13),ROW()-1,FALSE))</f>
        <v>1060600</v>
      </c>
      <c r="R47">
        <f ca="1">IF(AND(ISNUMBER($R$116),$B$69=1),$R$116,HLOOKUP(INDIRECT(ADDRESS(2,COLUMN())),OFFSET($S$2,0,0,ROW()-1,13),ROW()-1,FALSE))</f>
        <v>1234800</v>
      </c>
      <c r="S47">
        <f>1010000</f>
        <v>1010000</v>
      </c>
      <c r="T47">
        <f>1170300</f>
        <v>1170300</v>
      </c>
      <c r="U47">
        <f>1273200</f>
        <v>1273200</v>
      </c>
      <c r="V47">
        <f>1237600</f>
        <v>1237600</v>
      </c>
      <c r="W47">
        <f>1311800</f>
        <v>1311800</v>
      </c>
      <c r="X47">
        <f>1174400</f>
        <v>1174400</v>
      </c>
      <c r="Y47">
        <f>1137700</f>
        <v>1137700</v>
      </c>
      <c r="Z47">
        <f>1008100</f>
        <v>1008100</v>
      </c>
      <c r="AA47">
        <f>986600</f>
        <v>986600</v>
      </c>
      <c r="AB47">
        <f>1070100</f>
        <v>1070100</v>
      </c>
      <c r="AC47">
        <f>1096100</f>
        <v>1096100</v>
      </c>
      <c r="AD47">
        <f>1060600</f>
        <v>1060600</v>
      </c>
      <c r="AE47">
        <f>1234800</f>
        <v>1234800</v>
      </c>
    </row>
    <row r="48" spans="1:31" x14ac:dyDescent="0.25">
      <c r="A48" t="str">
        <f>"    Sub Saharan Africa - North America"</f>
        <v xml:space="preserve">    Sub Saharan Africa - North America</v>
      </c>
      <c r="B48" t="str">
        <f>"CSHVSNAR Index"</f>
        <v>CSHVSNAR Index</v>
      </c>
      <c r="C48" t="str">
        <f t="shared" si="3"/>
        <v>PX385</v>
      </c>
      <c r="D48" t="str">
        <f t="shared" si="4"/>
        <v>INTERVAL_SUM</v>
      </c>
      <c r="E48" t="str">
        <f t="shared" si="5"/>
        <v>Dynamic</v>
      </c>
      <c r="F48">
        <f ca="1">IF(AND(ISNUMBER($F$117),$B$69=1),$F$117,HLOOKUP(INDIRECT(ADDRESS(2,COLUMN())),OFFSET($S$2,0,0,ROW()-1,13),ROW()-1,FALSE))</f>
        <v>129100</v>
      </c>
      <c r="G48">
        <f ca="1">IF(AND(ISNUMBER($G$117),$B$69=1),$G$117,HLOOKUP(INDIRECT(ADDRESS(2,COLUMN())),OFFSET($S$2,0,0,ROW()-1,13),ROW()-1,FALSE))</f>
        <v>166100</v>
      </c>
      <c r="H48">
        <f ca="1">IF(AND(ISNUMBER($H$117),$B$69=1),$H$117,HLOOKUP(INDIRECT(ADDRESS(2,COLUMN())),OFFSET($S$2,0,0,ROW()-1,13),ROW()-1,FALSE))</f>
        <v>161400</v>
      </c>
      <c r="I48">
        <f ca="1">IF(AND(ISNUMBER($I$117),$B$69=1),$I$117,HLOOKUP(INDIRECT(ADDRESS(2,COLUMN())),OFFSET($S$2,0,0,ROW()-1,13),ROW()-1,FALSE))</f>
        <v>132000</v>
      </c>
      <c r="J48">
        <f ca="1">IF(AND(ISNUMBER($J$117),$B$69=1),$J$117,HLOOKUP(INDIRECT(ADDRESS(2,COLUMN())),OFFSET($S$2,0,0,ROW()-1,13),ROW()-1,FALSE))</f>
        <v>129400</v>
      </c>
      <c r="K48">
        <f ca="1">IF(AND(ISNUMBER($K$117),$B$69=1),$K$117,HLOOKUP(INDIRECT(ADDRESS(2,COLUMN())),OFFSET($S$2,0,0,ROW()-1,13),ROW()-1,FALSE))</f>
        <v>131100</v>
      </c>
      <c r="L48">
        <f ca="1">IF(AND(ISNUMBER($L$117),$B$69=1),$L$117,HLOOKUP(INDIRECT(ADDRESS(2,COLUMN())),OFFSET($S$2,0,0,ROW()-1,13),ROW()-1,FALSE))</f>
        <v>116600</v>
      </c>
      <c r="M48">
        <f ca="1">IF(AND(ISNUMBER($M$117),$B$69=1),$M$117,HLOOKUP(INDIRECT(ADDRESS(2,COLUMN())),OFFSET($S$2,0,0,ROW()-1,13),ROW()-1,FALSE))</f>
        <v>120100</v>
      </c>
      <c r="N48">
        <f ca="1">IF(AND(ISNUMBER($N$117),$B$69=1),$N$117,HLOOKUP(INDIRECT(ADDRESS(2,COLUMN())),OFFSET($S$2,0,0,ROW()-1,13),ROW()-1,FALSE))</f>
        <v>122600</v>
      </c>
      <c r="O48">
        <f ca="1">IF(AND(ISNUMBER($O$117),$B$69=1),$O$117,HLOOKUP(INDIRECT(ADDRESS(2,COLUMN())),OFFSET($S$2,0,0,ROW()-1,13),ROW()-1,FALSE))</f>
        <v>126200</v>
      </c>
      <c r="P48">
        <f ca="1">IF(AND(ISNUMBER($P$117),$B$69=1),$P$117,HLOOKUP(INDIRECT(ADDRESS(2,COLUMN())),OFFSET($S$2,0,0,ROW()-1,13),ROW()-1,FALSE))</f>
        <v>117000</v>
      </c>
      <c r="Q48">
        <f ca="1">IF(AND(ISNUMBER($Q$117),$B$69=1),$Q$117,HLOOKUP(INDIRECT(ADDRESS(2,COLUMN())),OFFSET($S$2,0,0,ROW()-1,13),ROW()-1,FALSE))</f>
        <v>223900</v>
      </c>
      <c r="R48">
        <f ca="1">IF(AND(ISNUMBER($R$117),$B$69=1),$R$117,HLOOKUP(INDIRECT(ADDRESS(2,COLUMN())),OFFSET($S$2,0,0,ROW()-1,13),ROW()-1,FALSE))</f>
        <v>210200</v>
      </c>
      <c r="S48">
        <f>129100</f>
        <v>129100</v>
      </c>
      <c r="T48">
        <f>166100</f>
        <v>166100</v>
      </c>
      <c r="U48">
        <f>161400</f>
        <v>161400</v>
      </c>
      <c r="V48">
        <f>132000</f>
        <v>132000</v>
      </c>
      <c r="W48">
        <f>129400</f>
        <v>129400</v>
      </c>
      <c r="X48">
        <f>131100</f>
        <v>131100</v>
      </c>
      <c r="Y48">
        <f>116600</f>
        <v>116600</v>
      </c>
      <c r="Z48">
        <f>120100</f>
        <v>120100</v>
      </c>
      <c r="AA48">
        <f>122600</f>
        <v>122600</v>
      </c>
      <c r="AB48">
        <f>126200</f>
        <v>126200</v>
      </c>
      <c r="AC48">
        <f>117000</f>
        <v>117000</v>
      </c>
      <c r="AD48">
        <f>223900</f>
        <v>223900</v>
      </c>
      <c r="AE48">
        <f>210200</f>
        <v>210200</v>
      </c>
    </row>
    <row r="49" spans="1:31" x14ac:dyDescent="0.25">
      <c r="A49" t="str">
        <f>"    Sub Saharan Africa - Australasia &amp; Oceania"</f>
        <v xml:space="preserve">    Sub Saharan Africa - Australasia &amp; Oceania</v>
      </c>
      <c r="B49" t="str">
        <f>"CSHVSAUO Index"</f>
        <v>CSHVSAUO Index</v>
      </c>
      <c r="C49" t="str">
        <f t="shared" si="3"/>
        <v>PX385</v>
      </c>
      <c r="D49" t="str">
        <f t="shared" si="4"/>
        <v>INTERVAL_SUM</v>
      </c>
      <c r="E49" t="str">
        <f t="shared" si="5"/>
        <v>Dynamic</v>
      </c>
      <c r="F49">
        <f ca="1">IF(AND(ISNUMBER($F$118),$B$69=1),$F$118,HLOOKUP(INDIRECT(ADDRESS(2,COLUMN())),OFFSET($S$2,0,0,ROW()-1,13),ROW()-1,FALSE))</f>
        <v>15600</v>
      </c>
      <c r="G49">
        <f ca="1">IF(AND(ISNUMBER($G$118),$B$69=1),$G$118,HLOOKUP(INDIRECT(ADDRESS(2,COLUMN())),OFFSET($S$2,0,0,ROW()-1,13),ROW()-1,FALSE))</f>
        <v>18500</v>
      </c>
      <c r="H49">
        <f ca="1">IF(AND(ISNUMBER($H$118),$B$69=1),$H$118,HLOOKUP(INDIRECT(ADDRESS(2,COLUMN())),OFFSET($S$2,0,0,ROW()-1,13),ROW()-1,FALSE))</f>
        <v>19200</v>
      </c>
      <c r="I49">
        <f ca="1">IF(AND(ISNUMBER($I$118),$B$69=1),$I$118,HLOOKUP(INDIRECT(ADDRESS(2,COLUMN())),OFFSET($S$2,0,0,ROW()-1,13),ROW()-1,FALSE))</f>
        <v>18400</v>
      </c>
      <c r="J49">
        <f ca="1">IF(AND(ISNUMBER($J$118),$B$69=1),$J$118,HLOOKUP(INDIRECT(ADDRESS(2,COLUMN())),OFFSET($S$2,0,0,ROW()-1,13),ROW()-1,FALSE))</f>
        <v>19800</v>
      </c>
      <c r="K49">
        <f ca="1">IF(AND(ISNUMBER($K$118),$B$69=1),$K$118,HLOOKUP(INDIRECT(ADDRESS(2,COLUMN())),OFFSET($S$2,0,0,ROW()-1,13),ROW()-1,FALSE))</f>
        <v>23300</v>
      </c>
      <c r="L49">
        <f ca="1">IF(AND(ISNUMBER($L$118),$B$69=1),$L$118,HLOOKUP(INDIRECT(ADDRESS(2,COLUMN())),OFFSET($S$2,0,0,ROW()-1,13),ROW()-1,FALSE))</f>
        <v>19800</v>
      </c>
      <c r="M49">
        <f ca="1">IF(AND(ISNUMBER($M$118),$B$69=1),$M$118,HLOOKUP(INDIRECT(ADDRESS(2,COLUMN())),OFFSET($S$2,0,0,ROW()-1,13),ROW()-1,FALSE))</f>
        <v>17500</v>
      </c>
      <c r="N49">
        <f ca="1">IF(AND(ISNUMBER($N$118),$B$69=1),$N$118,HLOOKUP(INDIRECT(ADDRESS(2,COLUMN())),OFFSET($S$2,0,0,ROW()-1,13),ROW()-1,FALSE))</f>
        <v>15700</v>
      </c>
      <c r="O49">
        <f ca="1">IF(AND(ISNUMBER($O$118),$B$69=1),$O$118,HLOOKUP(INDIRECT(ADDRESS(2,COLUMN())),OFFSET($S$2,0,0,ROW()-1,13),ROW()-1,FALSE))</f>
        <v>18100</v>
      </c>
      <c r="P49">
        <f ca="1">IF(AND(ISNUMBER($P$118),$B$69=1),$P$118,HLOOKUP(INDIRECT(ADDRESS(2,COLUMN())),OFFSET($S$2,0,0,ROW()-1,13),ROW()-1,FALSE))</f>
        <v>20700</v>
      </c>
      <c r="Q49">
        <f ca="1">IF(AND(ISNUMBER($Q$118),$B$69=1),$Q$118,HLOOKUP(INDIRECT(ADDRESS(2,COLUMN())),OFFSET($S$2,0,0,ROW()-1,13),ROW()-1,FALSE))</f>
        <v>24300</v>
      </c>
      <c r="R49">
        <f ca="1">IF(AND(ISNUMBER($R$118),$B$69=1),$R$118,HLOOKUP(INDIRECT(ADDRESS(2,COLUMN())),OFFSET($S$2,0,0,ROW()-1,13),ROW()-1,FALSE))</f>
        <v>26700</v>
      </c>
      <c r="S49">
        <f>15600</f>
        <v>15600</v>
      </c>
      <c r="T49">
        <f>18500</f>
        <v>18500</v>
      </c>
      <c r="U49">
        <f>19200</f>
        <v>19200</v>
      </c>
      <c r="V49">
        <f>18400</f>
        <v>18400</v>
      </c>
      <c r="W49">
        <f>19800</f>
        <v>19800</v>
      </c>
      <c r="X49">
        <f>23300</f>
        <v>23300</v>
      </c>
      <c r="Y49">
        <f>19800</f>
        <v>19800</v>
      </c>
      <c r="Z49">
        <f>17500</f>
        <v>17500</v>
      </c>
      <c r="AA49">
        <f>15700</f>
        <v>15700</v>
      </c>
      <c r="AB49">
        <f>18100</f>
        <v>18100</v>
      </c>
      <c r="AC49">
        <f>20700</f>
        <v>20700</v>
      </c>
      <c r="AD49">
        <f>24300</f>
        <v>24300</v>
      </c>
      <c r="AE49">
        <f>26700</f>
        <v>26700</v>
      </c>
    </row>
    <row r="50" spans="1:31" x14ac:dyDescent="0.25">
      <c r="A50" t="str">
        <f>"    Sub Saharan Africa - Sub Saharan Africa"</f>
        <v xml:space="preserve">    Sub Saharan Africa - Sub Saharan Africa</v>
      </c>
      <c r="B50" t="str">
        <f>"CSHVSSSA Index"</f>
        <v>CSHVSSSA Index</v>
      </c>
      <c r="C50" t="str">
        <f t="shared" si="3"/>
        <v>PX385</v>
      </c>
      <c r="D50" t="str">
        <f t="shared" si="4"/>
        <v>INTERVAL_SUM</v>
      </c>
      <c r="E50" t="str">
        <f t="shared" si="5"/>
        <v>Dynamic</v>
      </c>
      <c r="F50">
        <f ca="1">IF(AND(ISNUMBER($F$119),$B$69=1),$F$119,HLOOKUP(INDIRECT(ADDRESS(2,COLUMN())),OFFSET($S$2,0,0,ROW()-1,13),ROW()-1,FALSE))</f>
        <v>239900</v>
      </c>
      <c r="G50">
        <f ca="1">IF(AND(ISNUMBER($G$119),$B$69=1),$G$119,HLOOKUP(INDIRECT(ADDRESS(2,COLUMN())),OFFSET($S$2,0,0,ROW()-1,13),ROW()-1,FALSE))</f>
        <v>341300</v>
      </c>
      <c r="H50">
        <f ca="1">IF(AND(ISNUMBER($H$119),$B$69=1),$H$119,HLOOKUP(INDIRECT(ADDRESS(2,COLUMN())),OFFSET($S$2,0,0,ROW()-1,13),ROW()-1,FALSE))</f>
        <v>331700</v>
      </c>
      <c r="I50">
        <f ca="1">IF(AND(ISNUMBER($I$119),$B$69=1),$I$119,HLOOKUP(INDIRECT(ADDRESS(2,COLUMN())),OFFSET($S$2,0,0,ROW()-1,13),ROW()-1,FALSE))</f>
        <v>318300</v>
      </c>
      <c r="J50">
        <f ca="1">IF(AND(ISNUMBER($J$119),$B$69=1),$J$119,HLOOKUP(INDIRECT(ADDRESS(2,COLUMN())),OFFSET($S$2,0,0,ROW()-1,13),ROW()-1,FALSE))</f>
        <v>281300</v>
      </c>
      <c r="K50">
        <f ca="1">IF(AND(ISNUMBER($K$119),$B$69=1),$K$119,HLOOKUP(INDIRECT(ADDRESS(2,COLUMN())),OFFSET($S$2,0,0,ROW()-1,13),ROW()-1,FALSE))</f>
        <v>265700</v>
      </c>
      <c r="L50">
        <f ca="1">IF(AND(ISNUMBER($L$119),$B$69=1),$L$119,HLOOKUP(INDIRECT(ADDRESS(2,COLUMN())),OFFSET($S$2,0,0,ROW()-1,13),ROW()-1,FALSE))</f>
        <v>243000</v>
      </c>
      <c r="M50">
        <f ca="1">IF(AND(ISNUMBER($M$119),$B$69=1),$M$119,HLOOKUP(INDIRECT(ADDRESS(2,COLUMN())),OFFSET($S$2,0,0,ROW()-1,13),ROW()-1,FALSE))</f>
        <v>217500</v>
      </c>
      <c r="N50">
        <f ca="1">IF(AND(ISNUMBER($N$119),$B$69=1),$N$119,HLOOKUP(INDIRECT(ADDRESS(2,COLUMN())),OFFSET($S$2,0,0,ROW()-1,13),ROW()-1,FALSE))</f>
        <v>159700</v>
      </c>
      <c r="O50">
        <f ca="1">IF(AND(ISNUMBER($O$119),$B$69=1),$O$119,HLOOKUP(INDIRECT(ADDRESS(2,COLUMN())),OFFSET($S$2,0,0,ROW()-1,13),ROW()-1,FALSE))</f>
        <v>164800</v>
      </c>
      <c r="P50">
        <f ca="1">IF(AND(ISNUMBER($P$119),$B$69=1),$P$119,HLOOKUP(INDIRECT(ADDRESS(2,COLUMN())),OFFSET($S$2,0,0,ROW()-1,13),ROW()-1,FALSE))</f>
        <v>148500</v>
      </c>
      <c r="Q50">
        <f ca="1">IF(AND(ISNUMBER($Q$119),$B$69=1),$Q$119,HLOOKUP(INDIRECT(ADDRESS(2,COLUMN())),OFFSET($S$2,0,0,ROW()-1,13),ROW()-1,FALSE))</f>
        <v>140000</v>
      </c>
      <c r="R50">
        <f ca="1">IF(AND(ISNUMBER($R$119),$B$69=1),$R$119,HLOOKUP(INDIRECT(ADDRESS(2,COLUMN())),OFFSET($S$2,0,0,ROW()-1,13),ROW()-1,FALSE))</f>
        <v>145800</v>
      </c>
      <c r="S50">
        <f>239900</f>
        <v>239900</v>
      </c>
      <c r="T50">
        <f>341300</f>
        <v>341300</v>
      </c>
      <c r="U50">
        <f>331700</f>
        <v>331700</v>
      </c>
      <c r="V50">
        <f>318300</f>
        <v>318300</v>
      </c>
      <c r="W50">
        <f>281300</f>
        <v>281300</v>
      </c>
      <c r="X50">
        <f>265700</f>
        <v>265700</v>
      </c>
      <c r="Y50">
        <f>243000</f>
        <v>243000</v>
      </c>
      <c r="Z50">
        <f>217500</f>
        <v>217500</v>
      </c>
      <c r="AA50">
        <f>159700</f>
        <v>159700</v>
      </c>
      <c r="AB50">
        <f>164800</f>
        <v>164800</v>
      </c>
      <c r="AC50">
        <f>148500</f>
        <v>148500</v>
      </c>
      <c r="AD50">
        <f>140000</f>
        <v>140000</v>
      </c>
      <c r="AE50">
        <f>145800</f>
        <v>145800</v>
      </c>
    </row>
    <row r="51" spans="1:31" x14ac:dyDescent="0.25">
      <c r="A51" t="str">
        <f>"    Sub Saharan Africa - Indian Sub Cont. &amp; Middle East"</f>
        <v xml:space="preserve">    Sub Saharan Africa - Indian Sub Cont. &amp; Middle East</v>
      </c>
      <c r="B51" t="str">
        <f>"CSHVSIME Index"</f>
        <v>CSHVSIME Index</v>
      </c>
      <c r="C51" t="str">
        <f t="shared" si="3"/>
        <v>PX385</v>
      </c>
      <c r="D51" t="str">
        <f t="shared" si="4"/>
        <v>INTERVAL_SUM</v>
      </c>
      <c r="E51" t="str">
        <f t="shared" si="5"/>
        <v>Dynamic</v>
      </c>
      <c r="F51">
        <f ca="1">IF(AND(ISNUMBER($F$120),$B$69=1),$F$120,HLOOKUP(INDIRECT(ADDRESS(2,COLUMN())),OFFSET($S$2,0,0,ROW()-1,13),ROW()-1,FALSE))</f>
        <v>592900</v>
      </c>
      <c r="G51">
        <f ca="1">IF(AND(ISNUMBER($G$120),$B$69=1),$G$120,HLOOKUP(INDIRECT(ADDRESS(2,COLUMN())),OFFSET($S$2,0,0,ROW()-1,13),ROW()-1,FALSE))</f>
        <v>710700</v>
      </c>
      <c r="H51">
        <f ca="1">IF(AND(ISNUMBER($H$120),$B$69=1),$H$120,HLOOKUP(INDIRECT(ADDRESS(2,COLUMN())),OFFSET($S$2,0,0,ROW()-1,13),ROW()-1,FALSE))</f>
        <v>671300</v>
      </c>
      <c r="I51">
        <f ca="1">IF(AND(ISNUMBER($I$120),$B$69=1),$I$120,HLOOKUP(INDIRECT(ADDRESS(2,COLUMN())),OFFSET($S$2,0,0,ROW()-1,13),ROW()-1,FALSE))</f>
        <v>597800</v>
      </c>
      <c r="J51">
        <f ca="1">IF(AND(ISNUMBER($J$120),$B$69=1),$J$120,HLOOKUP(INDIRECT(ADDRESS(2,COLUMN())),OFFSET($S$2,0,0,ROW()-1,13),ROW()-1,FALSE))</f>
        <v>668100</v>
      </c>
      <c r="K51">
        <f ca="1">IF(AND(ISNUMBER($K$120),$B$69=1),$K$120,HLOOKUP(INDIRECT(ADDRESS(2,COLUMN())),OFFSET($S$2,0,0,ROW()-1,13),ROW()-1,FALSE))</f>
        <v>657800</v>
      </c>
      <c r="L51">
        <f ca="1">IF(AND(ISNUMBER($L$120),$B$69=1),$L$120,HLOOKUP(INDIRECT(ADDRESS(2,COLUMN())),OFFSET($S$2,0,0,ROW()-1,13),ROW()-1,FALSE))</f>
        <v>577200</v>
      </c>
      <c r="M51">
        <f ca="1">IF(AND(ISNUMBER($M$120),$B$69=1),$M$120,HLOOKUP(INDIRECT(ADDRESS(2,COLUMN())),OFFSET($S$2,0,0,ROW()-1,13),ROW()-1,FALSE))</f>
        <v>528800</v>
      </c>
      <c r="N51">
        <f ca="1">IF(AND(ISNUMBER($N$120),$B$69=1),$N$120,HLOOKUP(INDIRECT(ADDRESS(2,COLUMN())),OFFSET($S$2,0,0,ROW()-1,13),ROW()-1,FALSE))</f>
        <v>570900</v>
      </c>
      <c r="O51">
        <f ca="1">IF(AND(ISNUMBER($O$120),$B$69=1),$O$120,HLOOKUP(INDIRECT(ADDRESS(2,COLUMN())),OFFSET($S$2,0,0,ROW()-1,13),ROW()-1,FALSE))</f>
        <v>568000</v>
      </c>
      <c r="P51">
        <f ca="1">IF(AND(ISNUMBER($P$120),$B$69=1),$P$120,HLOOKUP(INDIRECT(ADDRESS(2,COLUMN())),OFFSET($S$2,0,0,ROW()-1,13),ROW()-1,FALSE))</f>
        <v>453500</v>
      </c>
      <c r="Q51">
        <f ca="1">IF(AND(ISNUMBER($Q$120),$B$69=1),$Q$120,HLOOKUP(INDIRECT(ADDRESS(2,COLUMN())),OFFSET($S$2,0,0,ROW()-1,13),ROW()-1,FALSE))</f>
        <v>514800</v>
      </c>
      <c r="R51">
        <f ca="1">IF(AND(ISNUMBER($R$120),$B$69=1),$R$120,HLOOKUP(INDIRECT(ADDRESS(2,COLUMN())),OFFSET($S$2,0,0,ROW()-1,13),ROW()-1,FALSE))</f>
        <v>522900</v>
      </c>
      <c r="S51">
        <f>592900</f>
        <v>592900</v>
      </c>
      <c r="T51">
        <f>710700</f>
        <v>710700</v>
      </c>
      <c r="U51">
        <f>671300</f>
        <v>671300</v>
      </c>
      <c r="V51">
        <f>597800</f>
        <v>597800</v>
      </c>
      <c r="W51">
        <f>668100</f>
        <v>668100</v>
      </c>
      <c r="X51">
        <f>657800</f>
        <v>657800</v>
      </c>
      <c r="Y51">
        <f>577200</f>
        <v>577200</v>
      </c>
      <c r="Z51">
        <f>528800</f>
        <v>528800</v>
      </c>
      <c r="AA51">
        <f>570900</f>
        <v>570900</v>
      </c>
      <c r="AB51">
        <f>568000</f>
        <v>568000</v>
      </c>
      <c r="AC51">
        <f>453500</f>
        <v>453500</v>
      </c>
      <c r="AD51">
        <f>514800</f>
        <v>514800</v>
      </c>
      <c r="AE51">
        <f>522900</f>
        <v>522900</v>
      </c>
    </row>
    <row r="52" spans="1:31" x14ac:dyDescent="0.25">
      <c r="A52" t="str">
        <f>"    Sub Saharan Africa - South &amp; Central America"</f>
        <v xml:space="preserve">    Sub Saharan Africa - South &amp; Central America</v>
      </c>
      <c r="B52" t="str">
        <f>"CSHVSSCA Index"</f>
        <v>CSHVSSCA Index</v>
      </c>
      <c r="C52" t="str">
        <f t="shared" si="3"/>
        <v>PX385</v>
      </c>
      <c r="D52" t="str">
        <f t="shared" si="4"/>
        <v>INTERVAL_SUM</v>
      </c>
      <c r="E52" t="str">
        <f t="shared" si="5"/>
        <v>Dynamic</v>
      </c>
      <c r="F52">
        <f ca="1">IF(AND(ISNUMBER($F$121),$B$69=1),$F$121,HLOOKUP(INDIRECT(ADDRESS(2,COLUMN())),OFFSET($S$2,0,0,ROW()-1,13),ROW()-1,FALSE))</f>
        <v>20700</v>
      </c>
      <c r="G52">
        <f ca="1">IF(AND(ISNUMBER($G$121),$B$69=1),$G$121,HLOOKUP(INDIRECT(ADDRESS(2,COLUMN())),OFFSET($S$2,0,0,ROW()-1,13),ROW()-1,FALSE))</f>
        <v>35700</v>
      </c>
      <c r="H52">
        <f ca="1">IF(AND(ISNUMBER($H$121),$B$69=1),$H$121,HLOOKUP(INDIRECT(ADDRESS(2,COLUMN())),OFFSET($S$2,0,0,ROW()-1,13),ROW()-1,FALSE))</f>
        <v>35800</v>
      </c>
      <c r="I52">
        <f ca="1">IF(AND(ISNUMBER($I$121),$B$69=1),$I$121,HLOOKUP(INDIRECT(ADDRESS(2,COLUMN())),OFFSET($S$2,0,0,ROW()-1,13),ROW()-1,FALSE))</f>
        <v>26000</v>
      </c>
      <c r="J52">
        <f ca="1">IF(AND(ISNUMBER($J$121),$B$69=1),$J$121,HLOOKUP(INDIRECT(ADDRESS(2,COLUMN())),OFFSET($S$2,0,0,ROW()-1,13),ROW()-1,FALSE))</f>
        <v>32100</v>
      </c>
      <c r="K52">
        <f ca="1">IF(AND(ISNUMBER($K$121),$B$69=1),$K$121,HLOOKUP(INDIRECT(ADDRESS(2,COLUMN())),OFFSET($S$2,0,0,ROW()-1,13),ROW()-1,FALSE))</f>
        <v>33900</v>
      </c>
      <c r="L52">
        <f ca="1">IF(AND(ISNUMBER($L$121),$B$69=1),$L$121,HLOOKUP(INDIRECT(ADDRESS(2,COLUMN())),OFFSET($S$2,0,0,ROW()-1,13),ROW()-1,FALSE))</f>
        <v>29700</v>
      </c>
      <c r="M52">
        <f ca="1">IF(AND(ISNUMBER($M$121),$B$69=1),$M$121,HLOOKUP(INDIRECT(ADDRESS(2,COLUMN())),OFFSET($S$2,0,0,ROW()-1,13),ROW()-1,FALSE))</f>
        <v>38200</v>
      </c>
      <c r="N52">
        <f ca="1">IF(AND(ISNUMBER($N$121),$B$69=1),$N$121,HLOOKUP(INDIRECT(ADDRESS(2,COLUMN())),OFFSET($S$2,0,0,ROW()-1,13),ROW()-1,FALSE))</f>
        <v>40400</v>
      </c>
      <c r="O52">
        <f ca="1">IF(AND(ISNUMBER($O$121),$B$69=1),$O$121,HLOOKUP(INDIRECT(ADDRESS(2,COLUMN())),OFFSET($S$2,0,0,ROW()-1,13),ROW()-1,FALSE))</f>
        <v>52100</v>
      </c>
      <c r="P52">
        <f ca="1">IF(AND(ISNUMBER($P$121),$B$69=1),$P$121,HLOOKUP(INDIRECT(ADDRESS(2,COLUMN())),OFFSET($S$2,0,0,ROW()-1,13),ROW()-1,FALSE))</f>
        <v>51900</v>
      </c>
      <c r="Q52">
        <f ca="1">IF(AND(ISNUMBER($Q$121),$B$69=1),$Q$121,HLOOKUP(INDIRECT(ADDRESS(2,COLUMN())),OFFSET($S$2,0,0,ROW()-1,13),ROW()-1,FALSE))</f>
        <v>49400</v>
      </c>
      <c r="R52">
        <f ca="1">IF(AND(ISNUMBER($R$121),$B$69=1),$R$121,HLOOKUP(INDIRECT(ADDRESS(2,COLUMN())),OFFSET($S$2,0,0,ROW()-1,13),ROW()-1,FALSE))</f>
        <v>52000</v>
      </c>
      <c r="S52">
        <f>20700</f>
        <v>20700</v>
      </c>
      <c r="T52">
        <f>35700</f>
        <v>35700</v>
      </c>
      <c r="U52">
        <f>35800</f>
        <v>35800</v>
      </c>
      <c r="V52">
        <f>26000</f>
        <v>26000</v>
      </c>
      <c r="W52">
        <f>32100</f>
        <v>32100</v>
      </c>
      <c r="X52">
        <f>33900</f>
        <v>33900</v>
      </c>
      <c r="Y52">
        <f>29700</f>
        <v>29700</v>
      </c>
      <c r="Z52">
        <f>38200</f>
        <v>38200</v>
      </c>
      <c r="AA52">
        <f>40400</f>
        <v>40400</v>
      </c>
      <c r="AB52">
        <f>52100</f>
        <v>52100</v>
      </c>
      <c r="AC52">
        <f>51900</f>
        <v>51900</v>
      </c>
      <c r="AD52">
        <f>49400</f>
        <v>49400</v>
      </c>
      <c r="AE52">
        <f>52000</f>
        <v>52000</v>
      </c>
    </row>
    <row r="53" spans="1:31" x14ac:dyDescent="0.25">
      <c r="A53" t="str">
        <f>"    "</f>
        <v xml:space="preserve">    </v>
      </c>
      <c r="B53" t="str">
        <f>""</f>
        <v/>
      </c>
      <c r="E53" t="str">
        <f>"Static"</f>
        <v>Static</v>
      </c>
      <c r="F53" t="str">
        <f t="shared" ref="F53:R53" ca="1" si="6">HLOOKUP(INDIRECT(ADDRESS(2,COLUMN())),OFFSET($S$2,0,0,ROW()-1,13),ROW()-1,FALSE)</f>
        <v/>
      </c>
      <c r="G53" t="str">
        <f t="shared" ca="1" si="6"/>
        <v/>
      </c>
      <c r="H53" t="str">
        <f t="shared" ca="1" si="6"/>
        <v/>
      </c>
      <c r="I53" t="str">
        <f t="shared" ca="1" si="6"/>
        <v/>
      </c>
      <c r="J53" t="str">
        <f t="shared" ca="1" si="6"/>
        <v/>
      </c>
      <c r="K53" t="str">
        <f t="shared" ca="1" si="6"/>
        <v/>
      </c>
      <c r="L53" t="str">
        <f t="shared" ca="1" si="6"/>
        <v/>
      </c>
      <c r="M53" t="str">
        <f t="shared" ca="1" si="6"/>
        <v/>
      </c>
      <c r="N53" t="str">
        <f t="shared" ca="1" si="6"/>
        <v/>
      </c>
      <c r="O53" t="str">
        <f t="shared" ca="1" si="6"/>
        <v/>
      </c>
      <c r="P53" t="str">
        <f t="shared" ca="1" si="6"/>
        <v/>
      </c>
      <c r="Q53" t="str">
        <f t="shared" ca="1" si="6"/>
        <v/>
      </c>
      <c r="R53" t="str">
        <f t="shared" ca="1" si="6"/>
        <v/>
      </c>
      <c r="S53" t="str">
        <f>""</f>
        <v/>
      </c>
      <c r="T53" t="str">
        <f>""</f>
        <v/>
      </c>
      <c r="U53" t="str">
        <f>""</f>
        <v/>
      </c>
      <c r="V53" t="str">
        <f>""</f>
        <v/>
      </c>
      <c r="W53" t="str">
        <f>""</f>
        <v/>
      </c>
      <c r="X53" t="str">
        <f>""</f>
        <v/>
      </c>
      <c r="Y53" t="str">
        <f>""</f>
        <v/>
      </c>
      <c r="Z53" t="str">
        <f>""</f>
        <v/>
      </c>
      <c r="AA53" t="str">
        <f>""</f>
        <v/>
      </c>
      <c r="AB53" t="str">
        <f>""</f>
        <v/>
      </c>
      <c r="AC53" t="str">
        <f>""</f>
        <v/>
      </c>
      <c r="AD53" t="str">
        <f>""</f>
        <v/>
      </c>
      <c r="AE53" t="str">
        <f>""</f>
        <v/>
      </c>
    </row>
    <row r="54" spans="1:31" x14ac:dyDescent="0.25">
      <c r="S54" t="str">
        <f>""</f>
        <v/>
      </c>
      <c r="T54" t="str">
        <f>""</f>
        <v/>
      </c>
      <c r="U54" t="str">
        <f>""</f>
        <v/>
      </c>
      <c r="V54" t="str">
        <f>""</f>
        <v/>
      </c>
      <c r="W54" t="str">
        <f>""</f>
        <v/>
      </c>
      <c r="X54" t="str">
        <f>""</f>
        <v/>
      </c>
      <c r="Y54" t="str">
        <f>""</f>
        <v/>
      </c>
      <c r="Z54" t="str">
        <f>""</f>
        <v/>
      </c>
      <c r="AA54" t="str">
        <f>""</f>
        <v/>
      </c>
      <c r="AB54" t="str">
        <f>""</f>
        <v/>
      </c>
      <c r="AC54" t="str">
        <f>""</f>
        <v/>
      </c>
      <c r="AD54" t="str">
        <f>""</f>
        <v/>
      </c>
      <c r="AE54" t="str">
        <f>""</f>
        <v/>
      </c>
    </row>
    <row r="55" spans="1:31" x14ac:dyDescent="0.25">
      <c r="S55" t="str">
        <f>""</f>
        <v/>
      </c>
      <c r="T55" t="str">
        <f>""</f>
        <v/>
      </c>
      <c r="U55" t="str">
        <f>""</f>
        <v/>
      </c>
      <c r="V55" t="str">
        <f>""</f>
        <v/>
      </c>
      <c r="W55" t="str">
        <f>""</f>
        <v/>
      </c>
      <c r="X55" t="str">
        <f>""</f>
        <v/>
      </c>
      <c r="Y55" t="str">
        <f>""</f>
        <v/>
      </c>
      <c r="Z55" t="str">
        <f>""</f>
        <v/>
      </c>
      <c r="AA55" t="str">
        <f>""</f>
        <v/>
      </c>
      <c r="AB55" t="str">
        <f>""</f>
        <v/>
      </c>
      <c r="AC55" t="str">
        <f>""</f>
        <v/>
      </c>
      <c r="AD55" t="str">
        <f>""</f>
        <v/>
      </c>
      <c r="AE55" t="str">
        <f>""</f>
        <v/>
      </c>
    </row>
    <row r="56" spans="1:31" x14ac:dyDescent="0.25">
      <c r="S56" t="str">
        <f>""</f>
        <v/>
      </c>
      <c r="T56" t="str">
        <f>""</f>
        <v/>
      </c>
      <c r="U56" t="str">
        <f>""</f>
        <v/>
      </c>
      <c r="V56" t="str">
        <f>""</f>
        <v/>
      </c>
      <c r="W56" t="str">
        <f>""</f>
        <v/>
      </c>
      <c r="X56" t="str">
        <f>""</f>
        <v/>
      </c>
      <c r="Y56" t="str">
        <f>""</f>
        <v/>
      </c>
      <c r="Z56" t="str">
        <f>""</f>
        <v/>
      </c>
      <c r="AA56" t="str">
        <f>""</f>
        <v/>
      </c>
      <c r="AB56" t="str">
        <f>""</f>
        <v/>
      </c>
      <c r="AC56" t="str">
        <f>""</f>
        <v/>
      </c>
      <c r="AD56" t="str">
        <f>""</f>
        <v/>
      </c>
      <c r="AE56" t="str">
        <f>""</f>
        <v/>
      </c>
    </row>
    <row r="57" spans="1:31" x14ac:dyDescent="0.25">
      <c r="S57" t="str">
        <f>""</f>
        <v/>
      </c>
      <c r="T57" t="str">
        <f>""</f>
        <v/>
      </c>
      <c r="U57" t="str">
        <f>""</f>
        <v/>
      </c>
      <c r="V57" t="str">
        <f>""</f>
        <v/>
      </c>
      <c r="W57" t="str">
        <f>""</f>
        <v/>
      </c>
      <c r="X57" t="str">
        <f>""</f>
        <v/>
      </c>
      <c r="Y57" t="str">
        <f>""</f>
        <v/>
      </c>
      <c r="Z57" t="str">
        <f>""</f>
        <v/>
      </c>
      <c r="AA57" t="str">
        <f>""</f>
        <v/>
      </c>
      <c r="AB57" t="str">
        <f>""</f>
        <v/>
      </c>
      <c r="AC57" t="str">
        <f>""</f>
        <v/>
      </c>
      <c r="AD57" t="str">
        <f>""</f>
        <v/>
      </c>
      <c r="AE57" t="str">
        <f>""</f>
        <v/>
      </c>
    </row>
    <row r="58" spans="1:31" x14ac:dyDescent="0.25">
      <c r="S58" t="str">
        <f>""</f>
        <v/>
      </c>
      <c r="T58" t="str">
        <f>""</f>
        <v/>
      </c>
      <c r="U58" t="str">
        <f>""</f>
        <v/>
      </c>
      <c r="V58" t="str">
        <f>""</f>
        <v/>
      </c>
      <c r="W58" t="str">
        <f>""</f>
        <v/>
      </c>
      <c r="X58" t="str">
        <f>""</f>
        <v/>
      </c>
      <c r="Y58" t="str">
        <f>""</f>
        <v/>
      </c>
      <c r="Z58" t="str">
        <f>""</f>
        <v/>
      </c>
      <c r="AA58" t="str">
        <f>""</f>
        <v/>
      </c>
      <c r="AB58" t="str">
        <f>""</f>
        <v/>
      </c>
      <c r="AC58" t="str">
        <f>""</f>
        <v/>
      </c>
      <c r="AD58" t="str">
        <f>""</f>
        <v/>
      </c>
      <c r="AE58" t="str">
        <f>""</f>
        <v/>
      </c>
    </row>
    <row r="59" spans="1:31" x14ac:dyDescent="0.25">
      <c r="S59" t="str">
        <f>""</f>
        <v/>
      </c>
      <c r="T59" t="str">
        <f>""</f>
        <v/>
      </c>
      <c r="U59" t="str">
        <f>""</f>
        <v/>
      </c>
      <c r="V59" t="str">
        <f>""</f>
        <v/>
      </c>
      <c r="W59" t="str">
        <f>""</f>
        <v/>
      </c>
      <c r="X59" t="str">
        <f>""</f>
        <v/>
      </c>
      <c r="Y59" t="str">
        <f>""</f>
        <v/>
      </c>
      <c r="Z59" t="str">
        <f>""</f>
        <v/>
      </c>
      <c r="AA59" t="str">
        <f>""</f>
        <v/>
      </c>
      <c r="AB59" t="str">
        <f>""</f>
        <v/>
      </c>
      <c r="AC59" t="str">
        <f>""</f>
        <v/>
      </c>
      <c r="AD59" t="str">
        <f>""</f>
        <v/>
      </c>
      <c r="AE59" t="str">
        <f>""</f>
        <v/>
      </c>
    </row>
    <row r="60" spans="1:31" x14ac:dyDescent="0.25"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t="str">
        <f>""</f>
        <v/>
      </c>
      <c r="AC60" t="str">
        <f>""</f>
        <v/>
      </c>
      <c r="AD60" t="str">
        <f>""</f>
        <v/>
      </c>
      <c r="AE60" t="str">
        <f>""</f>
        <v/>
      </c>
    </row>
    <row r="61" spans="1:31" x14ac:dyDescent="0.25">
      <c r="A61" t="str">
        <f t="shared" ref="A61:R61" si="7">"~~~~~~~~~~"</f>
        <v>~~~~~~~~~~</v>
      </c>
      <c r="B61" t="str">
        <f t="shared" si="7"/>
        <v>~~~~~~~~~~</v>
      </c>
      <c r="C61" t="str">
        <f t="shared" si="7"/>
        <v>~~~~~~~~~~</v>
      </c>
      <c r="D61" t="str">
        <f t="shared" si="7"/>
        <v>~~~~~~~~~~</v>
      </c>
      <c r="E61" t="str">
        <f t="shared" si="7"/>
        <v>~~~~~~~~~~</v>
      </c>
      <c r="F61" t="str">
        <f t="shared" si="7"/>
        <v>~~~~~~~~~~</v>
      </c>
      <c r="G61" t="str">
        <f t="shared" si="7"/>
        <v>~~~~~~~~~~</v>
      </c>
      <c r="H61" t="str">
        <f t="shared" si="7"/>
        <v>~~~~~~~~~~</v>
      </c>
      <c r="I61" t="str">
        <f t="shared" si="7"/>
        <v>~~~~~~~~~~</v>
      </c>
      <c r="J61" t="str">
        <f t="shared" si="7"/>
        <v>~~~~~~~~~~</v>
      </c>
      <c r="K61" t="str">
        <f t="shared" si="7"/>
        <v>~~~~~~~~~~</v>
      </c>
      <c r="L61" t="str">
        <f t="shared" si="7"/>
        <v>~~~~~~~~~~</v>
      </c>
      <c r="M61" t="str">
        <f t="shared" si="7"/>
        <v>~~~~~~~~~~</v>
      </c>
      <c r="N61" t="str">
        <f t="shared" si="7"/>
        <v>~~~~~~~~~~</v>
      </c>
      <c r="O61" t="str">
        <f t="shared" si="7"/>
        <v>~~~~~~~~~~</v>
      </c>
      <c r="P61" t="str">
        <f t="shared" si="7"/>
        <v>~~~~~~~~~~</v>
      </c>
      <c r="Q61" t="str">
        <f t="shared" si="7"/>
        <v>~~~~~~~~~~</v>
      </c>
      <c r="R61" t="str">
        <f t="shared" si="7"/>
        <v>~~~~~~~~~~</v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  <c r="AD61" t="str">
        <f>""</f>
        <v/>
      </c>
      <c r="AE61" t="str">
        <f>""</f>
        <v/>
      </c>
    </row>
    <row r="62" spans="1:31" x14ac:dyDescent="0.25">
      <c r="A62" t="str">
        <f>"All rows below have been added for reference by formula rows above."</f>
        <v>All rows below have been added for reference by formula rows above.</v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  <c r="AD62" t="str">
        <f>""</f>
        <v/>
      </c>
      <c r="AE62" t="str">
        <f>""</f>
        <v/>
      </c>
    </row>
    <row r="63" spans="1:31" x14ac:dyDescent="0.25">
      <c r="A63">
        <f>RTD("bloomberg.ccyreader", "", "#track", "DBG", "BIHITX", "1.0","RepeatHit")</f>
        <v>0</v>
      </c>
      <c r="S63" t="str">
        <f>""</f>
        <v/>
      </c>
      <c r="T63" t="str">
        <f>""</f>
        <v/>
      </c>
      <c r="U63" t="str">
        <f>""</f>
        <v/>
      </c>
      <c r="V63" t="str">
        <f>""</f>
        <v/>
      </c>
      <c r="W63" t="str">
        <f>""</f>
        <v/>
      </c>
      <c r="X63" t="str">
        <f>""</f>
        <v/>
      </c>
      <c r="Y63" t="str">
        <f>""</f>
        <v/>
      </c>
      <c r="Z63" t="str">
        <f>""</f>
        <v/>
      </c>
      <c r="AA63" t="str">
        <f>""</f>
        <v/>
      </c>
      <c r="AB63" t="str">
        <f>""</f>
        <v/>
      </c>
      <c r="AC63" t="str">
        <f>""</f>
        <v/>
      </c>
      <c r="AD63" t="str">
        <f>""</f>
        <v/>
      </c>
      <c r="AE63" t="str">
        <f>""</f>
        <v/>
      </c>
    </row>
    <row r="64" spans="1:31" x14ac:dyDescent="0.25">
      <c r="A64" t="str">
        <f>"Currency"</f>
        <v>Currency</v>
      </c>
      <c r="B64" t="str">
        <f>"USD"</f>
        <v>USD</v>
      </c>
      <c r="S64" t="str">
        <f>""</f>
        <v/>
      </c>
      <c r="T64" t="str">
        <f>""</f>
        <v/>
      </c>
      <c r="U64" t="str">
        <f>""</f>
        <v/>
      </c>
      <c r="V64" t="str">
        <f>""</f>
        <v/>
      </c>
      <c r="W64" t="str">
        <f>""</f>
        <v/>
      </c>
      <c r="X64" t="str">
        <f>""</f>
        <v/>
      </c>
      <c r="Y64" t="str">
        <f>""</f>
        <v/>
      </c>
      <c r="Z64" t="str">
        <f>""</f>
        <v/>
      </c>
      <c r="AA64" t="str">
        <f>""</f>
        <v/>
      </c>
      <c r="AB64" t="str">
        <f>""</f>
        <v/>
      </c>
      <c r="AC64" t="str">
        <f>""</f>
        <v/>
      </c>
      <c r="AD64" t="str">
        <f>""</f>
        <v/>
      </c>
      <c r="AE64" t="str">
        <f>""</f>
        <v/>
      </c>
    </row>
    <row r="65" spans="1:31" x14ac:dyDescent="0.25">
      <c r="A65" t="str">
        <f>"Periodicity"</f>
        <v>Periodicity</v>
      </c>
      <c r="B65" t="str">
        <f>"CY"</f>
        <v>CY</v>
      </c>
      <c r="C65" t="str">
        <f>"AY"</f>
        <v>AY</v>
      </c>
      <c r="S65" t="str">
        <f>""</f>
        <v/>
      </c>
      <c r="T65" t="str">
        <f>""</f>
        <v/>
      </c>
      <c r="U65" t="str">
        <f>""</f>
        <v/>
      </c>
      <c r="V65" t="str">
        <f>""</f>
        <v/>
      </c>
      <c r="W65" t="str">
        <f>""</f>
        <v/>
      </c>
      <c r="X65" t="str">
        <f>""</f>
        <v/>
      </c>
      <c r="Y65" t="str">
        <f>""</f>
        <v/>
      </c>
      <c r="Z65" t="str">
        <f>""</f>
        <v/>
      </c>
      <c r="AA65" t="str">
        <f>""</f>
        <v/>
      </c>
      <c r="AB65" t="str">
        <f>""</f>
        <v/>
      </c>
      <c r="AC65" t="str">
        <f>""</f>
        <v/>
      </c>
      <c r="AD65" t="str">
        <f>""</f>
        <v/>
      </c>
      <c r="AE65" t="str">
        <f>""</f>
        <v/>
      </c>
    </row>
    <row r="66" spans="1:31" x14ac:dyDescent="0.25">
      <c r="A66" t="str">
        <f>"Number of Periods"</f>
        <v>Number of Periods</v>
      </c>
      <c r="B66">
        <f>13</f>
        <v>13</v>
      </c>
      <c r="S66" t="str">
        <f>""</f>
        <v/>
      </c>
      <c r="T66" t="str">
        <f>""</f>
        <v/>
      </c>
      <c r="U66" t="str">
        <f>""</f>
        <v/>
      </c>
      <c r="V66" t="str">
        <f>""</f>
        <v/>
      </c>
      <c r="W66" t="str">
        <f>""</f>
        <v/>
      </c>
      <c r="X66" t="str">
        <f>""</f>
        <v/>
      </c>
      <c r="Y66" t="str">
        <f>""</f>
        <v/>
      </c>
      <c r="Z66" t="str">
        <f>""</f>
        <v/>
      </c>
      <c r="AA66" t="str">
        <f>""</f>
        <v/>
      </c>
      <c r="AB66" t="str">
        <f>""</f>
        <v/>
      </c>
      <c r="AC66" t="str">
        <f>""</f>
        <v/>
      </c>
      <c r="AD66" t="str">
        <f>""</f>
        <v/>
      </c>
      <c r="AE66" t="str">
        <f>""</f>
        <v/>
      </c>
    </row>
    <row r="67" spans="1:31" x14ac:dyDescent="0.25">
      <c r="A67" t="str">
        <f>"Start Date"</f>
        <v>Start Date</v>
      </c>
      <c r="B67" t="str">
        <f>CONCATENATE("-",$B$66,$B$65)</f>
        <v>-13CY</v>
      </c>
      <c r="C67" t="str">
        <f>CONCATENATE("-",$B$66,$C$65)</f>
        <v>-13AY</v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>""</f>
        <v/>
      </c>
      <c r="AB67" t="str">
        <f>""</f>
        <v/>
      </c>
      <c r="AC67" t="str">
        <f>""</f>
        <v/>
      </c>
      <c r="AD67" t="str">
        <f>""</f>
        <v/>
      </c>
      <c r="AE67" t="str">
        <f>""</f>
        <v/>
      </c>
    </row>
    <row r="68" spans="1:31" x14ac:dyDescent="0.25">
      <c r="A68" t="str">
        <f>"End Date"</f>
        <v>End Date</v>
      </c>
      <c r="B68">
        <f ca="1">IF(TODAY()&lt;DATE(2023, 12,31),DATE(2023, 12,31),TODAY())</f>
        <v>45291</v>
      </c>
      <c r="S68" t="str">
        <f>""</f>
        <v/>
      </c>
      <c r="T68" t="str">
        <f>""</f>
        <v/>
      </c>
      <c r="U68" t="str">
        <f>""</f>
        <v/>
      </c>
      <c r="V68" t="str">
        <f>""</f>
        <v/>
      </c>
      <c r="W68" t="str">
        <f>""</f>
        <v/>
      </c>
      <c r="X68" t="str">
        <f>""</f>
        <v/>
      </c>
      <c r="Y68" t="str">
        <f>""</f>
        <v/>
      </c>
      <c r="Z68" t="str">
        <f>""</f>
        <v/>
      </c>
      <c r="AA68" t="str">
        <f>""</f>
        <v/>
      </c>
      <c r="AB68" t="str">
        <f>""</f>
        <v/>
      </c>
      <c r="AC68" t="str">
        <f>""</f>
        <v/>
      </c>
      <c r="AD68" t="str">
        <f>""</f>
        <v/>
      </c>
      <c r="AE68" t="str">
        <f>""</f>
        <v/>
      </c>
    </row>
    <row r="69" spans="1:31" x14ac:dyDescent="0.25">
      <c r="A69" t="str">
        <f>"HeaderStatus(BDP formula)"</f>
        <v>HeaderStatus(BDP formula)</v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 t="str">
        <f>""</f>
        <v/>
      </c>
      <c r="AA69" t="str">
        <f>""</f>
        <v/>
      </c>
      <c r="AB69" t="str">
        <f>""</f>
        <v/>
      </c>
      <c r="AC69" t="str">
        <f>""</f>
        <v/>
      </c>
      <c r="AD69" t="str">
        <f>""</f>
        <v/>
      </c>
      <c r="AE69" t="str">
        <f>""</f>
        <v/>
      </c>
    </row>
    <row r="70" spans="1:31" x14ac:dyDescent="0.25"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t="str">
        <f>""</f>
        <v/>
      </c>
      <c r="AC70" t="str">
        <f>""</f>
        <v/>
      </c>
      <c r="AD70" t="str">
        <f>""</f>
        <v/>
      </c>
      <c r="AE70" t="str">
        <f>""</f>
        <v/>
      </c>
    </row>
    <row r="71" spans="1:31" x14ac:dyDescent="0.25">
      <c r="A71" t="str">
        <f>"Period Start"</f>
        <v>Period Start</v>
      </c>
      <c r="C71" t="str">
        <f>"PX391"</f>
        <v>PX391</v>
      </c>
      <c r="D71" t="str">
        <f>"START_DATE_OVERRIDE"</f>
        <v>START_DATE_OVERRIDE</v>
      </c>
      <c r="E71" t="str">
        <f>"Dynamic"</f>
        <v>Dynamic</v>
      </c>
      <c r="F71" t="str">
        <f ca="1">CONCATENATE(YEAR($B$68)-(1*0),"0101")</f>
        <v>20230101</v>
      </c>
      <c r="G71" t="str">
        <f ca="1">CONCATENATE(YEAR($B$68)-(1*1),"0101")</f>
        <v>20220101</v>
      </c>
      <c r="H71" t="str">
        <f ca="1">CONCATENATE(YEAR($B$68)-(1*2),"0101")</f>
        <v>20210101</v>
      </c>
      <c r="I71" t="str">
        <f ca="1">CONCATENATE(YEAR($B$68)-(1*3),"0101")</f>
        <v>20200101</v>
      </c>
      <c r="J71" t="str">
        <f ca="1">CONCATENATE(YEAR($B$68)-(1*4),"0101")</f>
        <v>20190101</v>
      </c>
      <c r="K71" t="str">
        <f ca="1">CONCATENATE(YEAR($B$68)-(1*5),"0101")</f>
        <v>20180101</v>
      </c>
      <c r="L71" t="str">
        <f ca="1">CONCATENATE(YEAR($B$68)-(1*6),"0101")</f>
        <v>20170101</v>
      </c>
      <c r="M71" t="str">
        <f ca="1">CONCATENATE(YEAR($B$68)-(1*7),"0101")</f>
        <v>20160101</v>
      </c>
      <c r="N71" t="str">
        <f ca="1">CONCATENATE(YEAR($B$68)-(1*8),"0101")</f>
        <v>20150101</v>
      </c>
      <c r="O71" t="str">
        <f ca="1">CONCATENATE(YEAR($B$68)-(1*9),"0101")</f>
        <v>20140101</v>
      </c>
      <c r="P71" t="str">
        <f ca="1">CONCATENATE(YEAR($B$68)-(1*10),"0101")</f>
        <v>20130101</v>
      </c>
      <c r="Q71" t="str">
        <f ca="1">CONCATENATE(YEAR($B$68)-(1*11),"0101")</f>
        <v>20120101</v>
      </c>
      <c r="R71" t="str">
        <f ca="1">CONCATENATE(YEAR($B$68)-(1*12),"0101")</f>
        <v>20110101</v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t="str">
        <f>""</f>
        <v/>
      </c>
      <c r="AC71" t="str">
        <f>""</f>
        <v/>
      </c>
      <c r="AD71" t="str">
        <f>""</f>
        <v/>
      </c>
      <c r="AE71" t="str">
        <f>""</f>
        <v/>
      </c>
    </row>
    <row r="72" spans="1:31" x14ac:dyDescent="0.25">
      <c r="A72" t="str">
        <f>"Period End"</f>
        <v>Period End</v>
      </c>
      <c r="C72" t="str">
        <f>"PX392"</f>
        <v>PX392</v>
      </c>
      <c r="D72" t="str">
        <f>"END_DATE_OVERRIDE"</f>
        <v>END_DATE_OVERRIDE</v>
      </c>
      <c r="E72" t="str">
        <f>"Dynamic"</f>
        <v>Dynamic</v>
      </c>
      <c r="F72" t="str">
        <f ca="1">CONCATENATE(YEAR($B$68)-(1*0),"1231")</f>
        <v>20231231</v>
      </c>
      <c r="G72" t="str">
        <f ca="1">CONCATENATE(YEAR($B$68)-(1*1),"1231")</f>
        <v>20221231</v>
      </c>
      <c r="H72" t="str">
        <f ca="1">CONCATENATE(YEAR($B$68)-(1*2),"1231")</f>
        <v>20211231</v>
      </c>
      <c r="I72" t="str">
        <f ca="1">CONCATENATE(YEAR($B$68)-(1*3),"1231")</f>
        <v>20201231</v>
      </c>
      <c r="J72" t="str">
        <f ca="1">CONCATENATE(YEAR($B$68)-(1*4),"1231")</f>
        <v>20191231</v>
      </c>
      <c r="K72" t="str">
        <f ca="1">CONCATENATE(YEAR($B$68)-(1*5),"1231")</f>
        <v>20181231</v>
      </c>
      <c r="L72" t="str">
        <f ca="1">CONCATENATE(YEAR($B$68)-(1*6),"1231")</f>
        <v>20171231</v>
      </c>
      <c r="M72" t="str">
        <f ca="1">CONCATENATE(YEAR($B$68)-(1*7),"1231")</f>
        <v>20161231</v>
      </c>
      <c r="N72" t="str">
        <f ca="1">CONCATENATE(YEAR($B$68)-(1*8),"1231")</f>
        <v>20151231</v>
      </c>
      <c r="O72" t="str">
        <f ca="1">CONCATENATE(YEAR($B$68)-(1*9),"1231")</f>
        <v>20141231</v>
      </c>
      <c r="P72" t="str">
        <f ca="1">CONCATENATE(YEAR($B$68)-(1*10),"1231")</f>
        <v>20131231</v>
      </c>
      <c r="Q72" t="str">
        <f ca="1">CONCATENATE(YEAR($B$68)-(1*11),"1231")</f>
        <v>20121231</v>
      </c>
      <c r="R72" t="str">
        <f ca="1">CONCATENATE(YEAR($B$68)-(1*12),"1231")</f>
        <v>20111231</v>
      </c>
      <c r="S72" t="str">
        <f>""</f>
        <v/>
      </c>
      <c r="T72" t="str">
        <f>""</f>
        <v/>
      </c>
      <c r="U72" t="str">
        <f>""</f>
        <v/>
      </c>
      <c r="V72" t="str">
        <f>""</f>
        <v/>
      </c>
      <c r="W72" t="str">
        <f>""</f>
        <v/>
      </c>
      <c r="X72" t="str">
        <f>""</f>
        <v/>
      </c>
      <c r="Y72" t="str">
        <f>""</f>
        <v/>
      </c>
      <c r="Z72" t="str">
        <f>""</f>
        <v/>
      </c>
      <c r="AA72" t="str">
        <f>""</f>
        <v/>
      </c>
      <c r="AB72" t="str">
        <f>""</f>
        <v/>
      </c>
      <c r="AC72" t="str">
        <f>""</f>
        <v/>
      </c>
      <c r="AD72" t="str">
        <f>""</f>
        <v/>
      </c>
      <c r="AE72" t="str">
        <f>""</f>
        <v/>
      </c>
    </row>
    <row r="73" spans="1:31" x14ac:dyDescent="0.25">
      <c r="A73" t="str">
        <f>$A$4</f>
        <v xml:space="preserve">    Asia - South &amp; Central America</v>
      </c>
      <c r="B73" t="str">
        <f>$B$4</f>
        <v>CSHVASCA Index</v>
      </c>
      <c r="C73" t="str">
        <f>$C$4</f>
        <v>PX385</v>
      </c>
      <c r="D73" t="str">
        <f>$D$4</f>
        <v>INTERVAL_SUM</v>
      </c>
      <c r="E73" t="str">
        <f>$E$4</f>
        <v>Dynamic</v>
      </c>
      <c r="F73">
        <f ca="1">_xll.BDP($B$4,$C$4,CONCATENATE("PX391=", $F$71), CONCATENATE("PX392=",$F$72), CONCATENATE("DS004=",$B$64), "Fill=B")</f>
        <v>3471000</v>
      </c>
      <c r="G73">
        <f ca="1">_xll.BDP($B$4,$C$4,CONCATENATE("PX391=", $G$71), CONCATENATE("PX392=",$G$72), CONCATENATE("DS004=",$B$64), "Fill=B")</f>
        <v>4101300</v>
      </c>
      <c r="H73">
        <f ca="1">_xll.BDP($B$4,$C$4,CONCATENATE("PX391=", $H$71), CONCATENATE("PX392=",$H$72), CONCATENATE("DS004=",$B$64), "Fill=B")</f>
        <v>4478500</v>
      </c>
      <c r="I73">
        <f ca="1">_xll.BDP($B$4,$C$4,CONCATENATE("PX391=", $I$71), CONCATENATE("PX392=",$I$72), CONCATENATE("DS004=",$B$64), "Fill=B")</f>
        <v>3686400</v>
      </c>
      <c r="J73">
        <f ca="1">_xll.BDP($B$4,$C$4,CONCATENATE("PX391=", $J$71), CONCATENATE("PX392=",$J$72), CONCATENATE("DS004=",$B$64), "Fill=B")</f>
        <v>3909300</v>
      </c>
      <c r="K73">
        <f ca="1">_xll.BDP($B$4,$C$4,CONCATENATE("PX391=", $K$71), CONCATENATE("PX392=",$K$72), CONCATENATE("DS004=",$B$64), "Fill=B")</f>
        <v>3881700</v>
      </c>
      <c r="L73">
        <f ca="1">_xll.BDP($B$4,$C$4,CONCATENATE("PX391=", $L$71), CONCATENATE("PX392=",$L$72), CONCATENATE("DS004=",$B$64), "Fill=B")</f>
        <v>3628300</v>
      </c>
      <c r="M73">
        <f ca="1">_xll.BDP($B$4,$C$4,CONCATENATE("PX391=", $M$71), CONCATENATE("PX392=",$M$72), CONCATENATE("DS004=",$B$64), "Fill=B")</f>
        <v>3362500</v>
      </c>
      <c r="N73">
        <f ca="1">_xll.BDP($B$4,$C$4,CONCATENATE("PX391=", $N$71), CONCATENATE("PX392=",$N$72), CONCATENATE("DS004=",$B$64), "Fill=B")</f>
        <v>3223400</v>
      </c>
      <c r="O73">
        <f ca="1">_xll.BDP($B$4,$C$4,CONCATENATE("PX391=", $O$71), CONCATENATE("PX392=",$O$72), CONCATENATE("DS004=",$B$64), "Fill=B")</f>
        <v>3236400</v>
      </c>
      <c r="P73">
        <f ca="1">_xll.BDP($B$4,$C$4,CONCATENATE("PX391=", $P$71), CONCATENATE("PX392=",$P$72), CONCATENATE("DS004=",$B$64), "Fill=B")</f>
        <v>3512800</v>
      </c>
      <c r="Q73">
        <f ca="1">_xll.BDP($B$4,$C$4,CONCATENATE("PX391=", $Q$71), CONCATENATE("PX392=",$Q$72), CONCATENATE("DS004=",$B$64), "Fill=B")</f>
        <v>3339600</v>
      </c>
      <c r="R73">
        <f ca="1">_xll.BDP($B$4,$C$4,CONCATENATE("PX391=", $R$71), CONCATENATE("PX392=",$R$72), CONCATENATE("DS004=",$B$64), "Fill=B")</f>
        <v>3315400</v>
      </c>
      <c r="S73" t="str">
        <f>""</f>
        <v/>
      </c>
      <c r="T73" t="str">
        <f>""</f>
        <v/>
      </c>
      <c r="U73" t="str">
        <f>""</f>
        <v/>
      </c>
      <c r="V73" t="str">
        <f>""</f>
        <v/>
      </c>
      <c r="W73" t="str">
        <f>""</f>
        <v/>
      </c>
      <c r="X73" t="str">
        <f>""</f>
        <v/>
      </c>
      <c r="Y73" t="str">
        <f>""</f>
        <v/>
      </c>
      <c r="Z73" t="str">
        <f>""</f>
        <v/>
      </c>
      <c r="AA73" t="str">
        <f>""</f>
        <v/>
      </c>
      <c r="AB73" t="str">
        <f>""</f>
        <v/>
      </c>
      <c r="AC73" t="str">
        <f>""</f>
        <v/>
      </c>
      <c r="AD73" t="str">
        <f>""</f>
        <v/>
      </c>
      <c r="AE73" t="str">
        <f>""</f>
        <v/>
      </c>
    </row>
    <row r="74" spans="1:31" x14ac:dyDescent="0.25">
      <c r="A74" t="str">
        <f>$A$5</f>
        <v xml:space="preserve">    Asia - Sub Saharan Africa</v>
      </c>
      <c r="B74" t="str">
        <f>$B$5</f>
        <v>CSHVASSA Index</v>
      </c>
      <c r="C74" t="str">
        <f>$C$5</f>
        <v>PX385</v>
      </c>
      <c r="D74" t="str">
        <f>$D$5</f>
        <v>INTERVAL_SUM</v>
      </c>
      <c r="E74" t="str">
        <f>$E$5</f>
        <v>Dynamic</v>
      </c>
      <c r="F74">
        <f ca="1">_xll.BDP($B$5,$C$5,CONCATENATE("PX391=", $F$71), CONCATENATE("PX392=",$F$72), CONCATENATE("DS004=",$B$64), "Fill=B")</f>
        <v>2721800</v>
      </c>
      <c r="G74">
        <f ca="1">_xll.BDP($B$5,$C$5,CONCATENATE("PX391=", $G$71), CONCATENATE("PX392=",$G$72), CONCATENATE("DS004=",$B$64), "Fill=B")</f>
        <v>3034900</v>
      </c>
      <c r="H74">
        <f ca="1">_xll.BDP($B$5,$C$5,CONCATENATE("PX391=", $H$71), CONCATENATE("PX392=",$H$72), CONCATENATE("DS004=",$B$64), "Fill=B")</f>
        <v>3083600</v>
      </c>
      <c r="I74">
        <f ca="1">_xll.BDP($B$5,$C$5,CONCATENATE("PX391=", $I$71), CONCATENATE("PX392=",$I$72), CONCATENATE("DS004=",$B$64), "Fill=B")</f>
        <v>3154800</v>
      </c>
      <c r="J74">
        <f ca="1">_xll.BDP($B$5,$C$5,CONCATENATE("PX391=", $J$71), CONCATENATE("PX392=",$J$72), CONCATENATE("DS004=",$B$64), "Fill=B")</f>
        <v>3209600</v>
      </c>
      <c r="K74">
        <f ca="1">_xll.BDP($B$5,$C$5,CONCATENATE("PX391=", $K$71), CONCATENATE("PX392=",$K$72), CONCATENATE("DS004=",$B$64), "Fill=B")</f>
        <v>3026200</v>
      </c>
      <c r="L74">
        <f ca="1">_xll.BDP($B$5,$C$5,CONCATENATE("PX391=", $L$71), CONCATENATE("PX392=",$L$72), CONCATENATE("DS004=",$B$64), "Fill=B")</f>
        <v>2877900</v>
      </c>
      <c r="M74">
        <f ca="1">_xll.BDP($B$5,$C$5,CONCATENATE("PX391=", $M$71), CONCATENATE("PX392=",$M$72), CONCATENATE("DS004=",$B$64), "Fill=B")</f>
        <v>2643900</v>
      </c>
      <c r="N74">
        <f ca="1">_xll.BDP($B$5,$C$5,CONCATENATE("PX391=", $N$71), CONCATENATE("PX392=",$N$72), CONCATENATE("DS004=",$B$64), "Fill=B")</f>
        <v>2917200</v>
      </c>
      <c r="O74">
        <f ca="1">_xll.BDP($B$5,$C$5,CONCATENATE("PX391=", $O$71), CONCATENATE("PX392=",$O$72), CONCATENATE("DS004=",$B$64), "Fill=B")</f>
        <v>3045700</v>
      </c>
      <c r="P74">
        <f ca="1">_xll.BDP($B$5,$C$5,CONCATENATE("PX391=", $P$71), CONCATENATE("PX392=",$P$72), CONCATENATE("DS004=",$B$64), "Fill=B")</f>
        <v>2903500</v>
      </c>
      <c r="Q74">
        <f ca="1">_xll.BDP($B$5,$C$5,CONCATENATE("PX391=", $Q$71), CONCATENATE("PX392=",$Q$72), CONCATENATE("DS004=",$B$64), "Fill=B")</f>
        <v>2579400</v>
      </c>
      <c r="R74">
        <f ca="1">_xll.BDP($B$5,$C$5,CONCATENATE("PX391=", $R$71), CONCATENATE("PX392=",$R$72), CONCATENATE("DS004=",$B$64), "Fill=B")</f>
        <v>2520500</v>
      </c>
      <c r="S74" t="str">
        <f>""</f>
        <v/>
      </c>
      <c r="T74" t="str">
        <f>""</f>
        <v/>
      </c>
      <c r="U74" t="str">
        <f>""</f>
        <v/>
      </c>
      <c r="V74" t="str">
        <f>""</f>
        <v/>
      </c>
      <c r="W74" t="str">
        <f>""</f>
        <v/>
      </c>
      <c r="X74" t="str">
        <f>""</f>
        <v/>
      </c>
      <c r="Y74" t="str">
        <f>""</f>
        <v/>
      </c>
      <c r="Z74" t="str">
        <f>""</f>
        <v/>
      </c>
      <c r="AA74" t="str">
        <f>""</f>
        <v/>
      </c>
      <c r="AB74" t="str">
        <f>""</f>
        <v/>
      </c>
      <c r="AC74" t="str">
        <f>""</f>
        <v/>
      </c>
      <c r="AD74" t="str">
        <f>""</f>
        <v/>
      </c>
      <c r="AE74" t="str">
        <f>""</f>
        <v/>
      </c>
    </row>
    <row r="75" spans="1:31" x14ac:dyDescent="0.25">
      <c r="A75" t="str">
        <f>$A$6</f>
        <v xml:space="preserve">    Asia - Australasia &amp; Oceania</v>
      </c>
      <c r="B75" t="str">
        <f>$B$6</f>
        <v>CSHVAAUO Index</v>
      </c>
      <c r="C75" t="str">
        <f>$C$6</f>
        <v>PX385</v>
      </c>
      <c r="D75" t="str">
        <f>$D$6</f>
        <v>INTERVAL_SUM</v>
      </c>
      <c r="E75" t="str">
        <f>$E$6</f>
        <v>Dynamic</v>
      </c>
      <c r="F75">
        <f ca="1">_xll.BDP($B$6,$C$6,CONCATENATE("PX391=", $F$71), CONCATENATE("PX392=",$F$72), CONCATENATE("DS004=",$B$64), "Fill=B")</f>
        <v>1940000</v>
      </c>
      <c r="G75">
        <f ca="1">_xll.BDP($B$6,$C$6,CONCATENATE("PX391=", $G$71), CONCATENATE("PX392=",$G$72), CONCATENATE("DS004=",$B$64), "Fill=B")</f>
        <v>2606700</v>
      </c>
      <c r="H75">
        <f ca="1">_xll.BDP($B$6,$C$6,CONCATENATE("PX391=", $H$71), CONCATENATE("PX392=",$H$72), CONCATENATE("DS004=",$B$64), "Fill=B")</f>
        <v>2799700</v>
      </c>
      <c r="I75">
        <f ca="1">_xll.BDP($B$6,$C$6,CONCATENATE("PX391=", $I$71), CONCATENATE("PX392=",$I$72), CONCATENATE("DS004=",$B$64), "Fill=B")</f>
        <v>2840200</v>
      </c>
      <c r="J75">
        <f ca="1">_xll.BDP($B$6,$C$6,CONCATENATE("PX391=", $J$71), CONCATENATE("PX392=",$J$72), CONCATENATE("DS004=",$B$64), "Fill=B")</f>
        <v>2626700</v>
      </c>
      <c r="K75">
        <f ca="1">_xll.BDP($B$6,$C$6,CONCATENATE("PX391=", $K$71), CONCATENATE("PX392=",$K$72), CONCATENATE("DS004=",$B$64), "Fill=B")</f>
        <v>2786900</v>
      </c>
      <c r="L75">
        <f ca="1">_xll.BDP($B$6,$C$6,CONCATENATE("PX391=", $L$71), CONCATENATE("PX392=",$L$72), CONCATENATE("DS004=",$B$64), "Fill=B")</f>
        <v>2668900</v>
      </c>
      <c r="M75">
        <f ca="1">_xll.BDP($B$6,$C$6,CONCATENATE("PX391=", $M$71), CONCATENATE("PX392=",$M$72), CONCATENATE("DS004=",$B$64), "Fill=B")</f>
        <v>2594200</v>
      </c>
      <c r="N75">
        <f ca="1">_xll.BDP($B$6,$C$6,CONCATENATE("PX391=", $N$71), CONCATENATE("PX392=",$N$72), CONCATENATE("DS004=",$B$64), "Fill=B")</f>
        <v>2421500</v>
      </c>
      <c r="O75">
        <f ca="1">_xll.BDP($B$6,$C$6,CONCATENATE("PX391=", $O$71), CONCATENATE("PX392=",$O$72), CONCATENATE("DS004=",$B$64), "Fill=B")</f>
        <v>2362300</v>
      </c>
      <c r="P75">
        <f ca="1">_xll.BDP($B$6,$C$6,CONCATENATE("PX391=", $P$71), CONCATENATE("PX392=",$P$72), CONCATENATE("DS004=",$B$64), "Fill=B")</f>
        <v>2196900</v>
      </c>
      <c r="Q75">
        <f ca="1">_xll.BDP($B$6,$C$6,CONCATENATE("PX391=", $Q$71), CONCATENATE("PX392=",$Q$72), CONCATENATE("DS004=",$B$64), "Fill=B")</f>
        <v>2121400</v>
      </c>
      <c r="R75">
        <f ca="1">_xll.BDP($B$6,$C$6,CONCATENATE("PX391=", $R$71), CONCATENATE("PX392=",$R$72), CONCATENATE("DS004=",$B$64), "Fill=B")</f>
        <v>2045600</v>
      </c>
      <c r="S75" t="str">
        <f>""</f>
        <v/>
      </c>
      <c r="T75" t="str">
        <f>""</f>
        <v/>
      </c>
      <c r="U75" t="str">
        <f>""</f>
        <v/>
      </c>
      <c r="V75" t="str">
        <f>""</f>
        <v/>
      </c>
      <c r="W75" t="str">
        <f>""</f>
        <v/>
      </c>
      <c r="X75" t="str">
        <f>""</f>
        <v/>
      </c>
      <c r="Y75" t="str">
        <f>""</f>
        <v/>
      </c>
      <c r="Z75" t="str">
        <f>""</f>
        <v/>
      </c>
      <c r="AA75" t="str">
        <f>""</f>
        <v/>
      </c>
      <c r="AB75" t="str">
        <f>""</f>
        <v/>
      </c>
      <c r="AC75" t="str">
        <f>""</f>
        <v/>
      </c>
      <c r="AD75" t="str">
        <f>""</f>
        <v/>
      </c>
      <c r="AE75" t="str">
        <f>""</f>
        <v/>
      </c>
    </row>
    <row r="76" spans="1:31" x14ac:dyDescent="0.25">
      <c r="A76" t="str">
        <f>$A$7</f>
        <v xml:space="preserve">    Asia - North America</v>
      </c>
      <c r="B76" t="str">
        <f>$B$7</f>
        <v>CSHVANAR Index</v>
      </c>
      <c r="C76" t="str">
        <f>$C$7</f>
        <v>PX385</v>
      </c>
      <c r="D76" t="str">
        <f>$D$7</f>
        <v>INTERVAL_SUM</v>
      </c>
      <c r="E76" t="str">
        <f>$E$7</f>
        <v>Dynamic</v>
      </c>
      <c r="F76">
        <f ca="1">_xll.BDP($B$7,$C$7,CONCATENATE("PX391=", $F$71), CONCATENATE("PX392=",$F$72), CONCATENATE("DS004=",$B$64), "Fill=B")</f>
        <v>15537400</v>
      </c>
      <c r="G76">
        <f ca="1">_xll.BDP($B$7,$C$7,CONCATENATE("PX391=", $G$71), CONCATENATE("PX392=",$G$72), CONCATENATE("DS004=",$B$64), "Fill=B")</f>
        <v>22007500</v>
      </c>
      <c r="H76">
        <f ca="1">_xll.BDP($B$7,$C$7,CONCATENATE("PX391=", $H$71), CONCATENATE("PX392=",$H$72), CONCATENATE("DS004=",$B$64), "Fill=B")</f>
        <v>23783300</v>
      </c>
      <c r="I76">
        <f ca="1">_xll.BDP($B$7,$C$7,CONCATENATE("PX391=", $I$71), CONCATENATE("PX392=",$I$72), CONCATENATE("DS004=",$B$64), "Fill=B")</f>
        <v>20161400</v>
      </c>
      <c r="J76">
        <f ca="1">_xll.BDP($B$7,$C$7,CONCATENATE("PX391=", $J$71), CONCATENATE("PX392=",$J$72), CONCATENATE("DS004=",$B$64), "Fill=B")</f>
        <v>18793800</v>
      </c>
      <c r="K76">
        <f ca="1">_xll.BDP($B$7,$C$7,CONCATENATE("PX391=", $K$71), CONCATENATE("PX392=",$K$72), CONCATENATE("DS004=",$B$64), "Fill=B")</f>
        <v>19241400</v>
      </c>
      <c r="L76">
        <f ca="1">_xll.BDP($B$7,$C$7,CONCATENATE("PX391=", $L$71), CONCATENATE("PX392=",$L$72), CONCATENATE("DS004=",$B$64), "Fill=B")</f>
        <v>18045400</v>
      </c>
      <c r="M76">
        <f ca="1">_xll.BDP($B$7,$C$7,CONCATENATE("PX391=", $M$71), CONCATENATE("PX392=",$M$72), CONCATENATE("DS004=",$B$64), "Fill=B")</f>
        <v>17216800</v>
      </c>
      <c r="N76">
        <f ca="1">_xll.BDP($B$7,$C$7,CONCATENATE("PX391=", $N$71), CONCATENATE("PX392=",$N$72), CONCATENATE("DS004=",$B$64), "Fill=B")</f>
        <v>16393100</v>
      </c>
      <c r="O76">
        <f ca="1">_xll.BDP($B$7,$C$7,CONCATENATE("PX391=", $O$71), CONCATENATE("PX392=",$O$72), CONCATENATE("DS004=",$B$64), "Fill=B")</f>
        <v>15492100</v>
      </c>
      <c r="P76">
        <f ca="1">_xll.BDP($B$7,$C$7,CONCATENATE("PX391=", $P$71), CONCATENATE("PX392=",$P$72), CONCATENATE("DS004=",$B$64), "Fill=B")</f>
        <v>14620100</v>
      </c>
      <c r="Q76">
        <f ca="1">_xll.BDP($B$7,$C$7,CONCATENATE("PX391=", $Q$71), CONCATENATE("PX392=",$Q$72), CONCATENATE("DS004=",$B$64), "Fill=B")</f>
        <v>14857600</v>
      </c>
      <c r="R76">
        <f ca="1">_xll.BDP($B$7,$C$7,CONCATENATE("PX391=", $R$71), CONCATENATE("PX392=",$R$72), CONCATENATE("DS004=",$B$64), "Fill=B")</f>
        <v>14259300</v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t="str">
        <f>""</f>
        <v/>
      </c>
      <c r="AC76" t="str">
        <f>""</f>
        <v/>
      </c>
      <c r="AD76" t="str">
        <f>""</f>
        <v/>
      </c>
      <c r="AE76" t="str">
        <f>""</f>
        <v/>
      </c>
    </row>
    <row r="77" spans="1:31" x14ac:dyDescent="0.25">
      <c r="A77" t="str">
        <f>$A$8</f>
        <v xml:space="preserve">    Asia - Asia</v>
      </c>
      <c r="B77" t="str">
        <f>$B$8</f>
        <v>CSHVAASR Index</v>
      </c>
      <c r="C77" t="str">
        <f>$C$8</f>
        <v>PX385</v>
      </c>
      <c r="D77" t="str">
        <f>$D$8</f>
        <v>INTERVAL_SUM</v>
      </c>
      <c r="E77" t="str">
        <f>$E$8</f>
        <v>Dynamic</v>
      </c>
      <c r="F77">
        <f ca="1">_xll.BDP($B$8,$C$8,CONCATENATE("PX391=", $F$71), CONCATENATE("PX392=",$F$72), CONCATENATE("DS004=",$B$64), "Fill=B")</f>
        <v>33488300</v>
      </c>
      <c r="G77">
        <f ca="1">_xll.BDP($B$8,$C$8,CONCATENATE("PX391=", $G$71), CONCATENATE("PX392=",$G$72), CONCATENATE("DS004=",$B$64), "Fill=B")</f>
        <v>46604100</v>
      </c>
      <c r="H77">
        <f ca="1">_xll.BDP($B$8,$C$8,CONCATENATE("PX391=", $H$71), CONCATENATE("PX392=",$H$72), CONCATENATE("DS004=",$B$64), "Fill=B")</f>
        <v>47146300</v>
      </c>
      <c r="I77">
        <f ca="1">_xll.BDP($B$8,$C$8,CONCATENATE("PX391=", $I$71), CONCATENATE("PX392=",$I$72), CONCATENATE("DS004=",$B$64), "Fill=B")</f>
        <v>43210100</v>
      </c>
      <c r="J77">
        <f ca="1">_xll.BDP($B$8,$C$8,CONCATENATE("PX391=", $J$71), CONCATENATE("PX392=",$J$72), CONCATENATE("DS004=",$B$64), "Fill=B")</f>
        <v>42577400</v>
      </c>
      <c r="K77">
        <f ca="1">_xll.BDP($B$8,$C$8,CONCATENATE("PX391=", $K$71), CONCATENATE("PX392=",$K$72), CONCATENATE("DS004=",$B$64), "Fill=B")</f>
        <v>42403300</v>
      </c>
      <c r="L77">
        <f ca="1">_xll.BDP($B$8,$C$8,CONCATENATE("PX391=", $L$71), CONCATENATE("PX392=",$L$72), CONCATENATE("DS004=",$B$64), "Fill=B")</f>
        <v>40803400</v>
      </c>
      <c r="M77">
        <f ca="1">_xll.BDP($B$8,$C$8,CONCATENATE("PX391=", $M$71), CONCATENATE("PX392=",$M$72), CONCATENATE("DS004=",$B$64), "Fill=B")</f>
        <v>39213600</v>
      </c>
      <c r="N77">
        <f ca="1">_xll.BDP($B$8,$C$8,CONCATENATE("PX391=", $N$71), CONCATENATE("PX392=",$N$72), CONCATENATE("DS004=",$B$64), "Fill=B")</f>
        <v>37436800</v>
      </c>
      <c r="O77">
        <f ca="1">_xll.BDP($B$8,$C$8,CONCATENATE("PX391=", $O$71), CONCATENATE("PX392=",$O$72), CONCATENATE("DS004=",$B$64), "Fill=B")</f>
        <v>36696600</v>
      </c>
      <c r="P77">
        <f ca="1">_xll.BDP($B$8,$C$8,CONCATENATE("PX391=", $P$71), CONCATENATE("PX392=",$P$72), CONCATENATE("DS004=",$B$64), "Fill=B")</f>
        <v>35489300</v>
      </c>
      <c r="Q77">
        <f ca="1">_xll.BDP($B$8,$C$8,CONCATENATE("PX391=", $Q$71), CONCATENATE("PX392=",$Q$72), CONCATENATE("DS004=",$B$64), "Fill=B")</f>
        <v>33525600</v>
      </c>
      <c r="R77">
        <f ca="1">_xll.BDP($B$8,$C$8,CONCATENATE("PX391=", $R$71), CONCATENATE("PX392=",$R$72), CONCATENATE("DS004=",$B$64), "Fill=B")</f>
        <v>31144200</v>
      </c>
      <c r="S77" t="str">
        <f>""</f>
        <v/>
      </c>
      <c r="T77" t="str">
        <f>""</f>
        <v/>
      </c>
      <c r="U77" t="str">
        <f>""</f>
        <v/>
      </c>
      <c r="V77" t="str">
        <f>""</f>
        <v/>
      </c>
      <c r="W77" t="str">
        <f>""</f>
        <v/>
      </c>
      <c r="X77" t="str">
        <f>""</f>
        <v/>
      </c>
      <c r="Y77" t="str">
        <f>""</f>
        <v/>
      </c>
      <c r="Z77" t="str">
        <f>""</f>
        <v/>
      </c>
      <c r="AA77" t="str">
        <f>""</f>
        <v/>
      </c>
      <c r="AB77" t="str">
        <f>""</f>
        <v/>
      </c>
      <c r="AC77" t="str">
        <f>""</f>
        <v/>
      </c>
      <c r="AD77" t="str">
        <f>""</f>
        <v/>
      </c>
      <c r="AE77" t="str">
        <f>""</f>
        <v/>
      </c>
    </row>
    <row r="78" spans="1:31" x14ac:dyDescent="0.25">
      <c r="A78" t="str">
        <f>$A$9</f>
        <v xml:space="preserve">    Asia - Europe</v>
      </c>
      <c r="B78" t="str">
        <f>$B$9</f>
        <v>CSHVAEUR Index</v>
      </c>
      <c r="C78" t="str">
        <f>$C$9</f>
        <v>PX385</v>
      </c>
      <c r="D78" t="str">
        <f>$D$9</f>
        <v>INTERVAL_SUM</v>
      </c>
      <c r="E78" t="str">
        <f>$E$9</f>
        <v>Dynamic</v>
      </c>
      <c r="F78">
        <f ca="1">_xll.BDP($B$9,$C$9,CONCATENATE("PX391=", $F$71), CONCATENATE("PX392=",$F$72), CONCATENATE("DS004=",$B$64), "Fill=B")</f>
        <v>12532800</v>
      </c>
      <c r="G78">
        <f ca="1">_xll.BDP($B$9,$C$9,CONCATENATE("PX391=", $G$71), CONCATENATE("PX392=",$G$72), CONCATENATE("DS004=",$B$64), "Fill=B")</f>
        <v>15396800</v>
      </c>
      <c r="H78">
        <f ca="1">_xll.BDP($B$9,$C$9,CONCATENATE("PX391=", $H$71), CONCATENATE("PX392=",$H$72), CONCATENATE("DS004=",$B$64), "Fill=B")</f>
        <v>17069000</v>
      </c>
      <c r="I78">
        <f ca="1">_xll.BDP($B$9,$C$9,CONCATENATE("PX391=", $I$71), CONCATENATE("PX392=",$I$72), CONCATENATE("DS004=",$B$64), "Fill=B")</f>
        <v>15768600</v>
      </c>
      <c r="J78">
        <f ca="1">_xll.BDP($B$9,$C$9,CONCATENATE("PX391=", $J$71), CONCATENATE("PX392=",$J$72), CONCATENATE("DS004=",$B$64), "Fill=B")</f>
        <v>16603300</v>
      </c>
      <c r="K78">
        <f ca="1">_xll.BDP($B$9,$C$9,CONCATENATE("PX391=", $K$71), CONCATENATE("PX392=",$K$72), CONCATENATE("DS004=",$B$64), "Fill=B")</f>
        <v>16186700</v>
      </c>
      <c r="L78">
        <f ca="1">_xll.BDP($B$9,$C$9,CONCATENATE("PX391=", $L$71), CONCATENATE("PX392=",$L$72), CONCATENATE("DS004=",$B$64), "Fill=B")</f>
        <v>15865900</v>
      </c>
      <c r="M78">
        <f ca="1">_xll.BDP($B$9,$C$9,CONCATENATE("PX391=", $M$71), CONCATENATE("PX392=",$M$72), CONCATENATE("DS004=",$B$64), "Fill=B")</f>
        <v>15190200</v>
      </c>
      <c r="N78">
        <f ca="1">_xll.BDP($B$9,$C$9,CONCATENATE("PX391=", $N$71), CONCATENATE("PX392=",$N$72), CONCATENATE("DS004=",$B$64), "Fill=B")</f>
        <v>14902100</v>
      </c>
      <c r="O78">
        <f ca="1">_xll.BDP($B$9,$C$9,CONCATENATE("PX391=", $O$71), CONCATENATE("PX392=",$O$72), CONCATENATE("DS004=",$B$64), "Fill=B")</f>
        <v>15385700</v>
      </c>
      <c r="P78">
        <f ca="1">_xll.BDP($B$9,$C$9,CONCATENATE("PX391=", $P$71), CONCATENATE("PX392=",$P$72), CONCATENATE("DS004=",$B$64), "Fill=B")</f>
        <v>14359800</v>
      </c>
      <c r="Q78">
        <f ca="1">_xll.BDP($B$9,$C$9,CONCATENATE("PX391=", $Q$71), CONCATENATE("PX392=",$Q$72), CONCATENATE("DS004=",$B$64), "Fill=B")</f>
        <v>13640500</v>
      </c>
      <c r="R78">
        <f ca="1">_xll.BDP($B$9,$C$9,CONCATENATE("PX391=", $R$71), CONCATENATE("PX392=",$R$72), CONCATENATE("DS004=",$B$64), "Fill=B")</f>
        <v>14192400</v>
      </c>
      <c r="S78" t="str">
        <f>""</f>
        <v/>
      </c>
      <c r="T78" t="str">
        <f>""</f>
        <v/>
      </c>
      <c r="U78" t="str">
        <f>""</f>
        <v/>
      </c>
      <c r="V78" t="str">
        <f>""</f>
        <v/>
      </c>
      <c r="W78" t="str">
        <f>""</f>
        <v/>
      </c>
      <c r="X78" t="str">
        <f>""</f>
        <v/>
      </c>
      <c r="Y78" t="str">
        <f>""</f>
        <v/>
      </c>
      <c r="Z78" t="str">
        <f>""</f>
        <v/>
      </c>
      <c r="AA78" t="str">
        <f>""</f>
        <v/>
      </c>
      <c r="AB78" t="str">
        <f>""</f>
        <v/>
      </c>
      <c r="AC78" t="str">
        <f>""</f>
        <v/>
      </c>
      <c r="AD78" t="str">
        <f>""</f>
        <v/>
      </c>
      <c r="AE78" t="str">
        <f>""</f>
        <v/>
      </c>
    </row>
    <row r="79" spans="1:31" x14ac:dyDescent="0.25">
      <c r="A79" t="str">
        <f>$A$10</f>
        <v xml:space="preserve">    Asia - Indian Sub Cont. &amp; Middle East</v>
      </c>
      <c r="B79" t="str">
        <f>$B$10</f>
        <v>CSHVAIME Index</v>
      </c>
      <c r="C79" t="str">
        <f>$C$10</f>
        <v>PX385</v>
      </c>
      <c r="D79" t="str">
        <f>$D$10</f>
        <v>INTERVAL_SUM</v>
      </c>
      <c r="E79" t="str">
        <f>$E$10</f>
        <v>Dynamic</v>
      </c>
      <c r="F79">
        <f ca="1">_xll.BDP($B$10,$C$10,CONCATENATE("PX391=", $F$71), CONCATENATE("PX392=",$F$72), CONCATENATE("DS004=",$B$64), "Fill=B")</f>
        <v>6695400</v>
      </c>
      <c r="G79">
        <f ca="1">_xll.BDP($B$10,$C$10,CONCATENATE("PX391=", $G$71), CONCATENATE("PX392=",$G$72), CONCATENATE("DS004=",$B$64), "Fill=B")</f>
        <v>7679000</v>
      </c>
      <c r="H79">
        <f ca="1">_xll.BDP($B$10,$C$10,CONCATENATE("PX391=", $H$71), CONCATENATE("PX392=",$H$72), CONCATENATE("DS004=",$B$64), "Fill=B")</f>
        <v>7821500</v>
      </c>
      <c r="I79">
        <f ca="1">_xll.BDP($B$10,$C$10,CONCATENATE("PX391=", $I$71), CONCATENATE("PX392=",$I$72), CONCATENATE("DS004=",$B$64), "Fill=B")</f>
        <v>6454500</v>
      </c>
      <c r="J79">
        <f ca="1">_xll.BDP($B$10,$C$10,CONCATENATE("PX391=", $J$71), CONCATENATE("PX392=",$J$72), CONCATENATE("DS004=",$B$64), "Fill=B")</f>
        <v>7046700</v>
      </c>
      <c r="K79">
        <f ca="1">_xll.BDP($B$10,$C$10,CONCATENATE("PX391=", $K$71), CONCATENATE("PX392=",$K$72), CONCATENATE("DS004=",$B$64), "Fill=B")</f>
        <v>7275300</v>
      </c>
      <c r="L79">
        <f ca="1">_xll.BDP($B$10,$C$10,CONCATENATE("PX391=", $L$71), CONCATENATE("PX392=",$L$72), CONCATENATE("DS004=",$B$64), "Fill=B")</f>
        <v>7532000</v>
      </c>
      <c r="M79">
        <f ca="1">_xll.BDP($B$10,$C$10,CONCATENATE("PX391=", $M$71), CONCATENATE("PX392=",$M$72), CONCATENATE("DS004=",$B$64), "Fill=B")</f>
        <v>7225500</v>
      </c>
      <c r="N79">
        <f ca="1">_xll.BDP($B$10,$C$10,CONCATENATE("PX391=", $N$71), CONCATENATE("PX392=",$N$72), CONCATENATE("DS004=",$B$64), "Fill=B")</f>
        <v>6836100</v>
      </c>
      <c r="O79">
        <f ca="1">_xll.BDP($B$10,$C$10,CONCATENATE("PX391=", $O$71), CONCATENATE("PX392=",$O$72), CONCATENATE("DS004=",$B$64), "Fill=B")</f>
        <v>6471900</v>
      </c>
      <c r="P79">
        <f ca="1">_xll.BDP($B$10,$C$10,CONCATENATE("PX391=", $P$71), CONCATENATE("PX392=",$P$72), CONCATENATE("DS004=",$B$64), "Fill=B")</f>
        <v>5927400</v>
      </c>
      <c r="Q79">
        <f ca="1">_xll.BDP($B$10,$C$10,CONCATENATE("PX391=", $Q$71), CONCATENATE("PX392=",$Q$72), CONCATENATE("DS004=",$B$64), "Fill=B")</f>
        <v>5696900</v>
      </c>
      <c r="R79">
        <f ca="1">_xll.BDP($B$10,$C$10,CONCATENATE("PX391=", $R$71), CONCATENATE("PX392=",$R$72), CONCATENATE("DS004=",$B$64), "Fill=B")</f>
        <v>5631200</v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  <c r="Z79" t="str">
        <f>""</f>
        <v/>
      </c>
      <c r="AA79" t="str">
        <f>""</f>
        <v/>
      </c>
      <c r="AB79" t="str">
        <f>""</f>
        <v/>
      </c>
      <c r="AC79" t="str">
        <f>""</f>
        <v/>
      </c>
      <c r="AD79" t="str">
        <f>""</f>
        <v/>
      </c>
      <c r="AE79" t="str">
        <f>""</f>
        <v/>
      </c>
    </row>
    <row r="80" spans="1:31" x14ac:dyDescent="0.25">
      <c r="A80" t="str">
        <f>$A$11</f>
        <v xml:space="preserve">    Australasia &amp; Oceania - South &amp; Central America</v>
      </c>
      <c r="B80" t="str">
        <f>$B$11</f>
        <v>CSHVOSCA Index</v>
      </c>
      <c r="C80" t="str">
        <f>$C$11</f>
        <v>PX385</v>
      </c>
      <c r="D80" t="str">
        <f>$D$11</f>
        <v>INTERVAL_SUM</v>
      </c>
      <c r="E80" t="str">
        <f>$E$11</f>
        <v>Dynamic</v>
      </c>
      <c r="F80">
        <f ca="1">_xll.BDP($B$11,$C$11,CONCATENATE("PX391=", $F$71), CONCATENATE("PX392=",$F$72), CONCATENATE("DS004=",$B$64), "Fill=B")</f>
        <v>11200</v>
      </c>
      <c r="G80">
        <f ca="1">_xll.BDP($B$11,$C$11,CONCATENATE("PX391=", $G$71), CONCATENATE("PX392=",$G$72), CONCATENATE("DS004=",$B$64), "Fill=B")</f>
        <v>20700</v>
      </c>
      <c r="H80">
        <f ca="1">_xll.BDP($B$11,$C$11,CONCATENATE("PX391=", $H$71), CONCATENATE("PX392=",$H$72), CONCATENATE("DS004=",$B$64), "Fill=B")</f>
        <v>21600</v>
      </c>
      <c r="I80">
        <f ca="1">_xll.BDP($B$11,$C$11,CONCATENATE("PX391=", $I$71), CONCATENATE("PX392=",$I$72), CONCATENATE("DS004=",$B$64), "Fill=B")</f>
        <v>19100</v>
      </c>
      <c r="J80">
        <f ca="1">_xll.BDP($B$11,$C$11,CONCATENATE("PX391=", $J$71), CONCATENATE("PX392=",$J$72), CONCATENATE("DS004=",$B$64), "Fill=B")</f>
        <v>20700</v>
      </c>
      <c r="K80">
        <f ca="1">_xll.BDP($B$11,$C$11,CONCATENATE("PX391=", $K$71), CONCATENATE("PX392=",$K$72), CONCATENATE("DS004=",$B$64), "Fill=B")</f>
        <v>22600</v>
      </c>
      <c r="L80">
        <f ca="1">_xll.BDP($B$11,$C$11,CONCATENATE("PX391=", $L$71), CONCATENATE("PX392=",$L$72), CONCATENATE("DS004=",$B$64), "Fill=B")</f>
        <v>22200</v>
      </c>
      <c r="M80">
        <f ca="1">_xll.BDP($B$11,$C$11,CONCATENATE("PX391=", $M$71), CONCATENATE("PX392=",$M$72), CONCATENATE("DS004=",$B$64), "Fill=B")</f>
        <v>22300</v>
      </c>
      <c r="N80">
        <f ca="1">_xll.BDP($B$11,$C$11,CONCATENATE("PX391=", $N$71), CONCATENATE("PX392=",$N$72), CONCATENATE("DS004=",$B$64), "Fill=B")</f>
        <v>30200</v>
      </c>
      <c r="O80">
        <f ca="1">_xll.BDP($B$11,$C$11,CONCATENATE("PX391=", $O$71), CONCATENATE("PX392=",$O$72), CONCATENATE("DS004=",$B$64), "Fill=B")</f>
        <v>28100</v>
      </c>
      <c r="P80">
        <f ca="1">_xll.BDP($B$11,$C$11,CONCATENATE("PX391=", $P$71), CONCATENATE("PX392=",$P$72), CONCATENATE("DS004=",$B$64), "Fill=B")</f>
        <v>30000</v>
      </c>
      <c r="Q80">
        <f ca="1">_xll.BDP($B$11,$C$11,CONCATENATE("PX391=", $Q$71), CONCATENATE("PX392=",$Q$72), CONCATENATE("DS004=",$B$64), "Fill=B")</f>
        <v>32900</v>
      </c>
      <c r="R80">
        <f ca="1">_xll.BDP($B$11,$C$11,CONCATENATE("PX391=", $R$71), CONCATENATE("PX392=",$R$72), CONCATENATE("DS004=",$B$64), "Fill=B")</f>
        <v>35400</v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  <c r="AD80" t="str">
        <f>""</f>
        <v/>
      </c>
      <c r="AE80" t="str">
        <f>""</f>
        <v/>
      </c>
    </row>
    <row r="81" spans="1:31" x14ac:dyDescent="0.25">
      <c r="A81" t="str">
        <f>$A$12</f>
        <v xml:space="preserve">    Australasia &amp; Oceania - Europe</v>
      </c>
      <c r="B81" t="str">
        <f>$B$12</f>
        <v>CSHVOEUR Index</v>
      </c>
      <c r="C81" t="str">
        <f>$C$12</f>
        <v>PX385</v>
      </c>
      <c r="D81" t="str">
        <f>$D$12</f>
        <v>INTERVAL_SUM</v>
      </c>
      <c r="E81" t="str">
        <f>$E$12</f>
        <v>Dynamic</v>
      </c>
      <c r="F81">
        <f ca="1">_xll.BDP($B$12,$C$12,CONCATENATE("PX391=", $F$71), CONCATENATE("PX392=",$F$72), CONCATENATE("DS004=",$B$64), "Fill=B")</f>
        <v>129900</v>
      </c>
      <c r="G81">
        <f ca="1">_xll.BDP($B$12,$C$12,CONCATENATE("PX391=", $G$71), CONCATENATE("PX392=",$G$72), CONCATENATE("DS004=",$B$64), "Fill=B")</f>
        <v>183800</v>
      </c>
      <c r="H81">
        <f ca="1">_xll.BDP($B$12,$C$12,CONCATENATE("PX391=", $H$71), CONCATENATE("PX392=",$H$72), CONCATENATE("DS004=",$B$64), "Fill=B")</f>
        <v>188100</v>
      </c>
      <c r="I81">
        <f ca="1">_xll.BDP($B$12,$C$12,CONCATENATE("PX391=", $I$71), CONCATENATE("PX392=",$I$72), CONCATENATE("DS004=",$B$64), "Fill=B")</f>
        <v>185400</v>
      </c>
      <c r="J81">
        <f ca="1">_xll.BDP($B$12,$C$12,CONCATENATE("PX391=", $J$71), CONCATENATE("PX392=",$J$72), CONCATENATE("DS004=",$B$64), "Fill=B")</f>
        <v>197600</v>
      </c>
      <c r="K81">
        <f ca="1">_xll.BDP($B$12,$C$12,CONCATENATE("PX391=", $K$71), CONCATENATE("PX392=",$K$72), CONCATENATE("DS004=",$B$64), "Fill=B")</f>
        <v>203700</v>
      </c>
      <c r="L81">
        <f ca="1">_xll.BDP($B$12,$C$12,CONCATENATE("PX391=", $L$71), CONCATENATE("PX392=",$L$72), CONCATENATE("DS004=",$B$64), "Fill=B")</f>
        <v>184000</v>
      </c>
      <c r="M81">
        <f ca="1">_xll.BDP($B$12,$C$12,CONCATENATE("PX391=", $M$71), CONCATENATE("PX392=",$M$72), CONCATENATE("DS004=",$B$64), "Fill=B")</f>
        <v>187300</v>
      </c>
      <c r="N81">
        <f ca="1">_xll.BDP($B$12,$C$12,CONCATENATE("PX391=", $N$71), CONCATENATE("PX392=",$N$72), CONCATENATE("DS004=",$B$64), "Fill=B")</f>
        <v>184700</v>
      </c>
      <c r="O81">
        <f ca="1">_xll.BDP($B$12,$C$12,CONCATENATE("PX391=", $O$71), CONCATENATE("PX392=",$O$72), CONCATENATE("DS004=",$B$64), "Fill=B")</f>
        <v>184000</v>
      </c>
      <c r="P81">
        <f ca="1">_xll.BDP($B$12,$C$12,CONCATENATE("PX391=", $P$71), CONCATENATE("PX392=",$P$72), CONCATENATE("DS004=",$B$64), "Fill=B")</f>
        <v>176000</v>
      </c>
      <c r="Q81">
        <f ca="1">_xll.BDP($B$12,$C$12,CONCATENATE("PX391=", $Q$71), CONCATENATE("PX392=",$Q$72), CONCATENATE("DS004=",$B$64), "Fill=B")</f>
        <v>181200</v>
      </c>
      <c r="R81">
        <f ca="1">_xll.BDP($B$12,$C$12,CONCATENATE("PX391=", $R$71), CONCATENATE("PX392=",$R$72), CONCATENATE("DS004=",$B$64), "Fill=B")</f>
        <v>195100</v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  <c r="AD81" t="str">
        <f>""</f>
        <v/>
      </c>
      <c r="AE81" t="str">
        <f>""</f>
        <v/>
      </c>
    </row>
    <row r="82" spans="1:31" x14ac:dyDescent="0.25">
      <c r="A82" t="str">
        <f>$A$13</f>
        <v xml:space="preserve">    Australasia &amp; Oceania - Asia</v>
      </c>
      <c r="B82" t="str">
        <f>$B$13</f>
        <v>CSHVOASR Index</v>
      </c>
      <c r="C82" t="str">
        <f>$C$13</f>
        <v>PX385</v>
      </c>
      <c r="D82" t="str">
        <f>$D$13</f>
        <v>INTERVAL_SUM</v>
      </c>
      <c r="E82" t="str">
        <f>$E$13</f>
        <v>Dynamic</v>
      </c>
      <c r="F82">
        <f ca="1">_xll.BDP($B$13,$C$13,CONCATENATE("PX391=", $F$71), CONCATENATE("PX392=",$F$72), CONCATENATE("DS004=",$B$64), "Fill=B")</f>
        <v>1331400</v>
      </c>
      <c r="G82">
        <f ca="1">_xll.BDP($B$13,$C$13,CONCATENATE("PX391=", $G$71), CONCATENATE("PX392=",$G$72), CONCATENATE("DS004=",$B$64), "Fill=B")</f>
        <v>1660800</v>
      </c>
      <c r="H82">
        <f ca="1">_xll.BDP($B$13,$C$13,CONCATENATE("PX391=", $H$71), CONCATENATE("PX392=",$H$72), CONCATENATE("DS004=",$B$64), "Fill=B")</f>
        <v>1616300</v>
      </c>
      <c r="I82">
        <f ca="1">_xll.BDP($B$13,$C$13,CONCATENATE("PX391=", $I$71), CONCATENATE("PX392=",$I$72), CONCATENATE("DS004=",$B$64), "Fill=B")</f>
        <v>1592100</v>
      </c>
      <c r="J82">
        <f ca="1">_xll.BDP($B$13,$C$13,CONCATENATE("PX391=", $J$71), CONCATENATE("PX392=",$J$72), CONCATENATE("DS004=",$B$64), "Fill=B")</f>
        <v>1581300</v>
      </c>
      <c r="K82">
        <f ca="1">_xll.BDP($B$13,$C$13,CONCATENATE("PX391=", $K$71), CONCATENATE("PX392=",$K$72), CONCATENATE("DS004=",$B$64), "Fill=B")</f>
        <v>1650600</v>
      </c>
      <c r="L82">
        <f ca="1">_xll.BDP($B$13,$C$13,CONCATENATE("PX391=", $L$71), CONCATENATE("PX392=",$L$72), CONCATENATE("DS004=",$B$64), "Fill=B")</f>
        <v>1617100</v>
      </c>
      <c r="M82">
        <f ca="1">_xll.BDP($B$13,$C$13,CONCATENATE("PX391=", $M$71), CONCATENATE("PX392=",$M$72), CONCATENATE("DS004=",$B$64), "Fill=B")</f>
        <v>1517000</v>
      </c>
      <c r="N82">
        <f ca="1">_xll.BDP($B$13,$C$13,CONCATENATE("PX391=", $N$71), CONCATENATE("PX392=",$N$72), CONCATENATE("DS004=",$B$64), "Fill=B")</f>
        <v>1413400</v>
      </c>
      <c r="O82">
        <f ca="1">_xll.BDP($B$13,$C$13,CONCATENATE("PX391=", $O$71), CONCATENATE("PX392=",$O$72), CONCATENATE("DS004=",$B$64), "Fill=B")</f>
        <v>1452400</v>
      </c>
      <c r="P82">
        <f ca="1">_xll.BDP($B$13,$C$13,CONCATENATE("PX391=", $P$71), CONCATENATE("PX392=",$P$72), CONCATENATE("DS004=",$B$64), "Fill=B")</f>
        <v>1453800</v>
      </c>
      <c r="Q82">
        <f ca="1">_xll.BDP($B$13,$C$13,CONCATENATE("PX391=", $Q$71), CONCATENATE("PX392=",$Q$72), CONCATENATE("DS004=",$B$64), "Fill=B")</f>
        <v>1374800</v>
      </c>
      <c r="R82">
        <f ca="1">_xll.BDP($B$13,$C$13,CONCATENATE("PX391=", $R$71), CONCATENATE("PX392=",$R$72), CONCATENATE("DS004=",$B$64), "Fill=B")</f>
        <v>1306900</v>
      </c>
      <c r="S82" t="str">
        <f>""</f>
        <v/>
      </c>
      <c r="T82" t="str">
        <f>""</f>
        <v/>
      </c>
      <c r="U82" t="str">
        <f>""</f>
        <v/>
      </c>
      <c r="V82" t="str">
        <f>""</f>
        <v/>
      </c>
      <c r="W82" t="str">
        <f>""</f>
        <v/>
      </c>
      <c r="X82" t="str">
        <f>""</f>
        <v/>
      </c>
      <c r="Y82" t="str">
        <f>""</f>
        <v/>
      </c>
      <c r="Z82" t="str">
        <f>""</f>
        <v/>
      </c>
      <c r="AA82" t="str">
        <f>""</f>
        <v/>
      </c>
      <c r="AB82" t="str">
        <f>""</f>
        <v/>
      </c>
      <c r="AC82" t="str">
        <f>""</f>
        <v/>
      </c>
      <c r="AD82" t="str">
        <f>""</f>
        <v/>
      </c>
      <c r="AE82" t="str">
        <f>""</f>
        <v/>
      </c>
    </row>
    <row r="83" spans="1:31" x14ac:dyDescent="0.25">
      <c r="A83" t="str">
        <f>$A$14</f>
        <v xml:space="preserve">    Australasia &amp; Oceania - North America</v>
      </c>
      <c r="B83" t="str">
        <f>$B$14</f>
        <v>CSHVONAR Index</v>
      </c>
      <c r="C83" t="str">
        <f>$C$14</f>
        <v>PX385</v>
      </c>
      <c r="D83" t="str">
        <f>$D$14</f>
        <v>INTERVAL_SUM</v>
      </c>
      <c r="E83" t="str">
        <f>$E$14</f>
        <v>Dynamic</v>
      </c>
      <c r="F83">
        <f ca="1">_xll.BDP($B$14,$C$14,CONCATENATE("PX391=", $F$71), CONCATENATE("PX392=",$F$72), CONCATENATE("DS004=",$B$64), "Fill=B")</f>
        <v>163700</v>
      </c>
      <c r="G83">
        <f ca="1">_xll.BDP($B$14,$C$14,CONCATENATE("PX391=", $G$71), CONCATENATE("PX392=",$G$72), CONCATENATE("DS004=",$B$64), "Fill=B")</f>
        <v>222400</v>
      </c>
      <c r="H83">
        <f ca="1">_xll.BDP($B$14,$C$14,CONCATENATE("PX391=", $H$71), CONCATENATE("PX392=",$H$72), CONCATENATE("DS004=",$B$64), "Fill=B")</f>
        <v>225600</v>
      </c>
      <c r="I83">
        <f ca="1">_xll.BDP($B$14,$C$14,CONCATENATE("PX391=", $I$71), CONCATENATE("PX392=",$I$72), CONCATENATE("DS004=",$B$64), "Fill=B")</f>
        <v>217200</v>
      </c>
      <c r="J83">
        <f ca="1">_xll.BDP($B$14,$C$14,CONCATENATE("PX391=", $J$71), CONCATENATE("PX392=",$J$72), CONCATENATE("DS004=",$B$64), "Fill=B")</f>
        <v>227600</v>
      </c>
      <c r="K83">
        <f ca="1">_xll.BDP($B$14,$C$14,CONCATENATE("PX391=", $K$71), CONCATENATE("PX392=",$K$72), CONCATENATE("DS004=",$B$64), "Fill=B")</f>
        <v>231900</v>
      </c>
      <c r="L83">
        <f ca="1">_xll.BDP($B$14,$C$14,CONCATENATE("PX391=", $L$71), CONCATENATE("PX392=",$L$72), CONCATENATE("DS004=",$B$64), "Fill=B")</f>
        <v>222300</v>
      </c>
      <c r="M83">
        <f ca="1">_xll.BDP($B$14,$C$14,CONCATENATE("PX391=", $M$71), CONCATENATE("PX392=",$M$72), CONCATENATE("DS004=",$B$64), "Fill=B")</f>
        <v>223100</v>
      </c>
      <c r="N83">
        <f ca="1">_xll.BDP($B$14,$C$14,CONCATENATE("PX391=", $N$71), CONCATENATE("PX392=",$N$72), CONCATENATE("DS004=",$B$64), "Fill=B")</f>
        <v>234400</v>
      </c>
      <c r="O83">
        <f ca="1">_xll.BDP($B$14,$C$14,CONCATENATE("PX391=", $O$71), CONCATENATE("PX392=",$O$72), CONCATENATE("DS004=",$B$64), "Fill=B")</f>
        <v>226100</v>
      </c>
      <c r="P83">
        <f ca="1">_xll.BDP($B$14,$C$14,CONCATENATE("PX391=", $P$71), CONCATENATE("PX392=",$P$72), CONCATENATE("DS004=",$B$64), "Fill=B")</f>
        <v>200300</v>
      </c>
      <c r="Q83">
        <f ca="1">_xll.BDP($B$14,$C$14,CONCATENATE("PX391=", $Q$71), CONCATENATE("PX392=",$Q$72), CONCATENATE("DS004=",$B$64), "Fill=B")</f>
        <v>197500</v>
      </c>
      <c r="R83">
        <f ca="1">_xll.BDP($B$14,$C$14,CONCATENATE("PX391=", $R$71), CONCATENATE("PX392=",$R$72), CONCATENATE("DS004=",$B$64), "Fill=B")</f>
        <v>184200</v>
      </c>
      <c r="S83" t="str">
        <f>""</f>
        <v/>
      </c>
      <c r="T83" t="str">
        <f>""</f>
        <v/>
      </c>
      <c r="U83" t="str">
        <f>""</f>
        <v/>
      </c>
      <c r="V83" t="str">
        <f>""</f>
        <v/>
      </c>
      <c r="W83" t="str">
        <f>""</f>
        <v/>
      </c>
      <c r="X83" t="str">
        <f>""</f>
        <v/>
      </c>
      <c r="Y83" t="str">
        <f>""</f>
        <v/>
      </c>
      <c r="Z83" t="str">
        <f>""</f>
        <v/>
      </c>
      <c r="AA83" t="str">
        <f>""</f>
        <v/>
      </c>
      <c r="AB83" t="str">
        <f>""</f>
        <v/>
      </c>
      <c r="AC83" t="str">
        <f>""</f>
        <v/>
      </c>
      <c r="AD83" t="str">
        <f>""</f>
        <v/>
      </c>
      <c r="AE83" t="str">
        <f>""</f>
        <v/>
      </c>
    </row>
    <row r="84" spans="1:31" x14ac:dyDescent="0.25">
      <c r="A84" t="str">
        <f>$A$15</f>
        <v xml:space="preserve">    Australasia &amp; Oceania - Australasia &amp; Oceania</v>
      </c>
      <c r="B84" t="str">
        <f>$B$15</f>
        <v>CSHVOAUO Index</v>
      </c>
      <c r="C84" t="str">
        <f>$C$15</f>
        <v>PX385</v>
      </c>
      <c r="D84" t="str">
        <f>$D$15</f>
        <v>INTERVAL_SUM</v>
      </c>
      <c r="E84" t="str">
        <f>$E$15</f>
        <v>Dynamic</v>
      </c>
      <c r="F84">
        <f ca="1">_xll.BDP($B$15,$C$15,CONCATENATE("PX391=", $F$71), CONCATENATE("PX392=",$F$72), CONCATENATE("DS004=",$B$64), "Fill=B")</f>
        <v>247500</v>
      </c>
      <c r="G84">
        <f ca="1">_xll.BDP($B$15,$C$15,CONCATENATE("PX391=", $G$71), CONCATENATE("PX392=",$G$72), CONCATENATE("DS004=",$B$64), "Fill=B")</f>
        <v>380900</v>
      </c>
      <c r="H84">
        <f ca="1">_xll.BDP($B$15,$C$15,CONCATENATE("PX391=", $H$71), CONCATENATE("PX392=",$H$72), CONCATENATE("DS004=",$B$64), "Fill=B")</f>
        <v>400400</v>
      </c>
      <c r="I84">
        <f ca="1">_xll.BDP($B$15,$C$15,CONCATENATE("PX391=", $I$71), CONCATENATE("PX392=",$I$72), CONCATENATE("DS004=",$B$64), "Fill=B")</f>
        <v>453300</v>
      </c>
      <c r="J84">
        <f ca="1">_xll.BDP($B$15,$C$15,CONCATENATE("PX391=", $J$71), CONCATENATE("PX392=",$J$72), CONCATENATE("DS004=",$B$64), "Fill=B")</f>
        <v>444900</v>
      </c>
      <c r="K84">
        <f ca="1">_xll.BDP($B$15,$C$15,CONCATENATE("PX391=", $K$71), CONCATENATE("PX392=",$K$72), CONCATENATE("DS004=",$B$64), "Fill=B")</f>
        <v>489600</v>
      </c>
      <c r="L84">
        <f ca="1">_xll.BDP($B$15,$C$15,CONCATENATE("PX391=", $L$71), CONCATENATE("PX392=",$L$72), CONCATENATE("DS004=",$B$64), "Fill=B")</f>
        <v>508300</v>
      </c>
      <c r="M84">
        <f ca="1">_xll.BDP($B$15,$C$15,CONCATENATE("PX391=", $M$71), CONCATENATE("PX392=",$M$72), CONCATENATE("DS004=",$B$64), "Fill=B")</f>
        <v>489100</v>
      </c>
      <c r="N84">
        <f ca="1">_xll.BDP($B$15,$C$15,CONCATENATE("PX391=", $N$71), CONCATENATE("PX392=",$N$72), CONCATENATE("DS004=",$B$64), "Fill=B")</f>
        <v>457600</v>
      </c>
      <c r="O84">
        <f ca="1">_xll.BDP($B$15,$C$15,CONCATENATE("PX391=", $O$71), CONCATENATE("PX392=",$O$72), CONCATENATE("DS004=",$B$64), "Fill=B")</f>
        <v>449800</v>
      </c>
      <c r="P84">
        <f ca="1">_xll.BDP($B$15,$C$15,CONCATENATE("PX391=", $P$71), CONCATENATE("PX392=",$P$72), CONCATENATE("DS004=",$B$64), "Fill=B")</f>
        <v>420800</v>
      </c>
      <c r="Q84">
        <f ca="1">_xll.BDP($B$15,$C$15,CONCATENATE("PX391=", $Q$71), CONCATENATE("PX392=",$Q$72), CONCATENATE("DS004=",$B$64), "Fill=B")</f>
        <v>414900</v>
      </c>
      <c r="R84">
        <f ca="1">_xll.BDP($B$15,$C$15,CONCATENATE("PX391=", $R$71), CONCATENATE("PX392=",$R$72), CONCATENATE("DS004=",$B$64), "Fill=B")</f>
        <v>438400</v>
      </c>
      <c r="S84" t="str">
        <f>""</f>
        <v/>
      </c>
      <c r="T84" t="str">
        <f>""</f>
        <v/>
      </c>
      <c r="U84" t="str">
        <f>""</f>
        <v/>
      </c>
      <c r="V84" t="str">
        <f>""</f>
        <v/>
      </c>
      <c r="W84" t="str">
        <f>""</f>
        <v/>
      </c>
      <c r="X84" t="str">
        <f>""</f>
        <v/>
      </c>
      <c r="Y84" t="str">
        <f>""</f>
        <v/>
      </c>
      <c r="Z84" t="str">
        <f>""</f>
        <v/>
      </c>
      <c r="AA84" t="str">
        <f>""</f>
        <v/>
      </c>
      <c r="AB84" t="str">
        <f>""</f>
        <v/>
      </c>
      <c r="AC84" t="str">
        <f>""</f>
        <v/>
      </c>
      <c r="AD84" t="str">
        <f>""</f>
        <v/>
      </c>
      <c r="AE84" t="str">
        <f>""</f>
        <v/>
      </c>
    </row>
    <row r="85" spans="1:31" x14ac:dyDescent="0.25">
      <c r="A85" t="str">
        <f>$A$16</f>
        <v xml:space="preserve">    Australasia &amp; Oceania - Sub Saharan Africa</v>
      </c>
      <c r="B85" t="str">
        <f>$B$16</f>
        <v>CSHVOSSA Index</v>
      </c>
      <c r="C85" t="str">
        <f>$C$16</f>
        <v>PX385</v>
      </c>
      <c r="D85" t="str">
        <f>$D$16</f>
        <v>INTERVAL_SUM</v>
      </c>
      <c r="E85" t="str">
        <f>$E$16</f>
        <v>Dynamic</v>
      </c>
      <c r="F85">
        <f ca="1">_xll.BDP($B$16,$C$16,CONCATENATE("PX391=", $F$71), CONCATENATE("PX392=",$F$72), CONCATENATE("DS004=",$B$64), "Fill=B")</f>
        <v>31900</v>
      </c>
      <c r="G85">
        <f ca="1">_xll.BDP($B$16,$C$16,CONCATENATE("PX391=", $G$71), CONCATENATE("PX392=",$G$72), CONCATENATE("DS004=",$B$64), "Fill=B")</f>
        <v>52100</v>
      </c>
      <c r="H85">
        <f ca="1">_xll.BDP($B$16,$C$16,CONCATENATE("PX391=", $H$71), CONCATENATE("PX392=",$H$72), CONCATENATE("DS004=",$B$64), "Fill=B")</f>
        <v>54800</v>
      </c>
      <c r="I85">
        <f ca="1">_xll.BDP($B$16,$C$16,CONCATENATE("PX391=", $I$71), CONCATENATE("PX392=",$I$72), CONCATENATE("DS004=",$B$64), "Fill=B")</f>
        <v>44100</v>
      </c>
      <c r="J85">
        <f ca="1">_xll.BDP($B$16,$C$16,CONCATENATE("PX391=", $J$71), CONCATENATE("PX392=",$J$72), CONCATENATE("DS004=",$B$64), "Fill=B")</f>
        <v>48100</v>
      </c>
      <c r="K85">
        <f ca="1">_xll.BDP($B$16,$C$16,CONCATENATE("PX391=", $K$71), CONCATENATE("PX392=",$K$72), CONCATENATE("DS004=",$B$64), "Fill=B")</f>
        <v>50800</v>
      </c>
      <c r="L85">
        <f ca="1">_xll.BDP($B$16,$C$16,CONCATENATE("PX391=", $L$71), CONCATENATE("PX392=",$L$72), CONCATENATE("DS004=",$B$64), "Fill=B")</f>
        <v>51400</v>
      </c>
      <c r="M85">
        <f ca="1">_xll.BDP($B$16,$C$16,CONCATENATE("PX391=", $M$71), CONCATENATE("PX392=",$M$72), CONCATENATE("DS004=",$B$64), "Fill=B")</f>
        <v>48600</v>
      </c>
      <c r="N85">
        <f ca="1">_xll.BDP($B$16,$C$16,CONCATENATE("PX391=", $N$71), CONCATENATE("PX392=",$N$72), CONCATENATE("DS004=",$B$64), "Fill=B")</f>
        <v>52000</v>
      </c>
      <c r="O85">
        <f ca="1">_xll.BDP($B$16,$C$16,CONCATENATE("PX391=", $O$71), CONCATENATE("PX392=",$O$72), CONCATENATE("DS004=",$B$64), "Fill=B")</f>
        <v>47600</v>
      </c>
      <c r="P85">
        <f ca="1">_xll.BDP($B$16,$C$16,CONCATENATE("PX391=", $P$71), CONCATENATE("PX392=",$P$72), CONCATENATE("DS004=",$B$64), "Fill=B")</f>
        <v>53100</v>
      </c>
      <c r="Q85">
        <f ca="1">_xll.BDP($B$16,$C$16,CONCATENATE("PX391=", $Q$71), CONCATENATE("PX392=",$Q$72), CONCATENATE("DS004=",$B$64), "Fill=B")</f>
        <v>53300</v>
      </c>
      <c r="R85">
        <f ca="1">_xll.BDP($B$16,$C$16,CONCATENATE("PX391=", $R$71), CONCATENATE("PX392=",$R$72), CONCATENATE("DS004=",$B$64), "Fill=B")</f>
        <v>50400</v>
      </c>
      <c r="S85" t="str">
        <f>""</f>
        <v/>
      </c>
      <c r="T85" t="str">
        <f>""</f>
        <v/>
      </c>
      <c r="U85" t="str">
        <f>""</f>
        <v/>
      </c>
      <c r="V85" t="str">
        <f>""</f>
        <v/>
      </c>
      <c r="W85" t="str">
        <f>""</f>
        <v/>
      </c>
      <c r="X85" t="str">
        <f>""</f>
        <v/>
      </c>
      <c r="Y85" t="str">
        <f>""</f>
        <v/>
      </c>
      <c r="Z85" t="str">
        <f>""</f>
        <v/>
      </c>
      <c r="AA85" t="str">
        <f>""</f>
        <v/>
      </c>
      <c r="AB85" t="str">
        <f>""</f>
        <v/>
      </c>
      <c r="AC85" t="str">
        <f>""</f>
        <v/>
      </c>
      <c r="AD85" t="str">
        <f>""</f>
        <v/>
      </c>
      <c r="AE85" t="str">
        <f>""</f>
        <v/>
      </c>
    </row>
    <row r="86" spans="1:31" x14ac:dyDescent="0.25">
      <c r="A86" t="str">
        <f>$A$17</f>
        <v xml:space="preserve">    Australasia &amp; Oceania - Indian Sub Cont. &amp; Middle East</v>
      </c>
      <c r="B86" t="str">
        <f>$B$17</f>
        <v>CSHVOIME Index</v>
      </c>
      <c r="C86" t="str">
        <f>$C$17</f>
        <v>PX385</v>
      </c>
      <c r="D86" t="str">
        <f>$D$17</f>
        <v>INTERVAL_SUM</v>
      </c>
      <c r="E86" t="str">
        <f>$E$17</f>
        <v>Dynamic</v>
      </c>
      <c r="F86">
        <f ca="1">_xll.BDP($B$17,$C$17,CONCATENATE("PX391=", $F$71), CONCATENATE("PX392=",$F$72), CONCATENATE("DS004=",$B$64), "Fill=B")</f>
        <v>177800</v>
      </c>
      <c r="G86">
        <f ca="1">_xll.BDP($B$17,$C$17,CONCATENATE("PX391=", $G$71), CONCATENATE("PX392=",$G$72), CONCATENATE("DS004=",$B$64), "Fill=B")</f>
        <v>213800</v>
      </c>
      <c r="H86">
        <f ca="1">_xll.BDP($B$17,$C$17,CONCATENATE("PX391=", $H$71), CONCATENATE("PX392=",$H$72), CONCATENATE("DS004=",$B$64), "Fill=B")</f>
        <v>262700</v>
      </c>
      <c r="I86">
        <f ca="1">_xll.BDP($B$17,$C$17,CONCATENATE("PX391=", $I$71), CONCATENATE("PX392=",$I$72), CONCATENATE("DS004=",$B$64), "Fill=B")</f>
        <v>253700</v>
      </c>
      <c r="J86">
        <f ca="1">_xll.BDP($B$17,$C$17,CONCATENATE("PX391=", $J$71), CONCATENATE("PX392=",$J$72), CONCATENATE("DS004=",$B$64), "Fill=B")</f>
        <v>282500</v>
      </c>
      <c r="K86">
        <f ca="1">_xll.BDP($B$17,$C$17,CONCATENATE("PX391=", $K$71), CONCATENATE("PX392=",$K$72), CONCATENATE("DS004=",$B$64), "Fill=B")</f>
        <v>262900</v>
      </c>
      <c r="L86">
        <f ca="1">_xll.BDP($B$17,$C$17,CONCATENATE("PX391=", $L$71), CONCATENATE("PX392=",$L$72), CONCATENATE("DS004=",$B$64), "Fill=B")</f>
        <v>452200</v>
      </c>
      <c r="M86">
        <f ca="1">_xll.BDP($B$17,$C$17,CONCATENATE("PX391=", $M$71), CONCATENATE("PX392=",$M$72), CONCATENATE("DS004=",$B$64), "Fill=B")</f>
        <v>365100</v>
      </c>
      <c r="N86">
        <f ca="1">_xll.BDP($B$17,$C$17,CONCATENATE("PX391=", $N$71), CONCATENATE("PX392=",$N$72), CONCATENATE("DS004=",$B$64), "Fill=B")</f>
        <v>336000</v>
      </c>
      <c r="O86">
        <f ca="1">_xll.BDP($B$17,$C$17,CONCATENATE("PX391=", $O$71), CONCATENATE("PX392=",$O$72), CONCATENATE("DS004=",$B$64), "Fill=B")</f>
        <v>250500</v>
      </c>
      <c r="P86">
        <f ca="1">_xll.BDP($B$17,$C$17,CONCATENATE("PX391=", $P$71), CONCATENATE("PX392=",$P$72), CONCATENATE("DS004=",$B$64), "Fill=B")</f>
        <v>206500</v>
      </c>
      <c r="Q86">
        <f ca="1">_xll.BDP($B$17,$C$17,CONCATENATE("PX391=", $Q$71), CONCATENATE("PX392=",$Q$72), CONCATENATE("DS004=",$B$64), "Fill=B")</f>
        <v>223900</v>
      </c>
      <c r="R86">
        <f ca="1">_xll.BDP($B$17,$C$17,CONCATENATE("PX391=", $R$71), CONCATENATE("PX392=",$R$72), CONCATENATE("DS004=",$B$64), "Fill=B")</f>
        <v>194700</v>
      </c>
      <c r="S86" t="str">
        <f>""</f>
        <v/>
      </c>
      <c r="T86" t="str">
        <f>""</f>
        <v/>
      </c>
      <c r="U86" t="str">
        <f>""</f>
        <v/>
      </c>
      <c r="V86" t="str">
        <f>""</f>
        <v/>
      </c>
      <c r="W86" t="str">
        <f>""</f>
        <v/>
      </c>
      <c r="X86" t="str">
        <f>""</f>
        <v/>
      </c>
      <c r="Y86" t="str">
        <f>""</f>
        <v/>
      </c>
      <c r="Z86" t="str">
        <f>""</f>
        <v/>
      </c>
      <c r="AA86" t="str">
        <f>""</f>
        <v/>
      </c>
      <c r="AB86" t="str">
        <f>""</f>
        <v/>
      </c>
      <c r="AC86" t="str">
        <f>""</f>
        <v/>
      </c>
      <c r="AD86" t="str">
        <f>""</f>
        <v/>
      </c>
      <c r="AE86" t="str">
        <f>""</f>
        <v/>
      </c>
    </row>
    <row r="87" spans="1:31" x14ac:dyDescent="0.25">
      <c r="A87" t="str">
        <f>$A$18</f>
        <v xml:space="preserve">    Europe - Europe</v>
      </c>
      <c r="B87" t="str">
        <f>$B$18</f>
        <v>CSHVEEUR Index</v>
      </c>
      <c r="C87" t="str">
        <f>$C$18</f>
        <v>PX385</v>
      </c>
      <c r="D87" t="str">
        <f>$D$18</f>
        <v>INTERVAL_SUM</v>
      </c>
      <c r="E87" t="str">
        <f>$E$18</f>
        <v>Dynamic</v>
      </c>
      <c r="F87">
        <f ca="1">_xll.BDP($B$18,$C$18,CONCATENATE("PX391=", $F$71), CONCATENATE("PX392=",$F$72), CONCATENATE("DS004=",$B$64), "Fill=B")</f>
        <v>5716800</v>
      </c>
      <c r="G87">
        <f ca="1">_xll.BDP($B$18,$C$18,CONCATENATE("PX391=", $G$71), CONCATENATE("PX392=",$G$72), CONCATENATE("DS004=",$B$64), "Fill=B")</f>
        <v>8178400</v>
      </c>
      <c r="H87">
        <f ca="1">_xll.BDP($B$18,$C$18,CONCATENATE("PX391=", $H$71), CONCATENATE("PX392=",$H$72), CONCATENATE("DS004=",$B$64), "Fill=B")</f>
        <v>8933400</v>
      </c>
      <c r="I87">
        <f ca="1">_xll.BDP($B$18,$C$18,CONCATENATE("PX391=", $I$71), CONCATENATE("PX392=",$I$72), CONCATENATE("DS004=",$B$64), "Fill=B")</f>
        <v>8201800</v>
      </c>
      <c r="J87">
        <f ca="1">_xll.BDP($B$18,$C$18,CONCATENATE("PX391=", $J$71), CONCATENATE("PX392=",$J$72), CONCATENATE("DS004=",$B$64), "Fill=B")</f>
        <v>8222700</v>
      </c>
      <c r="K87">
        <f ca="1">_xll.BDP($B$18,$C$18,CONCATENATE("PX391=", $K$71), CONCATENATE("PX392=",$K$72), CONCATENATE("DS004=",$B$64), "Fill=B")</f>
        <v>7732100</v>
      </c>
      <c r="L87">
        <f ca="1">_xll.BDP($B$18,$C$18,CONCATENATE("PX391=", $L$71), CONCATENATE("PX392=",$L$72), CONCATENATE("DS004=",$B$64), "Fill=B")</f>
        <v>7255800</v>
      </c>
      <c r="M87">
        <f ca="1">_xll.BDP($B$18,$C$18,CONCATENATE("PX391=", $M$71), CONCATENATE("PX392=",$M$72), CONCATENATE("DS004=",$B$64), "Fill=B")</f>
        <v>7034900</v>
      </c>
      <c r="N87">
        <f ca="1">_xll.BDP($B$18,$C$18,CONCATENATE("PX391=", $N$71), CONCATENATE("PX392=",$N$72), CONCATENATE("DS004=",$B$64), "Fill=B")</f>
        <v>6764300</v>
      </c>
      <c r="O87">
        <f ca="1">_xll.BDP($B$18,$C$18,CONCATENATE("PX391=", $O$71), CONCATENATE("PX392=",$O$72), CONCATENATE("DS004=",$B$64), "Fill=B")</f>
        <v>6709800</v>
      </c>
      <c r="P87">
        <f ca="1">_xll.BDP($B$18,$C$18,CONCATENATE("PX391=", $P$71), CONCATENATE("PX392=",$P$72), CONCATENATE("DS004=",$B$64), "Fill=B")</f>
        <v>6263900</v>
      </c>
      <c r="Q87">
        <f ca="1">_xll.BDP($B$18,$C$18,CONCATENATE("PX391=", $Q$71), CONCATENATE("PX392=",$Q$72), CONCATENATE("DS004=",$B$64), "Fill=B")</f>
        <v>6010300</v>
      </c>
      <c r="R87">
        <f ca="1">_xll.BDP($B$18,$C$18,CONCATENATE("PX391=", $R$71), CONCATENATE("PX392=",$R$72), CONCATENATE("DS004=",$B$64), "Fill=B")</f>
        <v>5959700</v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  <c r="Z87" t="str">
        <f>""</f>
        <v/>
      </c>
      <c r="AA87" t="str">
        <f>""</f>
        <v/>
      </c>
      <c r="AB87" t="str">
        <f>""</f>
        <v/>
      </c>
      <c r="AC87" t="str">
        <f>""</f>
        <v/>
      </c>
      <c r="AD87" t="str">
        <f>""</f>
        <v/>
      </c>
      <c r="AE87" t="str">
        <f>""</f>
        <v/>
      </c>
    </row>
    <row r="88" spans="1:31" x14ac:dyDescent="0.25">
      <c r="A88" t="str">
        <f>$A$19</f>
        <v xml:space="preserve">    Europe - Asia</v>
      </c>
      <c r="B88" t="str">
        <f>$B$19</f>
        <v>CSHVEASR Index</v>
      </c>
      <c r="C88" t="str">
        <f>$C$19</f>
        <v>PX385</v>
      </c>
      <c r="D88" t="str">
        <f>$D$19</f>
        <v>INTERVAL_SUM</v>
      </c>
      <c r="E88" t="str">
        <f>$E$19</f>
        <v>Dynamic</v>
      </c>
      <c r="F88">
        <f ca="1">_xll.BDP($B$19,$C$19,CONCATENATE("PX391=", $F$71), CONCATENATE("PX392=",$F$72), CONCATENATE("DS004=",$B$64), "Fill=B")</f>
        <v>4749500</v>
      </c>
      <c r="G88">
        <f ca="1">_xll.BDP($B$19,$C$19,CONCATENATE("PX391=", $G$71), CONCATENATE("PX392=",$G$72), CONCATENATE("DS004=",$B$64), "Fill=B")</f>
        <v>6730800</v>
      </c>
      <c r="H88">
        <f ca="1">_xll.BDP($B$19,$C$19,CONCATENATE("PX391=", $H$71), CONCATENATE("PX392=",$H$72), CONCATENATE("DS004=",$B$64), "Fill=B")</f>
        <v>7750800</v>
      </c>
      <c r="I88">
        <f ca="1">_xll.BDP($B$19,$C$19,CONCATENATE("PX391=", $I$71), CONCATENATE("PX392=",$I$72), CONCATENATE("DS004=",$B$64), "Fill=B")</f>
        <v>8209400</v>
      </c>
      <c r="J88">
        <f ca="1">_xll.BDP($B$19,$C$19,CONCATENATE("PX391=", $J$71), CONCATENATE("PX392=",$J$72), CONCATENATE("DS004=",$B$64), "Fill=B")</f>
        <v>8134100</v>
      </c>
      <c r="K88">
        <f ca="1">_xll.BDP($B$19,$C$19,CONCATENATE("PX391=", $K$71), CONCATENATE("PX392=",$K$72), CONCATENATE("DS004=",$B$64), "Fill=B")</f>
        <v>7649500</v>
      </c>
      <c r="L88">
        <f ca="1">_xll.BDP($B$19,$C$19,CONCATENATE("PX391=", $L$71), CONCATENATE("PX392=",$L$72), CONCATENATE("DS004=",$B$64), "Fill=B")</f>
        <v>7892400</v>
      </c>
      <c r="M88">
        <f ca="1">_xll.BDP($B$19,$C$19,CONCATENATE("PX391=", $M$71), CONCATENATE("PX392=",$M$72), CONCATENATE("DS004=",$B$64), "Fill=B")</f>
        <v>7460800</v>
      </c>
      <c r="N88">
        <f ca="1">_xll.BDP($B$19,$C$19,CONCATENATE("PX391=", $N$71), CONCATENATE("PX392=",$N$72), CONCATENATE("DS004=",$B$64), "Fill=B")</f>
        <v>6930000</v>
      </c>
      <c r="O88">
        <f ca="1">_xll.BDP($B$19,$C$19,CONCATENATE("PX391=", $O$71), CONCATENATE("PX392=",$O$72), CONCATENATE("DS004=",$B$64), "Fill=B")</f>
        <v>6853700</v>
      </c>
      <c r="P88">
        <f ca="1">_xll.BDP($B$19,$C$19,CONCATENATE("PX391=", $P$71), CONCATENATE("PX392=",$P$72), CONCATENATE("DS004=",$B$64), "Fill=B")</f>
        <v>6861100</v>
      </c>
      <c r="Q88">
        <f ca="1">_xll.BDP($B$19,$C$19,CONCATENATE("PX391=", $Q$71), CONCATENATE("PX392=",$Q$72), CONCATENATE("DS004=",$B$64), "Fill=B")</f>
        <v>6508100</v>
      </c>
      <c r="R88">
        <f ca="1">_xll.BDP($B$19,$C$19,CONCATENATE("PX391=", $R$71), CONCATENATE("PX392=",$R$72), CONCATENATE("DS004=",$B$64), "Fill=B")</f>
        <v>6230500</v>
      </c>
      <c r="S88" t="str">
        <f>""</f>
        <v/>
      </c>
      <c r="T88" t="str">
        <f>""</f>
        <v/>
      </c>
      <c r="U88" t="str">
        <f>""</f>
        <v/>
      </c>
      <c r="V88" t="str">
        <f>""</f>
        <v/>
      </c>
      <c r="W88" t="str">
        <f>""</f>
        <v/>
      </c>
      <c r="X88" t="str">
        <f>""</f>
        <v/>
      </c>
      <c r="Y88" t="str">
        <f>""</f>
        <v/>
      </c>
      <c r="Z88" t="str">
        <f>""</f>
        <v/>
      </c>
      <c r="AA88" t="str">
        <f>""</f>
        <v/>
      </c>
      <c r="AB88" t="str">
        <f>""</f>
        <v/>
      </c>
      <c r="AC88" t="str">
        <f>""</f>
        <v/>
      </c>
      <c r="AD88" t="str">
        <f>""</f>
        <v/>
      </c>
      <c r="AE88" t="str">
        <f>""</f>
        <v/>
      </c>
    </row>
    <row r="89" spans="1:31" x14ac:dyDescent="0.25">
      <c r="A89" t="str">
        <f>$A$20</f>
        <v xml:space="preserve">    Europe - North America</v>
      </c>
      <c r="B89" t="str">
        <f>$B$20</f>
        <v>CSHVENAR Index</v>
      </c>
      <c r="C89" t="str">
        <f>$C$20</f>
        <v>PX385</v>
      </c>
      <c r="D89" t="str">
        <f>$D$20</f>
        <v>INTERVAL_SUM</v>
      </c>
      <c r="E89" t="str">
        <f>$E$20</f>
        <v>Dynamic</v>
      </c>
      <c r="F89">
        <f ca="1">_xll.BDP($B$20,$C$20,CONCATENATE("PX391=", $F$71), CONCATENATE("PX392=",$F$72), CONCATENATE("DS004=",$B$64), "Fill=B")</f>
        <v>3665100</v>
      </c>
      <c r="G89">
        <f ca="1">_xll.BDP($B$20,$C$20,CONCATENATE("PX391=", $G$71), CONCATENATE("PX392=",$G$72), CONCATENATE("DS004=",$B$64), "Fill=B")</f>
        <v>5520200</v>
      </c>
      <c r="H89">
        <f ca="1">_xll.BDP($B$20,$C$20,CONCATENATE("PX391=", $H$71), CONCATENATE("PX392=",$H$72), CONCATENATE("DS004=",$B$64), "Fill=B")</f>
        <v>5627800</v>
      </c>
      <c r="I89">
        <f ca="1">_xll.BDP($B$20,$C$20,CONCATENATE("PX391=", $I$71), CONCATENATE("PX392=",$I$72), CONCATENATE("DS004=",$B$64), "Fill=B")</f>
        <v>5010800</v>
      </c>
      <c r="J89">
        <f ca="1">_xll.BDP($B$20,$C$20,CONCATENATE("PX391=", $J$71), CONCATENATE("PX392=",$J$72), CONCATENATE("DS004=",$B$64), "Fill=B")</f>
        <v>5102000</v>
      </c>
      <c r="K89">
        <f ca="1">_xll.BDP($B$20,$C$20,CONCATENATE("PX391=", $K$71), CONCATENATE("PX392=",$K$72), CONCATENATE("DS004=",$B$64), "Fill=B")</f>
        <v>4978300</v>
      </c>
      <c r="L89">
        <f ca="1">_xll.BDP($B$20,$C$20,CONCATENATE("PX391=", $L$71), CONCATENATE("PX392=",$L$72), CONCATENATE("DS004=",$B$64), "Fill=B")</f>
        <v>4683700</v>
      </c>
      <c r="M89">
        <f ca="1">_xll.BDP($B$20,$C$20,CONCATENATE("PX391=", $M$71), CONCATENATE("PX392=",$M$72), CONCATENATE("DS004=",$B$64), "Fill=B")</f>
        <v>4326100</v>
      </c>
      <c r="N89">
        <f ca="1">_xll.BDP($B$20,$C$20,CONCATENATE("PX391=", $N$71), CONCATENATE("PX392=",$N$72), CONCATENATE("DS004=",$B$64), "Fill=B")</f>
        <v>4178800</v>
      </c>
      <c r="O89">
        <f ca="1">_xll.BDP($B$20,$C$20,CONCATENATE("PX391=", $O$71), CONCATENATE("PX392=",$O$72), CONCATENATE("DS004=",$B$64), "Fill=B")</f>
        <v>3917300</v>
      </c>
      <c r="P89">
        <f ca="1">_xll.BDP($B$20,$C$20,CONCATENATE("PX391=", $P$71), CONCATENATE("PX392=",$P$72), CONCATENATE("DS004=",$B$64), "Fill=B")</f>
        <v>3586100</v>
      </c>
      <c r="Q89">
        <f ca="1">_xll.BDP($B$20,$C$20,CONCATENATE("PX391=", $Q$71), CONCATENATE("PX392=",$Q$72), CONCATENATE("DS004=",$B$64), "Fill=B")</f>
        <v>3469100</v>
      </c>
      <c r="R89">
        <f ca="1">_xll.BDP($B$20,$C$20,CONCATENATE("PX391=", $R$71), CONCATENATE("PX392=",$R$72), CONCATENATE("DS004=",$B$64), "Fill=B")</f>
        <v>3286000</v>
      </c>
      <c r="S89" t="str">
        <f>""</f>
        <v/>
      </c>
      <c r="T89" t="str">
        <f>""</f>
        <v/>
      </c>
      <c r="U89" t="str">
        <f>""</f>
        <v/>
      </c>
      <c r="V89" t="str">
        <f>""</f>
        <v/>
      </c>
      <c r="W89" t="str">
        <f>""</f>
        <v/>
      </c>
      <c r="X89" t="str">
        <f>""</f>
        <v/>
      </c>
      <c r="Y89" t="str">
        <f>""</f>
        <v/>
      </c>
      <c r="Z89" t="str">
        <f>""</f>
        <v/>
      </c>
      <c r="AA89" t="str">
        <f>""</f>
        <v/>
      </c>
      <c r="AB89" t="str">
        <f>""</f>
        <v/>
      </c>
      <c r="AC89" t="str">
        <f>""</f>
        <v/>
      </c>
      <c r="AD89" t="str">
        <f>""</f>
        <v/>
      </c>
      <c r="AE89" t="str">
        <f>""</f>
        <v/>
      </c>
    </row>
    <row r="90" spans="1:31" x14ac:dyDescent="0.25">
      <c r="A90" t="str">
        <f>$A$21</f>
        <v xml:space="preserve">    Europe - Australasia &amp; Oceania</v>
      </c>
      <c r="B90" t="str">
        <f>$B$21</f>
        <v>CSHVEAUO Index</v>
      </c>
      <c r="C90" t="str">
        <f>$C$21</f>
        <v>PX385</v>
      </c>
      <c r="D90" t="str">
        <f>$D$21</f>
        <v>INTERVAL_SUM</v>
      </c>
      <c r="E90" t="str">
        <f>$E$21</f>
        <v>Dynamic</v>
      </c>
      <c r="F90">
        <f ca="1">_xll.BDP($B$21,$C$21,CONCATENATE("PX391=", $F$71), CONCATENATE("PX392=",$F$72), CONCATENATE("DS004=",$B$64), "Fill=B")</f>
        <v>456500</v>
      </c>
      <c r="G90">
        <f ca="1">_xll.BDP($B$21,$C$21,CONCATENATE("PX391=", $G$71), CONCATENATE("PX392=",$G$72), CONCATENATE("DS004=",$B$64), "Fill=B")</f>
        <v>711300</v>
      </c>
      <c r="H90">
        <f ca="1">_xll.BDP($B$21,$C$21,CONCATENATE("PX391=", $H$71), CONCATENATE("PX392=",$H$72), CONCATENATE("DS004=",$B$64), "Fill=B")</f>
        <v>754100</v>
      </c>
      <c r="I90">
        <f ca="1">_xll.BDP($B$21,$C$21,CONCATENATE("PX391=", $I$71), CONCATENATE("PX392=",$I$72), CONCATENATE("DS004=",$B$64), "Fill=B")</f>
        <v>699300</v>
      </c>
      <c r="J90">
        <f ca="1">_xll.BDP($B$21,$C$21,CONCATENATE("PX391=", $J$71), CONCATENATE("PX392=",$J$72), CONCATENATE("DS004=",$B$64), "Fill=B")</f>
        <v>723100</v>
      </c>
      <c r="K90">
        <f ca="1">_xll.BDP($B$21,$C$21,CONCATENATE("PX391=", $K$71), CONCATENATE("PX392=",$K$72), CONCATENATE("DS004=",$B$64), "Fill=B")</f>
        <v>756600</v>
      </c>
      <c r="L90">
        <f ca="1">_xll.BDP($B$21,$C$21,CONCATENATE("PX391=", $L$71), CONCATENATE("PX392=",$L$72), CONCATENATE("DS004=",$B$64), "Fill=B")</f>
        <v>690800</v>
      </c>
      <c r="M90">
        <f ca="1">_xll.BDP($B$21,$C$21,CONCATENATE("PX391=", $M$71), CONCATENATE("PX392=",$M$72), CONCATENATE("DS004=",$B$64), "Fill=B")</f>
        <v>603100</v>
      </c>
      <c r="N90">
        <f ca="1">_xll.BDP($B$21,$C$21,CONCATENATE("PX391=", $N$71), CONCATENATE("PX392=",$N$72), CONCATENATE("DS004=",$B$64), "Fill=B")</f>
        <v>558200</v>
      </c>
      <c r="O90">
        <f ca="1">_xll.BDP($B$21,$C$21,CONCATENATE("PX391=", $O$71), CONCATENATE("PX392=",$O$72), CONCATENATE("DS004=",$B$64), "Fill=B")</f>
        <v>545800</v>
      </c>
      <c r="P90">
        <f ca="1">_xll.BDP($B$21,$C$21,CONCATENATE("PX391=", $P$71), CONCATENATE("PX392=",$P$72), CONCATENATE("DS004=",$B$64), "Fill=B")</f>
        <v>530800</v>
      </c>
      <c r="Q90">
        <f ca="1">_xll.BDP($B$21,$C$21,CONCATENATE("PX391=", $Q$71), CONCATENATE("PX392=",$Q$72), CONCATENATE("DS004=",$B$64), "Fill=B")</f>
        <v>504300</v>
      </c>
      <c r="R90">
        <f ca="1">_xll.BDP($B$21,$C$21,CONCATENATE("PX391=", $R$71), CONCATENATE("PX392=",$R$72), CONCATENATE("DS004=",$B$64), "Fill=B")</f>
        <v>480400</v>
      </c>
      <c r="S90" t="str">
        <f>""</f>
        <v/>
      </c>
      <c r="T90" t="str">
        <f>""</f>
        <v/>
      </c>
      <c r="U90" t="str">
        <f>""</f>
        <v/>
      </c>
      <c r="V90" t="str">
        <f>""</f>
        <v/>
      </c>
      <c r="W90" t="str">
        <f>""</f>
        <v/>
      </c>
      <c r="X90" t="str">
        <f>""</f>
        <v/>
      </c>
      <c r="Y90" t="str">
        <f>""</f>
        <v/>
      </c>
      <c r="Z90" t="str">
        <f>""</f>
        <v/>
      </c>
      <c r="AA90" t="str">
        <f>""</f>
        <v/>
      </c>
      <c r="AB90" t="str">
        <f>""</f>
        <v/>
      </c>
      <c r="AC90" t="str">
        <f>""</f>
        <v/>
      </c>
      <c r="AD90" t="str">
        <f>""</f>
        <v/>
      </c>
      <c r="AE90" t="str">
        <f>""</f>
        <v/>
      </c>
    </row>
    <row r="91" spans="1:31" x14ac:dyDescent="0.25">
      <c r="A91" t="str">
        <f>$A$22</f>
        <v xml:space="preserve">    Europe - Sub Saharan Africa</v>
      </c>
      <c r="B91" t="str">
        <f>$B$22</f>
        <v>CSHVESSA Index</v>
      </c>
      <c r="C91" t="str">
        <f>$C$22</f>
        <v>PX385</v>
      </c>
      <c r="D91" t="str">
        <f>$D$22</f>
        <v>INTERVAL_SUM</v>
      </c>
      <c r="E91" t="str">
        <f>$E$22</f>
        <v>Dynamic</v>
      </c>
      <c r="F91">
        <f ca="1">_xll.BDP($B$22,$C$22,CONCATENATE("PX391=", $F$71), CONCATENATE("PX392=",$F$72), CONCATENATE("DS004=",$B$64), "Fill=B")</f>
        <v>1553500</v>
      </c>
      <c r="G91">
        <f ca="1">_xll.BDP($B$22,$C$22,CONCATENATE("PX391=", $G$71), CONCATENATE("PX392=",$G$72), CONCATENATE("DS004=",$B$64), "Fill=B")</f>
        <v>2208300</v>
      </c>
      <c r="H91">
        <f ca="1">_xll.BDP($B$22,$C$22,CONCATENATE("PX391=", $H$71), CONCATENATE("PX392=",$H$72), CONCATENATE("DS004=",$B$64), "Fill=B")</f>
        <v>2216400</v>
      </c>
      <c r="I91">
        <f ca="1">_xll.BDP($B$22,$C$22,CONCATENATE("PX391=", $I$71), CONCATENATE("PX392=",$I$72), CONCATENATE("DS004=",$B$64), "Fill=B")</f>
        <v>2058100</v>
      </c>
      <c r="J91">
        <f ca="1">_xll.BDP($B$22,$C$22,CONCATENATE("PX391=", $J$71), CONCATENATE("PX392=",$J$72), CONCATENATE("DS004=",$B$64), "Fill=B")</f>
        <v>2173700</v>
      </c>
      <c r="K91">
        <f ca="1">_xll.BDP($B$22,$C$22,CONCATENATE("PX391=", $K$71), CONCATENATE("PX392=",$K$72), CONCATENATE("DS004=",$B$64), "Fill=B")</f>
        <v>2100900</v>
      </c>
      <c r="L91">
        <f ca="1">_xll.BDP($B$22,$C$22,CONCATENATE("PX391=", $L$71), CONCATENATE("PX392=",$L$72), CONCATENATE("DS004=",$B$64), "Fill=B")</f>
        <v>2016400</v>
      </c>
      <c r="M91">
        <f ca="1">_xll.BDP($B$22,$C$22,CONCATENATE("PX391=", $M$71), CONCATENATE("PX392=",$M$72), CONCATENATE("DS004=",$B$64), "Fill=B")</f>
        <v>1895400</v>
      </c>
      <c r="N91">
        <f ca="1">_xll.BDP($B$22,$C$22,CONCATENATE("PX391=", $N$71), CONCATENATE("PX392=",$N$72), CONCATENATE("DS004=",$B$64), "Fill=B")</f>
        <v>2062500</v>
      </c>
      <c r="O91">
        <f ca="1">_xll.BDP($B$22,$C$22,CONCATENATE("PX391=", $O$71), CONCATENATE("PX392=",$O$72), CONCATENATE("DS004=",$B$64), "Fill=B")</f>
        <v>1986200</v>
      </c>
      <c r="P91">
        <f ca="1">_xll.BDP($B$22,$C$22,CONCATENATE("PX391=", $P$71), CONCATENATE("PX392=",$P$72), CONCATENATE("DS004=",$B$64), "Fill=B")</f>
        <v>2048300</v>
      </c>
      <c r="Q91">
        <f ca="1">_xll.BDP($B$22,$C$22,CONCATENATE("PX391=", $Q$71), CONCATENATE("PX392=",$Q$72), CONCATENATE("DS004=",$B$64), "Fill=B")</f>
        <v>1887800</v>
      </c>
      <c r="R91">
        <f ca="1">_xll.BDP($B$22,$C$22,CONCATENATE("PX391=", $R$71), CONCATENATE("PX392=",$R$72), CONCATENATE("DS004=",$B$64), "Fill=B")</f>
        <v>1759000</v>
      </c>
      <c r="S91" t="str">
        <f>""</f>
        <v/>
      </c>
      <c r="T91" t="str">
        <f>""</f>
        <v/>
      </c>
      <c r="U91" t="str">
        <f>""</f>
        <v/>
      </c>
      <c r="V91" t="str">
        <f>""</f>
        <v/>
      </c>
      <c r="W91" t="str">
        <f>""</f>
        <v/>
      </c>
      <c r="X91" t="str">
        <f>""</f>
        <v/>
      </c>
      <c r="Y91" t="str">
        <f>""</f>
        <v/>
      </c>
      <c r="Z91" t="str">
        <f>""</f>
        <v/>
      </c>
      <c r="AA91" t="str">
        <f>""</f>
        <v/>
      </c>
      <c r="AB91" t="str">
        <f>""</f>
        <v/>
      </c>
      <c r="AC91" t="str">
        <f>""</f>
        <v/>
      </c>
      <c r="AD91" t="str">
        <f>""</f>
        <v/>
      </c>
      <c r="AE91" t="str">
        <f>""</f>
        <v/>
      </c>
    </row>
    <row r="92" spans="1:31" x14ac:dyDescent="0.25">
      <c r="A92" t="str">
        <f>$A$23</f>
        <v xml:space="preserve">    Europe - Indian Sub Cont. &amp; Middle East</v>
      </c>
      <c r="B92" t="str">
        <f>$B$23</f>
        <v>CSHVEIME Index</v>
      </c>
      <c r="C92" t="str">
        <f>$C$23</f>
        <v>PX385</v>
      </c>
      <c r="D92" t="str">
        <f>$D$23</f>
        <v>INTERVAL_SUM</v>
      </c>
      <c r="E92" t="str">
        <f>$E$23</f>
        <v>Dynamic</v>
      </c>
      <c r="F92">
        <f ca="1">_xll.BDP($B$23,$C$23,CONCATENATE("PX391=", $F$71), CONCATENATE("PX392=",$F$72), CONCATENATE("DS004=",$B$64), "Fill=B")</f>
        <v>2827800</v>
      </c>
      <c r="G92">
        <f ca="1">_xll.BDP($B$23,$C$23,CONCATENATE("PX391=", $G$71), CONCATENATE("PX392=",$G$72), CONCATENATE("DS004=",$B$64), "Fill=B")</f>
        <v>3846400</v>
      </c>
      <c r="H92">
        <f ca="1">_xll.BDP($B$23,$C$23,CONCATENATE("PX391=", $H$71), CONCATENATE("PX392=",$H$72), CONCATENATE("DS004=",$B$64), "Fill=B")</f>
        <v>3711900</v>
      </c>
      <c r="I92">
        <f ca="1">_xll.BDP($B$23,$C$23,CONCATENATE("PX391=", $I$71), CONCATENATE("PX392=",$I$72), CONCATENATE("DS004=",$B$64), "Fill=B")</f>
        <v>3794700</v>
      </c>
      <c r="J92">
        <f ca="1">_xll.BDP($B$23,$C$23,CONCATENATE("PX391=", $J$71), CONCATENATE("PX392=",$J$72), CONCATENATE("DS004=",$B$64), "Fill=B")</f>
        <v>4037500</v>
      </c>
      <c r="K92">
        <f ca="1">_xll.BDP($B$23,$C$23,CONCATENATE("PX391=", $K$71), CONCATENATE("PX392=",$K$72), CONCATENATE("DS004=",$B$64), "Fill=B")</f>
        <v>3964900</v>
      </c>
      <c r="L92">
        <f ca="1">_xll.BDP($B$23,$C$23,CONCATENATE("PX391=", $L$71), CONCATENATE("PX392=",$L$72), CONCATENATE("DS004=",$B$64), "Fill=B")</f>
        <v>3878100</v>
      </c>
      <c r="M92">
        <f ca="1">_xll.BDP($B$23,$C$23,CONCATENATE("PX391=", $M$71), CONCATENATE("PX392=",$M$72), CONCATENATE("DS004=",$B$64), "Fill=B")</f>
        <v>3827300</v>
      </c>
      <c r="N92">
        <f ca="1">_xll.BDP($B$23,$C$23,CONCATENATE("PX391=", $N$71), CONCATENATE("PX392=",$N$72), CONCATENATE("DS004=",$B$64), "Fill=B")</f>
        <v>3630200</v>
      </c>
      <c r="O92">
        <f ca="1">_xll.BDP($B$23,$C$23,CONCATENATE("PX391=", $O$71), CONCATENATE("PX392=",$O$72), CONCATENATE("DS004=",$B$64), "Fill=B")</f>
        <v>3376000</v>
      </c>
      <c r="P92">
        <f ca="1">_xll.BDP($B$23,$C$23,CONCATENATE("PX391=", $P$71), CONCATENATE("PX392=",$P$72), CONCATENATE("DS004=",$B$64), "Fill=B")</f>
        <v>3090800</v>
      </c>
      <c r="Q92">
        <f ca="1">_xll.BDP($B$23,$C$23,CONCATENATE("PX391=", $Q$71), CONCATENATE("PX392=",$Q$72), CONCATENATE("DS004=",$B$64), "Fill=B")</f>
        <v>3146400</v>
      </c>
      <c r="R92">
        <f ca="1">_xll.BDP($B$23,$C$23,CONCATENATE("PX391=", $R$71), CONCATENATE("PX392=",$R$72), CONCATENATE("DS004=",$B$64), "Fill=B")</f>
        <v>3006700</v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  <c r="Z92" t="str">
        <f>""</f>
        <v/>
      </c>
      <c r="AA92" t="str">
        <f>""</f>
        <v/>
      </c>
      <c r="AB92" t="str">
        <f>""</f>
        <v/>
      </c>
      <c r="AC92" t="str">
        <f>""</f>
        <v/>
      </c>
      <c r="AD92" t="str">
        <f>""</f>
        <v/>
      </c>
      <c r="AE92" t="str">
        <f>""</f>
        <v/>
      </c>
    </row>
    <row r="93" spans="1:31" x14ac:dyDescent="0.25">
      <c r="A93" t="str">
        <f>$A$24</f>
        <v xml:space="preserve">    Europe - South &amp; Central America</v>
      </c>
      <c r="B93" t="str">
        <f>$B$24</f>
        <v>CSHVESCA Index</v>
      </c>
      <c r="C93" t="str">
        <f>$C$24</f>
        <v>PX385</v>
      </c>
      <c r="D93" t="str">
        <f>$D$24</f>
        <v>INTERVAL_SUM</v>
      </c>
      <c r="E93" t="str">
        <f>$E$24</f>
        <v>Dynamic</v>
      </c>
      <c r="F93">
        <f ca="1">_xll.BDP($B$24,$C$24,CONCATENATE("PX391=", $F$71), CONCATENATE("PX392=",$F$72), CONCATENATE("DS004=",$B$64), "Fill=B")</f>
        <v>1243800</v>
      </c>
      <c r="G93">
        <f ca="1">_xll.BDP($B$24,$C$24,CONCATENATE("PX391=", $G$71), CONCATENATE("PX392=",$G$72), CONCATENATE("DS004=",$B$64), "Fill=B")</f>
        <v>1927900</v>
      </c>
      <c r="H93">
        <f ca="1">_xll.BDP($B$24,$C$24,CONCATENATE("PX391=", $H$71), CONCATENATE("PX392=",$H$72), CONCATENATE("DS004=",$B$64), "Fill=B")</f>
        <v>2110900</v>
      </c>
      <c r="I93">
        <f ca="1">_xll.BDP($B$24,$C$24,CONCATENATE("PX391=", $I$71), CONCATENATE("PX392=",$I$72), CONCATENATE("DS004=",$B$64), "Fill=B")</f>
        <v>1791000</v>
      </c>
      <c r="J93">
        <f ca="1">_xll.BDP($B$24,$C$24,CONCATENATE("PX391=", $J$71), CONCATENATE("PX392=",$J$72), CONCATENATE("DS004=",$B$64), "Fill=B")</f>
        <v>1870800</v>
      </c>
      <c r="K93">
        <f ca="1">_xll.BDP($B$24,$C$24,CONCATENATE("PX391=", $K$71), CONCATENATE("PX392=",$K$72), CONCATENATE("DS004=",$B$64), "Fill=B")</f>
        <v>1907400</v>
      </c>
      <c r="L93">
        <f ca="1">_xll.BDP($B$24,$C$24,CONCATENATE("PX391=", $L$71), CONCATENATE("PX392=",$L$72), CONCATENATE("DS004=",$B$64), "Fill=B")</f>
        <v>1800300</v>
      </c>
      <c r="M93">
        <f ca="1">_xll.BDP($B$24,$C$24,CONCATENATE("PX391=", $M$71), CONCATENATE("PX392=",$M$72), CONCATENATE("DS004=",$B$64), "Fill=B")</f>
        <v>1615000</v>
      </c>
      <c r="N93">
        <f ca="1">_xll.BDP($B$24,$C$24,CONCATENATE("PX391=", $N$71), CONCATENATE("PX392=",$N$72), CONCATENATE("DS004=",$B$64), "Fill=B")</f>
        <v>1578500</v>
      </c>
      <c r="O93">
        <f ca="1">_xll.BDP($B$24,$C$24,CONCATENATE("PX391=", $O$71), CONCATENATE("PX392=",$O$72), CONCATENATE("DS004=",$B$64), "Fill=B")</f>
        <v>1590900</v>
      </c>
      <c r="P93">
        <f ca="1">_xll.BDP($B$24,$C$24,CONCATENATE("PX391=", $P$71), CONCATENATE("PX392=",$P$72), CONCATENATE("DS004=",$B$64), "Fill=B")</f>
        <v>1631800</v>
      </c>
      <c r="Q93">
        <f ca="1">_xll.BDP($B$24,$C$24,CONCATENATE("PX391=", $Q$71), CONCATENATE("PX392=",$Q$72), CONCATENATE("DS004=",$B$64), "Fill=B")</f>
        <v>1558200</v>
      </c>
      <c r="R93">
        <f ca="1">_xll.BDP($B$24,$C$24,CONCATENATE("PX391=", $R$71), CONCATENATE("PX392=",$R$72), CONCATENATE("DS004=",$B$64), "Fill=B")</f>
        <v>1475100</v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  <c r="Z93" t="str">
        <f>""</f>
        <v/>
      </c>
      <c r="AA93" t="str">
        <f>""</f>
        <v/>
      </c>
      <c r="AB93" t="str">
        <f>""</f>
        <v/>
      </c>
      <c r="AC93" t="str">
        <f>""</f>
        <v/>
      </c>
      <c r="AD93" t="str">
        <f>""</f>
        <v/>
      </c>
      <c r="AE93" t="str">
        <f>""</f>
        <v/>
      </c>
    </row>
    <row r="94" spans="1:31" x14ac:dyDescent="0.25">
      <c r="A94" t="str">
        <f>$A$25</f>
        <v xml:space="preserve">    Indian Sub Cont. &amp; Middle East - Australasia &amp; Oceania</v>
      </c>
      <c r="B94" t="str">
        <f>$B$25</f>
        <v>CSHVIAUO Index</v>
      </c>
      <c r="C94" t="str">
        <f>$C$25</f>
        <v>PX385</v>
      </c>
      <c r="D94" t="str">
        <f>$D$25</f>
        <v>INTERVAL_SUM</v>
      </c>
      <c r="E94" t="str">
        <f>$E$25</f>
        <v>Dynamic</v>
      </c>
      <c r="F94">
        <f ca="1">_xll.BDP($B$25,$C$25,CONCATENATE("PX391=", $F$71), CONCATENATE("PX392=",$F$72), CONCATENATE("DS004=",$B$64), "Fill=B")</f>
        <v>116700</v>
      </c>
      <c r="G94">
        <f ca="1">_xll.BDP($B$25,$C$25,CONCATENATE("PX391=", $G$71), CONCATENATE("PX392=",$G$72), CONCATENATE("DS004=",$B$64), "Fill=B")</f>
        <v>149600</v>
      </c>
      <c r="H94">
        <f ca="1">_xll.BDP($B$25,$C$25,CONCATENATE("PX391=", $H$71), CONCATENATE("PX392=",$H$72), CONCATENATE("DS004=",$B$64), "Fill=B")</f>
        <v>158200</v>
      </c>
      <c r="I94">
        <f ca="1">_xll.BDP($B$25,$C$25,CONCATENATE("PX391=", $I$71), CONCATENATE("PX392=",$I$72), CONCATENATE("DS004=",$B$64), "Fill=B")</f>
        <v>162700</v>
      </c>
      <c r="J94">
        <f ca="1">_xll.BDP($B$25,$C$25,CONCATENATE("PX391=", $J$71), CONCATENATE("PX392=",$J$72), CONCATENATE("DS004=",$B$64), "Fill=B")</f>
        <v>156000</v>
      </c>
      <c r="K94">
        <f ca="1">_xll.BDP($B$25,$C$25,CONCATENATE("PX391=", $K$71), CONCATENATE("PX392=",$K$72), CONCATENATE("DS004=",$B$64), "Fill=B")</f>
        <v>157200</v>
      </c>
      <c r="L94">
        <f ca="1">_xll.BDP($B$25,$C$25,CONCATENATE("PX391=", $L$71), CONCATENATE("PX392=",$L$72), CONCATENATE("DS004=",$B$64), "Fill=B")</f>
        <v>190100</v>
      </c>
      <c r="M94">
        <f ca="1">_xll.BDP($B$25,$C$25,CONCATENATE("PX391=", $M$71), CONCATENATE("PX392=",$M$72), CONCATENATE("DS004=",$B$64), "Fill=B")</f>
        <v>191900</v>
      </c>
      <c r="N94">
        <f ca="1">_xll.BDP($B$25,$C$25,CONCATENATE("PX391=", $N$71), CONCATENATE("PX392=",$N$72), CONCATENATE("DS004=",$B$64), "Fill=B")</f>
        <v>174100</v>
      </c>
      <c r="O94">
        <f ca="1">_xll.BDP($B$25,$C$25,CONCATENATE("PX391=", $O$71), CONCATENATE("PX392=",$O$72), CONCATENATE("DS004=",$B$64), "Fill=B")</f>
        <v>163600</v>
      </c>
      <c r="P94">
        <f ca="1">_xll.BDP($B$25,$C$25,CONCATENATE("PX391=", $P$71), CONCATENATE("PX392=",$P$72), CONCATENATE("DS004=",$B$64), "Fill=B")</f>
        <v>130000</v>
      </c>
      <c r="Q94">
        <f ca="1">_xll.BDP($B$25,$C$25,CONCATENATE("PX391=", $Q$71), CONCATENATE("PX392=",$Q$72), CONCATENATE("DS004=",$B$64), "Fill=B")</f>
        <v>109500</v>
      </c>
      <c r="R94">
        <f ca="1">_xll.BDP($B$25,$C$25,CONCATENATE("PX391=", $R$71), CONCATENATE("PX392=",$R$72), CONCATENATE("DS004=",$B$64), "Fill=B")</f>
        <v>101400</v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  <c r="Z94" t="str">
        <f>""</f>
        <v/>
      </c>
      <c r="AA94" t="str">
        <f>""</f>
        <v/>
      </c>
      <c r="AB94" t="str">
        <f>""</f>
        <v/>
      </c>
      <c r="AC94" t="str">
        <f>""</f>
        <v/>
      </c>
      <c r="AD94" t="str">
        <f>""</f>
        <v/>
      </c>
      <c r="AE94" t="str">
        <f>""</f>
        <v/>
      </c>
    </row>
    <row r="95" spans="1:31" x14ac:dyDescent="0.25">
      <c r="A95" t="str">
        <f>$A$26</f>
        <v xml:space="preserve">    Indian Sub Cont. &amp; Middle East - North America</v>
      </c>
      <c r="B95" t="str">
        <f>$B$26</f>
        <v>CSHVINAR Index</v>
      </c>
      <c r="C95" t="str">
        <f>$C$26</f>
        <v>PX385</v>
      </c>
      <c r="D95" t="str">
        <f>$D$26</f>
        <v>INTERVAL_SUM</v>
      </c>
      <c r="E95" t="str">
        <f>$E$26</f>
        <v>Dynamic</v>
      </c>
      <c r="F95">
        <f ca="1">_xll.BDP($B$26,$C$26,CONCATENATE("PX391=", $F$71), CONCATENATE("PX392=",$F$72), CONCATENATE("DS004=",$B$64), "Fill=B")</f>
        <v>1335500</v>
      </c>
      <c r="G95">
        <f ca="1">_xll.BDP($B$26,$C$26,CONCATENATE("PX391=", $G$71), CONCATENATE("PX392=",$G$72), CONCATENATE("DS004=",$B$64), "Fill=B")</f>
        <v>1841900</v>
      </c>
      <c r="H95">
        <f ca="1">_xll.BDP($B$26,$C$26,CONCATENATE("PX391=", $H$71), CONCATENATE("PX392=",$H$72), CONCATENATE("DS004=",$B$64), "Fill=B")</f>
        <v>1940500</v>
      </c>
      <c r="I95">
        <f ca="1">_xll.BDP($B$26,$C$26,CONCATENATE("PX391=", $I$71), CONCATENATE("PX392=",$I$72), CONCATENATE("DS004=",$B$64), "Fill=B")</f>
        <v>1458100</v>
      </c>
      <c r="J95">
        <f ca="1">_xll.BDP($B$26,$C$26,CONCATENATE("PX391=", $J$71), CONCATENATE("PX392=",$J$72), CONCATENATE("DS004=",$B$64), "Fill=B")</f>
        <v>1436100</v>
      </c>
      <c r="K95">
        <f ca="1">_xll.BDP($B$26,$C$26,CONCATENATE("PX391=", $K$71), CONCATENATE("PX392=",$K$72), CONCATENATE("DS004=",$B$64), "Fill=B")</f>
        <v>1348800</v>
      </c>
      <c r="L95">
        <f ca="1">_xll.BDP($B$26,$C$26,CONCATENATE("PX391=", $L$71), CONCATENATE("PX392=",$L$72), CONCATENATE("DS004=",$B$64), "Fill=B")</f>
        <v>1183400</v>
      </c>
      <c r="M95">
        <f ca="1">_xll.BDP($B$26,$C$26,CONCATENATE("PX391=", $M$71), CONCATENATE("PX392=",$M$72), CONCATENATE("DS004=",$B$64), "Fill=B")</f>
        <v>1126100</v>
      </c>
      <c r="N95">
        <f ca="1">_xll.BDP($B$26,$C$26,CONCATENATE("PX391=", $N$71), CONCATENATE("PX392=",$N$72), CONCATENATE("DS004=",$B$64), "Fill=B")</f>
        <v>1063900</v>
      </c>
      <c r="O95">
        <f ca="1">_xll.BDP($B$26,$C$26,CONCATENATE("PX391=", $O$71), CONCATENATE("PX392=",$O$72), CONCATENATE("DS004=",$B$64), "Fill=B")</f>
        <v>990200</v>
      </c>
      <c r="P95">
        <f ca="1">_xll.BDP($B$26,$C$26,CONCATENATE("PX391=", $P$71), CONCATENATE("PX392=",$P$72), CONCATENATE("DS004=",$B$64), "Fill=B")</f>
        <v>892400</v>
      </c>
      <c r="Q95">
        <f ca="1">_xll.BDP($B$26,$C$26,CONCATENATE("PX391=", $Q$71), CONCATENATE("PX392=",$Q$72), CONCATENATE("DS004=",$B$64), "Fill=B")</f>
        <v>948500</v>
      </c>
      <c r="R95">
        <f ca="1">_xll.BDP($B$26,$C$26,CONCATENATE("PX391=", $R$71), CONCATENATE("PX392=",$R$72), CONCATENATE("DS004=",$B$64), "Fill=B")</f>
        <v>929400</v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  <c r="Z95" t="str">
        <f>""</f>
        <v/>
      </c>
      <c r="AA95" t="str">
        <f>""</f>
        <v/>
      </c>
      <c r="AB95" t="str">
        <f>""</f>
        <v/>
      </c>
      <c r="AC95" t="str">
        <f>""</f>
        <v/>
      </c>
      <c r="AD95" t="str">
        <f>""</f>
        <v/>
      </c>
      <c r="AE95" t="str">
        <f>""</f>
        <v/>
      </c>
    </row>
    <row r="96" spans="1:31" x14ac:dyDescent="0.25">
      <c r="A96" t="str">
        <f>$A$27</f>
        <v xml:space="preserve">    Indian Sub Cont. &amp; Middle East - Asia</v>
      </c>
      <c r="B96" t="str">
        <f>$B$27</f>
        <v>CSHVIASR Index</v>
      </c>
      <c r="C96" t="str">
        <f>$C$27</f>
        <v>PX385</v>
      </c>
      <c r="D96" t="str">
        <f>$D$27</f>
        <v>INTERVAL_SUM</v>
      </c>
      <c r="E96" t="str">
        <f>$E$27</f>
        <v>Dynamic</v>
      </c>
      <c r="F96">
        <f ca="1">_xll.BDP($B$27,$C$27,CONCATENATE("PX391=", $F$71), CONCATENATE("PX392=",$F$72), CONCATENATE("DS004=",$B$64), "Fill=B")</f>
        <v>2374800</v>
      </c>
      <c r="G96">
        <f ca="1">_xll.BDP($B$27,$C$27,CONCATENATE("PX391=", $G$71), CONCATENATE("PX392=",$G$72), CONCATENATE("DS004=",$B$64), "Fill=B")</f>
        <v>3223700</v>
      </c>
      <c r="H96">
        <f ca="1">_xll.BDP($B$27,$C$27,CONCATENATE("PX391=", $H$71), CONCATENATE("PX392=",$H$72), CONCATENATE("DS004=",$B$64), "Fill=B")</f>
        <v>3005300</v>
      </c>
      <c r="I96">
        <f ca="1">_xll.BDP($B$27,$C$27,CONCATENATE("PX391=", $I$71), CONCATENATE("PX392=",$I$72), CONCATENATE("DS004=",$B$64), "Fill=B")</f>
        <v>3139900</v>
      </c>
      <c r="J96">
        <f ca="1">_xll.BDP($B$27,$C$27,CONCATENATE("PX391=", $J$71), CONCATENATE("PX392=",$J$72), CONCATENATE("DS004=",$B$64), "Fill=B")</f>
        <v>2831600</v>
      </c>
      <c r="K96">
        <f ca="1">_xll.BDP($B$27,$C$27,CONCATENATE("PX391=", $K$71), CONCATENATE("PX392=",$K$72), CONCATENATE("DS004=",$B$64), "Fill=B")</f>
        <v>2993000</v>
      </c>
      <c r="L96">
        <f ca="1">_xll.BDP($B$27,$C$27,CONCATENATE("PX391=", $L$71), CONCATENATE("PX392=",$L$72), CONCATENATE("DS004=",$B$64), "Fill=B")</f>
        <v>2843000</v>
      </c>
      <c r="M96">
        <f ca="1">_xll.BDP($B$27,$C$27,CONCATENATE("PX391=", $M$71), CONCATENATE("PX392=",$M$72), CONCATENATE("DS004=",$B$64), "Fill=B")</f>
        <v>2633000</v>
      </c>
      <c r="N96">
        <f ca="1">_xll.BDP($B$27,$C$27,CONCATENATE("PX391=", $N$71), CONCATENATE("PX392=",$N$72), CONCATENATE("DS004=",$B$64), "Fill=B")</f>
        <v>2499300</v>
      </c>
      <c r="O96">
        <f ca="1">_xll.BDP($B$27,$C$27,CONCATENATE("PX391=", $O$71), CONCATENATE("PX392=",$O$72), CONCATENATE("DS004=",$B$64), "Fill=B")</f>
        <v>2464100</v>
      </c>
      <c r="P96">
        <f ca="1">_xll.BDP($B$27,$C$27,CONCATENATE("PX391=", $P$71), CONCATENATE("PX392=",$P$72), CONCATENATE("DS004=",$B$64), "Fill=B")</f>
        <v>2484600</v>
      </c>
      <c r="Q96">
        <f ca="1">_xll.BDP($B$27,$C$27,CONCATENATE("PX391=", $Q$71), CONCATENATE("PX392=",$Q$72), CONCATENATE("DS004=",$B$64), "Fill=B")</f>
        <v>2331700</v>
      </c>
      <c r="R96">
        <f ca="1">_xll.BDP($B$27,$C$27,CONCATENATE("PX391=", $R$71), CONCATENATE("PX392=",$R$72), CONCATENATE("DS004=",$B$64), "Fill=B")</f>
        <v>2260600</v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  <c r="Z96" t="str">
        <f>""</f>
        <v/>
      </c>
      <c r="AA96" t="str">
        <f>""</f>
        <v/>
      </c>
      <c r="AB96" t="str">
        <f>""</f>
        <v/>
      </c>
      <c r="AC96" t="str">
        <f>""</f>
        <v/>
      </c>
      <c r="AD96" t="str">
        <f>""</f>
        <v/>
      </c>
      <c r="AE96" t="str">
        <f>""</f>
        <v/>
      </c>
    </row>
    <row r="97" spans="1:31" x14ac:dyDescent="0.25">
      <c r="A97" t="str">
        <f>$A$28</f>
        <v xml:space="preserve">    Indian Sub Cont. &amp; Middle East - Europe</v>
      </c>
      <c r="B97" t="str">
        <f>$B$28</f>
        <v>CSHVIEUR Index</v>
      </c>
      <c r="C97" t="str">
        <f>$C$28</f>
        <v>PX385</v>
      </c>
      <c r="D97" t="str">
        <f>$D$28</f>
        <v>INTERVAL_SUM</v>
      </c>
      <c r="E97" t="str">
        <f>$E$28</f>
        <v>Dynamic</v>
      </c>
      <c r="F97">
        <f ca="1">_xll.BDP($B$28,$C$28,CONCATENATE("PX391=", $F$71), CONCATENATE("PX392=",$F$72), CONCATENATE("DS004=",$B$64), "Fill=B")</f>
        <v>2448900</v>
      </c>
      <c r="G97">
        <f ca="1">_xll.BDP($B$28,$C$28,CONCATENATE("PX391=", $G$71), CONCATENATE("PX392=",$G$72), CONCATENATE("DS004=",$B$64), "Fill=B")</f>
        <v>3074600</v>
      </c>
      <c r="H97">
        <f ca="1">_xll.BDP($B$28,$C$28,CONCATENATE("PX391=", $H$71), CONCATENATE("PX392=",$H$72), CONCATENATE("DS004=",$B$64), "Fill=B")</f>
        <v>3253500</v>
      </c>
      <c r="I97">
        <f ca="1">_xll.BDP($B$28,$C$28,CONCATENATE("PX391=", $I$71), CONCATENATE("PX392=",$I$72), CONCATENATE("DS004=",$B$64), "Fill=B")</f>
        <v>2738900</v>
      </c>
      <c r="J97">
        <f ca="1">_xll.BDP($B$28,$C$28,CONCATENATE("PX391=", $J$71), CONCATENATE("PX392=",$J$72), CONCATENATE("DS004=",$B$64), "Fill=B")</f>
        <v>2883000</v>
      </c>
      <c r="K97">
        <f ca="1">_xll.BDP($B$28,$C$28,CONCATENATE("PX391=", $K$71), CONCATENATE("PX392=",$K$72), CONCATENATE("DS004=",$B$64), "Fill=B")</f>
        <v>2883200</v>
      </c>
      <c r="L97">
        <f ca="1">_xll.BDP($B$28,$C$28,CONCATENATE("PX391=", $L$71), CONCATENATE("PX392=",$L$72), CONCATENATE("DS004=",$B$64), "Fill=B")</f>
        <v>2741500</v>
      </c>
      <c r="M97">
        <f ca="1">_xll.BDP($B$28,$C$28,CONCATENATE("PX391=", $M$71), CONCATENATE("PX392=",$M$72), CONCATENATE("DS004=",$B$64), "Fill=B")</f>
        <v>2607000</v>
      </c>
      <c r="N97">
        <f ca="1">_xll.BDP($B$28,$C$28,CONCATENATE("PX391=", $N$71), CONCATENATE("PX392=",$N$72), CONCATENATE("DS004=",$B$64), "Fill=B")</f>
        <v>2400300</v>
      </c>
      <c r="O97">
        <f ca="1">_xll.BDP($B$28,$C$28,CONCATENATE("PX391=", $O$71), CONCATENATE("PX392=",$O$72), CONCATENATE("DS004=",$B$64), "Fill=B")</f>
        <v>2382800</v>
      </c>
      <c r="P97">
        <f ca="1">_xll.BDP($B$28,$C$28,CONCATENATE("PX391=", $P$71), CONCATENATE("PX392=",$P$72), CONCATENATE("DS004=",$B$64), "Fill=B")</f>
        <v>2200800</v>
      </c>
      <c r="Q97">
        <f ca="1">_xll.BDP($B$28,$C$28,CONCATENATE("PX391=", $Q$71), CONCATENATE("PX392=",$Q$72), CONCATENATE("DS004=",$B$64), "Fill=B")</f>
        <v>2065300</v>
      </c>
      <c r="R97">
        <f ca="1">_xll.BDP($B$28,$C$28,CONCATENATE("PX391=", $R$71), CONCATENATE("PX392=",$R$72), CONCATENATE("DS004=",$B$64), "Fill=B")</f>
        <v>2031800</v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  <c r="Z97" t="str">
        <f>""</f>
        <v/>
      </c>
      <c r="AA97" t="str">
        <f>""</f>
        <v/>
      </c>
      <c r="AB97" t="str">
        <f>""</f>
        <v/>
      </c>
      <c r="AC97" t="str">
        <f>""</f>
        <v/>
      </c>
      <c r="AD97" t="str">
        <f>""</f>
        <v/>
      </c>
      <c r="AE97" t="str">
        <f>""</f>
        <v/>
      </c>
    </row>
    <row r="98" spans="1:31" x14ac:dyDescent="0.25">
      <c r="A98" t="str">
        <f>$A$29</f>
        <v xml:space="preserve">    Indian Sub Cont. &amp; Middle East - South &amp; Central America</v>
      </c>
      <c r="B98" t="str">
        <f>$B$29</f>
        <v>CSHVISCA Index</v>
      </c>
      <c r="C98" t="str">
        <f>$C$29</f>
        <v>PX385</v>
      </c>
      <c r="D98" t="str">
        <f>$D$29</f>
        <v>INTERVAL_SUM</v>
      </c>
      <c r="E98" t="str">
        <f>$E$29</f>
        <v>Dynamic</v>
      </c>
      <c r="F98">
        <f ca="1">_xll.BDP($B$29,$C$29,CONCATENATE("PX391=", $F$71), CONCATENATE("PX392=",$F$72), CONCATENATE("DS004=",$B$64), "Fill=B")</f>
        <v>299400</v>
      </c>
      <c r="G98">
        <f ca="1">_xll.BDP($B$29,$C$29,CONCATENATE("PX391=", $G$71), CONCATENATE("PX392=",$G$72), CONCATENATE("DS004=",$B$64), "Fill=B")</f>
        <v>307700</v>
      </c>
      <c r="H98">
        <f ca="1">_xll.BDP($B$29,$C$29,CONCATENATE("PX391=", $H$71), CONCATENATE("PX392=",$H$72), CONCATENATE("DS004=",$B$64), "Fill=B")</f>
        <v>444600</v>
      </c>
      <c r="I98">
        <f ca="1">_xll.BDP($B$29,$C$29,CONCATENATE("PX391=", $I$71), CONCATENATE("PX392=",$I$72), CONCATENATE("DS004=",$B$64), "Fill=B")</f>
        <v>324200</v>
      </c>
      <c r="J98">
        <f ca="1">_xll.BDP($B$29,$C$29,CONCATENATE("PX391=", $J$71), CONCATENATE("PX392=",$J$72), CONCATENATE("DS004=",$B$64), "Fill=B")</f>
        <v>323200</v>
      </c>
      <c r="K98">
        <f ca="1">_xll.BDP($B$29,$C$29,CONCATENATE("PX391=", $K$71), CONCATENATE("PX392=",$K$72), CONCATENATE("DS004=",$B$64), "Fill=B")</f>
        <v>359200</v>
      </c>
      <c r="L98">
        <f ca="1">_xll.BDP($B$29,$C$29,CONCATENATE("PX391=", $L$71), CONCATENATE("PX392=",$L$72), CONCATENATE("DS004=",$B$64), "Fill=B")</f>
        <v>342900</v>
      </c>
      <c r="M98">
        <f ca="1">_xll.BDP($B$29,$C$29,CONCATENATE("PX391=", $M$71), CONCATENATE("PX392=",$M$72), CONCATENATE("DS004=",$B$64), "Fill=B")</f>
        <v>297100</v>
      </c>
      <c r="N98">
        <f ca="1">_xll.BDP($B$29,$C$29,CONCATENATE("PX391=", $N$71), CONCATENATE("PX392=",$N$72), CONCATENATE("DS004=",$B$64), "Fill=B")</f>
        <v>288500</v>
      </c>
      <c r="O98">
        <f ca="1">_xll.BDP($B$29,$C$29,CONCATENATE("PX391=", $O$71), CONCATENATE("PX392=",$O$72), CONCATENATE("DS004=",$B$64), "Fill=B")</f>
        <v>303100</v>
      </c>
      <c r="P98">
        <f ca="1">_xll.BDP($B$29,$C$29,CONCATENATE("PX391=", $P$71), CONCATENATE("PX392=",$P$72), CONCATENATE("DS004=",$B$64), "Fill=B")</f>
        <v>281700</v>
      </c>
      <c r="Q98">
        <f ca="1">_xll.BDP($B$29,$C$29,CONCATENATE("PX391=", $Q$71), CONCATENATE("PX392=",$Q$72), CONCATENATE("DS004=",$B$64), "Fill=B")</f>
        <v>278400</v>
      </c>
      <c r="R98">
        <f ca="1">_xll.BDP($B$29,$C$29,CONCATENATE("PX391=", $R$71), CONCATENATE("PX392=",$R$72), CONCATENATE("DS004=",$B$64), "Fill=B")</f>
        <v>254300</v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  <c r="AD98" t="str">
        <f>""</f>
        <v/>
      </c>
      <c r="AE98" t="str">
        <f>""</f>
        <v/>
      </c>
    </row>
    <row r="99" spans="1:31" x14ac:dyDescent="0.25">
      <c r="A99" t="str">
        <f>$A$30</f>
        <v xml:space="preserve">    Indian Sub Cont. &amp; Middle East - Sub Saharan Africa</v>
      </c>
      <c r="B99" t="str">
        <f>$B$30</f>
        <v>CSHVISSA Index</v>
      </c>
      <c r="C99" t="str">
        <f>$C$30</f>
        <v>PX385</v>
      </c>
      <c r="D99" t="str">
        <f>$D$30</f>
        <v>INTERVAL_SUM</v>
      </c>
      <c r="E99" t="str">
        <f>$E$30</f>
        <v>Dynamic</v>
      </c>
      <c r="F99">
        <f ca="1">_xll.BDP($B$30,$C$30,CONCATENATE("PX391=", $F$71), CONCATENATE("PX392=",$F$72), CONCATENATE("DS004=",$B$64), "Fill=B")</f>
        <v>1209500</v>
      </c>
      <c r="G99">
        <f ca="1">_xll.BDP($B$30,$C$30,CONCATENATE("PX391=", $G$71), CONCATENATE("PX392=",$G$72), CONCATENATE("DS004=",$B$64), "Fill=B")</f>
        <v>1336000</v>
      </c>
      <c r="H99">
        <f ca="1">_xll.BDP($B$30,$C$30,CONCATENATE("PX391=", $H$71), CONCATENATE("PX392=",$H$72), CONCATENATE("DS004=",$B$64), "Fill=B")</f>
        <v>1327200</v>
      </c>
      <c r="I99">
        <f ca="1">_xll.BDP($B$30,$C$30,CONCATENATE("PX391=", $I$71), CONCATENATE("PX392=",$I$72), CONCATENATE("DS004=",$B$64), "Fill=B")</f>
        <v>1260900</v>
      </c>
      <c r="J99">
        <f ca="1">_xll.BDP($B$30,$C$30,CONCATENATE("PX391=", $J$71), CONCATENATE("PX392=",$J$72), CONCATENATE("DS004=",$B$64), "Fill=B")</f>
        <v>1252900</v>
      </c>
      <c r="K99">
        <f ca="1">_xll.BDP($B$30,$C$30,CONCATENATE("PX391=", $K$71), CONCATENATE("PX392=",$K$72), CONCATENATE("DS004=",$B$64), "Fill=B")</f>
        <v>1194500</v>
      </c>
      <c r="L99">
        <f ca="1">_xll.BDP($B$30,$C$30,CONCATENATE("PX391=", $L$71), CONCATENATE("PX392=",$L$72), CONCATENATE("DS004=",$B$64), "Fill=B")</f>
        <v>1151300</v>
      </c>
      <c r="M99">
        <f ca="1">_xll.BDP($B$30,$C$30,CONCATENATE("PX391=", $M$71), CONCATENATE("PX392=",$M$72), CONCATENATE("DS004=",$B$64), "Fill=B")</f>
        <v>1041200</v>
      </c>
      <c r="N99">
        <f ca="1">_xll.BDP($B$30,$C$30,CONCATENATE("PX391=", $N$71), CONCATENATE("PX392=",$N$72), CONCATENATE("DS004=",$B$64), "Fill=B")</f>
        <v>1057500</v>
      </c>
      <c r="O99">
        <f ca="1">_xll.BDP($B$30,$C$30,CONCATENATE("PX391=", $O$71), CONCATENATE("PX392=",$O$72), CONCATENATE("DS004=",$B$64), "Fill=B")</f>
        <v>1054800</v>
      </c>
      <c r="P99">
        <f ca="1">_xll.BDP($B$30,$C$30,CONCATENATE("PX391=", $P$71), CONCATENATE("PX392=",$P$72), CONCATENATE("DS004=",$B$64), "Fill=B")</f>
        <v>950900</v>
      </c>
      <c r="Q99">
        <f ca="1">_xll.BDP($B$30,$C$30,CONCATENATE("PX391=", $Q$71), CONCATENATE("PX392=",$Q$72), CONCATENATE("DS004=",$B$64), "Fill=B")</f>
        <v>841600</v>
      </c>
      <c r="R99">
        <f ca="1">_xll.BDP($B$30,$C$30,CONCATENATE("PX391=", $R$71), CONCATENATE("PX392=",$R$72), CONCATENATE("DS004=",$B$64), "Fill=B")</f>
        <v>848400</v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t="str">
        <f>""</f>
        <v/>
      </c>
      <c r="AC99" t="str">
        <f>""</f>
        <v/>
      </c>
      <c r="AD99" t="str">
        <f>""</f>
        <v/>
      </c>
      <c r="AE99" t="str">
        <f>""</f>
        <v/>
      </c>
    </row>
    <row r="100" spans="1:31" x14ac:dyDescent="0.25">
      <c r="A100" t="str">
        <f>$A$31</f>
        <v xml:space="preserve">    Indian Sub Cont. &amp; Middle East - Ind. Sub Cont. &amp; ME</v>
      </c>
      <c r="B100" t="str">
        <f>$B$31</f>
        <v>CSHVIIME Index</v>
      </c>
      <c r="C100" t="str">
        <f>$C$31</f>
        <v>PX385</v>
      </c>
      <c r="D100" t="str">
        <f>$D$31</f>
        <v>INTERVAL_SUM</v>
      </c>
      <c r="E100" t="str">
        <f>$E$31</f>
        <v>Dynamic</v>
      </c>
      <c r="F100">
        <f ca="1">_xll.BDP($B$31,$C$31,CONCATENATE("PX391=", $F$71), CONCATENATE("PX392=",$F$72), CONCATENATE("DS004=",$B$64), "Fill=B")</f>
        <v>3186200</v>
      </c>
      <c r="G100">
        <f ca="1">_xll.BDP($B$31,$C$31,CONCATENATE("PX391=", $G$71), CONCATENATE("PX392=",$G$72), CONCATENATE("DS004=",$B$64), "Fill=B")</f>
        <v>3911600</v>
      </c>
      <c r="H100">
        <f ca="1">_xll.BDP($B$31,$C$31,CONCATENATE("PX391=", $H$71), CONCATENATE("PX392=",$H$72), CONCATENATE("DS004=",$B$64), "Fill=B")</f>
        <v>3555200</v>
      </c>
      <c r="I100">
        <f ca="1">_xll.BDP($B$31,$C$31,CONCATENATE("PX391=", $I$71), CONCATENATE("PX392=",$I$72), CONCATENATE("DS004=",$B$64), "Fill=B")</f>
        <v>3985800</v>
      </c>
      <c r="J100">
        <f ca="1">_xll.BDP($B$31,$C$31,CONCATENATE("PX391=", $J$71), CONCATENATE("PX392=",$J$72), CONCATENATE("DS004=",$B$64), "Fill=B")</f>
        <v>3946600</v>
      </c>
      <c r="K100">
        <f ca="1">_xll.BDP($B$31,$C$31,CONCATENATE("PX391=", $K$71), CONCATENATE("PX392=",$K$72), CONCATENATE("DS004=",$B$64), "Fill=B")</f>
        <v>3782900</v>
      </c>
      <c r="L100">
        <f ca="1">_xll.BDP($B$31,$C$31,CONCATENATE("PX391=", $L$71), CONCATENATE("PX392=",$L$72), CONCATENATE("DS004=",$B$64), "Fill=B")</f>
        <v>3560700</v>
      </c>
      <c r="M100">
        <f ca="1">_xll.BDP($B$31,$C$31,CONCATENATE("PX391=", $M$71), CONCATENATE("PX392=",$M$72), CONCATENATE("DS004=",$B$64), "Fill=B")</f>
        <v>3337200</v>
      </c>
      <c r="N100">
        <f ca="1">_xll.BDP($B$31,$C$31,CONCATENATE("PX391=", $N$71), CONCATENATE("PX392=",$N$72), CONCATENATE("DS004=",$B$64), "Fill=B")</f>
        <v>3133800</v>
      </c>
      <c r="O100">
        <f ca="1">_xll.BDP($B$31,$C$31,CONCATENATE("PX391=", $O$71), CONCATENATE("PX392=",$O$72), CONCATENATE("DS004=",$B$64), "Fill=B")</f>
        <v>2962100</v>
      </c>
      <c r="P100">
        <f ca="1">_xll.BDP($B$31,$C$31,CONCATENATE("PX391=", $P$71), CONCATENATE("PX392=",$P$72), CONCATENATE("DS004=",$B$64), "Fill=B")</f>
        <v>2720300</v>
      </c>
      <c r="Q100">
        <f ca="1">_xll.BDP($B$31,$C$31,CONCATENATE("PX391=", $Q$71), CONCATENATE("PX392=",$Q$72), CONCATENATE("DS004=",$B$64), "Fill=B")</f>
        <v>2606100</v>
      </c>
      <c r="R100">
        <f ca="1">_xll.BDP($B$31,$C$31,CONCATENATE("PX391=", $R$71), CONCATENATE("PX392=",$R$72), CONCATENATE("DS004=",$B$64), "Fill=B")</f>
        <v>2269500</v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  <c r="Z100" t="str">
        <f>""</f>
        <v/>
      </c>
      <c r="AA100" t="str">
        <f>""</f>
        <v/>
      </c>
      <c r="AB100" t="str">
        <f>""</f>
        <v/>
      </c>
      <c r="AC100" t="str">
        <f>""</f>
        <v/>
      </c>
      <c r="AD100" t="str">
        <f>""</f>
        <v/>
      </c>
      <c r="AE100" t="str">
        <f>""</f>
        <v/>
      </c>
    </row>
    <row r="101" spans="1:31" x14ac:dyDescent="0.25">
      <c r="A101" t="str">
        <f>$A$32</f>
        <v xml:space="preserve">    North America - Europe</v>
      </c>
      <c r="B101" t="str">
        <f>$B$32</f>
        <v>CSHVNEUR Index</v>
      </c>
      <c r="C101" t="str">
        <f>$C$32</f>
        <v>PX385</v>
      </c>
      <c r="D101" t="str">
        <f>$D$32</f>
        <v>INTERVAL_SUM</v>
      </c>
      <c r="E101" t="str">
        <f>$E$32</f>
        <v>Dynamic</v>
      </c>
      <c r="F101">
        <f ca="1">_xll.BDP($B$32,$C$32,CONCATENATE("PX391=", $F$71), CONCATENATE("PX392=",$F$72), CONCATENATE("DS004=",$B$64), "Fill=B")</f>
        <v>1909700</v>
      </c>
      <c r="G101">
        <f ca="1">_xll.BDP($B$32,$C$32,CONCATENATE("PX391=", $G$71), CONCATENATE("PX392=",$G$72), CONCATENATE("DS004=",$B$64), "Fill=B")</f>
        <v>2596200</v>
      </c>
      <c r="H101">
        <f ca="1">_xll.BDP($B$32,$C$32,CONCATENATE("PX391=", $H$71), CONCATENATE("PX392=",$H$72), CONCATENATE("DS004=",$B$64), "Fill=B")</f>
        <v>2685800</v>
      </c>
      <c r="I101">
        <f ca="1">_xll.BDP($B$32,$C$32,CONCATENATE("PX391=", $I$71), CONCATENATE("PX392=",$I$72), CONCATENATE("DS004=",$B$64), "Fill=B")</f>
        <v>2652300</v>
      </c>
      <c r="J101">
        <f ca="1">_xll.BDP($B$32,$C$32,CONCATENATE("PX391=", $J$71), CONCATENATE("PX392=",$J$72), CONCATENATE("DS004=",$B$64), "Fill=B")</f>
        <v>3009700</v>
      </c>
      <c r="K101">
        <f ca="1">_xll.BDP($B$32,$C$32,CONCATENATE("PX391=", $K$71), CONCATENATE("PX392=",$K$72), CONCATENATE("DS004=",$B$64), "Fill=B")</f>
        <v>2902900</v>
      </c>
      <c r="L101">
        <f ca="1">_xll.BDP($B$32,$C$32,CONCATENATE("PX391=", $L$71), CONCATENATE("PX392=",$L$72), CONCATENATE("DS004=",$B$64), "Fill=B")</f>
        <v>2734500</v>
      </c>
      <c r="M101">
        <f ca="1">_xll.BDP($B$32,$C$32,CONCATENATE("PX391=", $M$71), CONCATENATE("PX392=",$M$72), CONCATENATE("DS004=",$B$64), "Fill=B")</f>
        <v>2591600</v>
      </c>
      <c r="N101">
        <f ca="1">_xll.BDP($B$32,$C$32,CONCATENATE("PX391=", $N$71), CONCATENATE("PX392=",$N$72), CONCATENATE("DS004=",$B$64), "Fill=B")</f>
        <v>2579700</v>
      </c>
      <c r="O101">
        <f ca="1">_xll.BDP($B$32,$C$32,CONCATENATE("PX391=", $O$71), CONCATENATE("PX392=",$O$72), CONCATENATE("DS004=",$B$64), "Fill=B")</f>
        <v>2730100</v>
      </c>
      <c r="P101">
        <f ca="1">_xll.BDP($B$32,$C$32,CONCATENATE("PX391=", $P$71), CONCATENATE("PX392=",$P$72), CONCATENATE("DS004=",$B$64), "Fill=B")</f>
        <v>2728800</v>
      </c>
      <c r="Q101">
        <f ca="1">_xll.BDP($B$32,$C$32,CONCATENATE("PX391=", $Q$71), CONCATENATE("PX392=",$Q$72), CONCATENATE("DS004=",$B$64), "Fill=B")</f>
        <v>2631800</v>
      </c>
      <c r="R101">
        <f ca="1">_xll.BDP($B$32,$C$32,CONCATENATE("PX391=", $R$71), CONCATENATE("PX392=",$R$72), CONCATENATE("DS004=",$B$64), "Fill=B")</f>
        <v>2761700</v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  <c r="Z101" t="str">
        <f>""</f>
        <v/>
      </c>
      <c r="AA101" t="str">
        <f>""</f>
        <v/>
      </c>
      <c r="AB101" t="str">
        <f>""</f>
        <v/>
      </c>
      <c r="AC101" t="str">
        <f>""</f>
        <v/>
      </c>
      <c r="AD101" t="str">
        <f>""</f>
        <v/>
      </c>
      <c r="AE101" t="str">
        <f>""</f>
        <v/>
      </c>
    </row>
    <row r="102" spans="1:31" x14ac:dyDescent="0.25">
      <c r="A102" t="str">
        <f>$A$33</f>
        <v xml:space="preserve">    North America - South &amp; Central America</v>
      </c>
      <c r="B102" t="str">
        <f>$B$33</f>
        <v>CSHVNSCA Index</v>
      </c>
      <c r="C102" t="str">
        <f>$C$33</f>
        <v>PX385</v>
      </c>
      <c r="D102" t="str">
        <f>$D$33</f>
        <v>INTERVAL_SUM</v>
      </c>
      <c r="E102" t="str">
        <f>$E$33</f>
        <v>Dynamic</v>
      </c>
      <c r="F102">
        <f ca="1">_xll.BDP($B$33,$C$33,CONCATENATE("PX391=", $F$71), CONCATENATE("PX392=",$F$72), CONCATENATE("DS004=",$B$64), "Fill=B")</f>
        <v>2110900</v>
      </c>
      <c r="G102">
        <f ca="1">_xll.BDP($B$33,$C$33,CONCATENATE("PX391=", $G$71), CONCATENATE("PX392=",$G$72), CONCATENATE("DS004=",$B$64), "Fill=B")</f>
        <v>3019200</v>
      </c>
      <c r="H102">
        <f ca="1">_xll.BDP($B$33,$C$33,CONCATENATE("PX391=", $H$71), CONCATENATE("PX392=",$H$72), CONCATENATE("DS004=",$B$64), "Fill=B")</f>
        <v>2957900</v>
      </c>
      <c r="I102">
        <f ca="1">_xll.BDP($B$33,$C$33,CONCATENATE("PX391=", $I$71), CONCATENATE("PX392=",$I$72), CONCATENATE("DS004=",$B$64), "Fill=B")</f>
        <v>2626700</v>
      </c>
      <c r="J102">
        <f ca="1">_xll.BDP($B$33,$C$33,CONCATENATE("PX391=", $J$71), CONCATENATE("PX392=",$J$72), CONCATENATE("DS004=",$B$64), "Fill=B")</f>
        <v>2893200</v>
      </c>
      <c r="K102">
        <f ca="1">_xll.BDP($B$33,$C$33,CONCATENATE("PX391=", $K$71), CONCATENATE("PX392=",$K$72), CONCATENATE("DS004=",$B$64), "Fill=B")</f>
        <v>2977200</v>
      </c>
      <c r="L102">
        <f ca="1">_xll.BDP($B$33,$C$33,CONCATENATE("PX391=", $L$71), CONCATENATE("PX392=",$L$72), CONCATENATE("DS004=",$B$64), "Fill=B")</f>
        <v>2861200</v>
      </c>
      <c r="M102">
        <f ca="1">_xll.BDP($B$33,$C$33,CONCATENATE("PX391=", $M$71), CONCATENATE("PX392=",$M$72), CONCATENATE("DS004=",$B$64), "Fill=B")</f>
        <v>2872100</v>
      </c>
      <c r="N102">
        <f ca="1">_xll.BDP($B$33,$C$33,CONCATENATE("PX391=", $N$71), CONCATENATE("PX392=",$N$72), CONCATENATE("DS004=",$B$64), "Fill=B")</f>
        <v>2982200</v>
      </c>
      <c r="O102">
        <f ca="1">_xll.BDP($B$33,$C$33,CONCATENATE("PX391=", $O$71), CONCATENATE("PX392=",$O$72), CONCATENATE("DS004=",$B$64), "Fill=B")</f>
        <v>3063300</v>
      </c>
      <c r="P102">
        <f ca="1">_xll.BDP($B$33,$C$33,CONCATENATE("PX391=", $P$71), CONCATENATE("PX392=",$P$72), CONCATENATE("DS004=",$B$64), "Fill=B")</f>
        <v>3139500</v>
      </c>
      <c r="Q102">
        <f ca="1">_xll.BDP($B$33,$C$33,CONCATENATE("PX391=", $Q$71), CONCATENATE("PX392=",$Q$72), CONCATENATE("DS004=",$B$64), "Fill=B")</f>
        <v>1858000</v>
      </c>
      <c r="R102">
        <f ca="1">_xll.BDP($B$33,$C$33,CONCATENATE("PX391=", $R$71), CONCATENATE("PX392=",$R$72), CONCATENATE("DS004=",$B$64), "Fill=B")</f>
        <v>2010600</v>
      </c>
      <c r="S102" t="str">
        <f>""</f>
        <v/>
      </c>
      <c r="T102" t="str">
        <f>""</f>
        <v/>
      </c>
      <c r="U102" t="str">
        <f>""</f>
        <v/>
      </c>
      <c r="V102" t="str">
        <f>""</f>
        <v/>
      </c>
      <c r="W102" t="str">
        <f>""</f>
        <v/>
      </c>
      <c r="X102" t="str">
        <f>""</f>
        <v/>
      </c>
      <c r="Y102" t="str">
        <f>""</f>
        <v/>
      </c>
      <c r="Z102" t="str">
        <f>""</f>
        <v/>
      </c>
      <c r="AA102" t="str">
        <f>""</f>
        <v/>
      </c>
      <c r="AB102" t="str">
        <f>""</f>
        <v/>
      </c>
      <c r="AC102" t="str">
        <f>""</f>
        <v/>
      </c>
      <c r="AD102" t="str">
        <f>""</f>
        <v/>
      </c>
      <c r="AE102" t="str">
        <f>""</f>
        <v/>
      </c>
    </row>
    <row r="103" spans="1:31" x14ac:dyDescent="0.25">
      <c r="A103" t="str">
        <f>$A$34</f>
        <v xml:space="preserve">    North America - Indian Sub Cont. &amp; Middle East</v>
      </c>
      <c r="B103" t="str">
        <f>$B$34</f>
        <v>CSHVNIME Index</v>
      </c>
      <c r="C103" t="str">
        <f>$C$34</f>
        <v>PX385</v>
      </c>
      <c r="D103" t="str">
        <f>$D$34</f>
        <v>INTERVAL_SUM</v>
      </c>
      <c r="E103" t="str">
        <f>$E$34</f>
        <v>Dynamic</v>
      </c>
      <c r="F103">
        <f ca="1">_xll.BDP($B$34,$C$34,CONCATENATE("PX391=", $F$71), CONCATENATE("PX392=",$F$72), CONCATENATE("DS004=",$B$64), "Fill=B")</f>
        <v>1200800</v>
      </c>
      <c r="G103">
        <f ca="1">_xll.BDP($B$34,$C$34,CONCATENATE("PX391=", $G$71), CONCATENATE("PX392=",$G$72), CONCATENATE("DS004=",$B$64), "Fill=B")</f>
        <v>1512500</v>
      </c>
      <c r="H103">
        <f ca="1">_xll.BDP($B$34,$C$34,CONCATENATE("PX391=", $H$71), CONCATENATE("PX392=",$H$72), CONCATENATE("DS004=",$B$64), "Fill=B")</f>
        <v>1412800</v>
      </c>
      <c r="I103">
        <f ca="1">_xll.BDP($B$34,$C$34,CONCATENATE("PX391=", $I$71), CONCATENATE("PX392=",$I$72), CONCATENATE("DS004=",$B$64), "Fill=B")</f>
        <v>1421000</v>
      </c>
      <c r="J103">
        <f ca="1">_xll.BDP($B$34,$C$34,CONCATENATE("PX391=", $J$71), CONCATENATE("PX392=",$J$72), CONCATENATE("DS004=",$B$64), "Fill=B")</f>
        <v>1676400</v>
      </c>
      <c r="K103">
        <f ca="1">_xll.BDP($B$34,$C$34,CONCATENATE("PX391=", $K$71), CONCATENATE("PX392=",$K$72), CONCATENATE("DS004=",$B$64), "Fill=B")</f>
        <v>1498700</v>
      </c>
      <c r="L103">
        <f ca="1">_xll.BDP($B$34,$C$34,CONCATENATE("PX391=", $L$71), CONCATENATE("PX392=",$L$72), CONCATENATE("DS004=",$B$64), "Fill=B")</f>
        <v>1277300</v>
      </c>
      <c r="M103">
        <f ca="1">_xll.BDP($B$34,$C$34,CONCATENATE("PX391=", $M$71), CONCATENATE("PX392=",$M$72), CONCATENATE("DS004=",$B$64), "Fill=B")</f>
        <v>1209800</v>
      </c>
      <c r="N103">
        <f ca="1">_xll.BDP($B$34,$C$34,CONCATENATE("PX391=", $N$71), CONCATENATE("PX392=",$N$72), CONCATENATE("DS004=",$B$64), "Fill=B")</f>
        <v>1148500</v>
      </c>
      <c r="O103">
        <f ca="1">_xll.BDP($B$34,$C$34,CONCATENATE("PX391=", $O$71), CONCATENATE("PX392=",$O$72), CONCATENATE("DS004=",$B$64), "Fill=B")</f>
        <v>1134400</v>
      </c>
      <c r="P103">
        <f ca="1">_xll.BDP($B$34,$C$34,CONCATENATE("PX391=", $P$71), CONCATENATE("PX392=",$P$72), CONCATENATE("DS004=",$B$64), "Fill=B")</f>
        <v>1149200</v>
      </c>
      <c r="Q103">
        <f ca="1">_xll.BDP($B$34,$C$34,CONCATENATE("PX391=", $Q$71), CONCATENATE("PX392=",$Q$72), CONCATENATE("DS004=",$B$64), "Fill=B")</f>
        <v>1045100</v>
      </c>
      <c r="R103">
        <f ca="1">_xll.BDP($B$34,$C$34,CONCATENATE("PX391=", $R$71), CONCATENATE("PX392=",$R$72), CONCATENATE("DS004=",$B$64), "Fill=B")</f>
        <v>1064300</v>
      </c>
      <c r="S103" t="str">
        <f>""</f>
        <v/>
      </c>
      <c r="T103" t="str">
        <f>""</f>
        <v/>
      </c>
      <c r="U103" t="str">
        <f>""</f>
        <v/>
      </c>
      <c r="V103" t="str">
        <f>""</f>
        <v/>
      </c>
      <c r="W103" t="str">
        <f>""</f>
        <v/>
      </c>
      <c r="X103" t="str">
        <f>""</f>
        <v/>
      </c>
      <c r="Y103" t="str">
        <f>""</f>
        <v/>
      </c>
      <c r="Z103" t="str">
        <f>""</f>
        <v/>
      </c>
      <c r="AA103" t="str">
        <f>""</f>
        <v/>
      </c>
      <c r="AB103" t="str">
        <f>""</f>
        <v/>
      </c>
      <c r="AC103" t="str">
        <f>""</f>
        <v/>
      </c>
      <c r="AD103" t="str">
        <f>""</f>
        <v/>
      </c>
      <c r="AE103" t="str">
        <f>""</f>
        <v/>
      </c>
    </row>
    <row r="104" spans="1:31" x14ac:dyDescent="0.25">
      <c r="A104" t="str">
        <f>$A$35</f>
        <v xml:space="preserve">    North America - Sub Saharan Africa</v>
      </c>
      <c r="B104" t="str">
        <f>$B$35</f>
        <v>CSHVNSSA Index</v>
      </c>
      <c r="C104" t="str">
        <f>$C$35</f>
        <v>PX385</v>
      </c>
      <c r="D104" t="str">
        <f>$D$35</f>
        <v>INTERVAL_SUM</v>
      </c>
      <c r="E104" t="str">
        <f>$E$35</f>
        <v>Dynamic</v>
      </c>
      <c r="F104">
        <f ca="1">_xll.BDP($B$35,$C$35,CONCATENATE("PX391=", $F$71), CONCATENATE("PX392=",$F$72), CONCATENATE("DS004=",$B$64), "Fill=B")</f>
        <v>226700</v>
      </c>
      <c r="G104">
        <f ca="1">_xll.BDP($B$35,$C$35,CONCATENATE("PX391=", $G$71), CONCATENATE("PX392=",$G$72), CONCATENATE("DS004=",$B$64), "Fill=B")</f>
        <v>311900</v>
      </c>
      <c r="H104">
        <f ca="1">_xll.BDP($B$35,$C$35,CONCATENATE("PX391=", $H$71), CONCATENATE("PX392=",$H$72), CONCATENATE("DS004=",$B$64), "Fill=B")</f>
        <v>360400</v>
      </c>
      <c r="I104">
        <f ca="1">_xll.BDP($B$35,$C$35,CONCATENATE("PX391=", $I$71), CONCATENATE("PX392=",$I$72), CONCATENATE("DS004=",$B$64), "Fill=B")</f>
        <v>350000</v>
      </c>
      <c r="J104">
        <f ca="1">_xll.BDP($B$35,$C$35,CONCATENATE("PX391=", $J$71), CONCATENATE("PX392=",$J$72), CONCATENATE("DS004=",$B$64), "Fill=B")</f>
        <v>378300</v>
      </c>
      <c r="K104">
        <f ca="1">_xll.BDP($B$35,$C$35,CONCATENATE("PX391=", $K$71), CONCATENATE("PX392=",$K$72), CONCATENATE("DS004=",$B$64), "Fill=B")</f>
        <v>334400</v>
      </c>
      <c r="L104">
        <f ca="1">_xll.BDP($B$35,$C$35,CONCATENATE("PX391=", $L$71), CONCATENATE("PX392=",$L$72), CONCATENATE("DS004=",$B$64), "Fill=B")</f>
        <v>304800</v>
      </c>
      <c r="M104">
        <f ca="1">_xll.BDP($B$35,$C$35,CONCATENATE("PX391=", $M$71), CONCATENATE("PX392=",$M$72), CONCATENATE("DS004=",$B$64), "Fill=B")</f>
        <v>296100</v>
      </c>
      <c r="N104">
        <f ca="1">_xll.BDP($B$35,$C$35,CONCATENATE("PX391=", $N$71), CONCATENATE("PX392=",$N$72), CONCATENATE("DS004=",$B$64), "Fill=B")</f>
        <v>296900</v>
      </c>
      <c r="O104">
        <f ca="1">_xll.BDP($B$35,$C$35,CONCATENATE("PX391=", $O$71), CONCATENATE("PX392=",$O$72), CONCATENATE("DS004=",$B$64), "Fill=B")</f>
        <v>315300</v>
      </c>
      <c r="P104">
        <f ca="1">_xll.BDP($B$35,$C$35,CONCATENATE("PX391=", $P$71), CONCATENATE("PX392=",$P$72), CONCATENATE("DS004=",$B$64), "Fill=B")</f>
        <v>324700</v>
      </c>
      <c r="Q104">
        <f ca="1">_xll.BDP($B$35,$C$35,CONCATENATE("PX391=", $Q$71), CONCATENATE("PX392=",$Q$72), CONCATENATE("DS004=",$B$64), "Fill=B")</f>
        <v>373600</v>
      </c>
      <c r="R104">
        <f ca="1">_xll.BDP($B$35,$C$35,CONCATENATE("PX391=", $R$71), CONCATENATE("PX392=",$R$72), CONCATENATE("DS004=",$B$64), "Fill=B")</f>
        <v>369800</v>
      </c>
      <c r="S104" t="str">
        <f>""</f>
        <v/>
      </c>
      <c r="T104" t="str">
        <f>""</f>
        <v/>
      </c>
      <c r="U104" t="str">
        <f>""</f>
        <v/>
      </c>
      <c r="V104" t="str">
        <f>""</f>
        <v/>
      </c>
      <c r="W104" t="str">
        <f>""</f>
        <v/>
      </c>
      <c r="X104" t="str">
        <f>""</f>
        <v/>
      </c>
      <c r="Y104" t="str">
        <f>""</f>
        <v/>
      </c>
      <c r="Z104" t="str">
        <f>""</f>
        <v/>
      </c>
      <c r="AA104" t="str">
        <f>""</f>
        <v/>
      </c>
      <c r="AB104" t="str">
        <f>""</f>
        <v/>
      </c>
      <c r="AC104" t="str">
        <f>""</f>
        <v/>
      </c>
      <c r="AD104" t="str">
        <f>""</f>
        <v/>
      </c>
      <c r="AE104" t="str">
        <f>""</f>
        <v/>
      </c>
    </row>
    <row r="105" spans="1:31" x14ac:dyDescent="0.25">
      <c r="A105" t="str">
        <f>$A$36</f>
        <v xml:space="preserve">    North America - North America</v>
      </c>
      <c r="B105" t="str">
        <f>$B$36</f>
        <v>CSHVNNAR Index</v>
      </c>
      <c r="C105" t="str">
        <f>$C$36</f>
        <v>PX385</v>
      </c>
      <c r="D105" t="str">
        <f>$D$36</f>
        <v>INTERVAL_SUM</v>
      </c>
      <c r="E105" t="str">
        <f>$E$36</f>
        <v>Dynamic</v>
      </c>
      <c r="F105">
        <f ca="1">_xll.BDP($B$36,$C$36,CONCATENATE("PX391=", $F$71), CONCATENATE("PX392=",$F$72), CONCATENATE("DS004=",$B$64), "Fill=B")</f>
        <v>167100</v>
      </c>
      <c r="G105">
        <f ca="1">_xll.BDP($B$36,$C$36,CONCATENATE("PX391=", $G$71), CONCATENATE("PX392=",$G$72), CONCATENATE("DS004=",$B$64), "Fill=B")</f>
        <v>261900</v>
      </c>
      <c r="H105">
        <f ca="1">_xll.BDP($B$36,$C$36,CONCATENATE("PX391=", $H$71), CONCATENATE("PX392=",$H$72), CONCATENATE("DS004=",$B$64), "Fill=B")</f>
        <v>301100</v>
      </c>
      <c r="I105">
        <f ca="1">_xll.BDP($B$36,$C$36,CONCATENATE("PX391=", $I$71), CONCATENATE("PX392=",$I$72), CONCATENATE("DS004=",$B$64), "Fill=B")</f>
        <v>305500</v>
      </c>
      <c r="J105">
        <f ca="1">_xll.BDP($B$36,$C$36,CONCATENATE("PX391=", $J$71), CONCATENATE("PX392=",$J$72), CONCATENATE("DS004=",$B$64), "Fill=B")</f>
        <v>331000</v>
      </c>
      <c r="K105">
        <f ca="1">_xll.BDP($B$36,$C$36,CONCATENATE("PX391=", $K$71), CONCATENATE("PX392=",$K$72), CONCATENATE("DS004=",$B$64), "Fill=B")</f>
        <v>319100</v>
      </c>
      <c r="L105">
        <f ca="1">_xll.BDP($B$36,$C$36,CONCATENATE("PX391=", $L$71), CONCATENATE("PX392=",$L$72), CONCATENATE("DS004=",$B$64), "Fill=B")</f>
        <v>291600</v>
      </c>
      <c r="M105">
        <f ca="1">_xll.BDP($B$36,$C$36,CONCATENATE("PX391=", $M$71), CONCATENATE("PX392=",$M$72), CONCATENATE("DS004=",$B$64), "Fill=B")</f>
        <v>266400</v>
      </c>
      <c r="N105">
        <f ca="1">_xll.BDP($B$36,$C$36,CONCATENATE("PX391=", $N$71), CONCATENATE("PX392=",$N$72), CONCATENATE("DS004=",$B$64), "Fill=B")</f>
        <v>246100</v>
      </c>
      <c r="O105">
        <f ca="1">_xll.BDP($B$36,$C$36,CONCATENATE("PX391=", $O$71), CONCATENATE("PX392=",$O$72), CONCATENATE("DS004=",$B$64), "Fill=B")</f>
        <v>236600</v>
      </c>
      <c r="P105">
        <f ca="1">_xll.BDP($B$36,$C$36,CONCATENATE("PX391=", $P$71), CONCATENATE("PX392=",$P$72), CONCATENATE("DS004=",$B$64), "Fill=B")</f>
        <v>237600</v>
      </c>
      <c r="Q105">
        <f ca="1">_xll.BDP($B$36,$C$36,CONCATENATE("PX391=", $Q$71), CONCATENATE("PX392=",$Q$72), CONCATENATE("DS004=",$B$64), "Fill=B")</f>
        <v>476300</v>
      </c>
      <c r="R105">
        <f ca="1">_xll.BDP($B$36,$C$36,CONCATENATE("PX391=", $R$71), CONCATENATE("PX392=",$R$72), CONCATENATE("DS004=",$B$64), "Fill=B")</f>
        <v>416300</v>
      </c>
      <c r="S105" t="str">
        <f>""</f>
        <v/>
      </c>
      <c r="T105" t="str">
        <f>""</f>
        <v/>
      </c>
      <c r="U105" t="str">
        <f>""</f>
        <v/>
      </c>
      <c r="V105" t="str">
        <f>""</f>
        <v/>
      </c>
      <c r="W105" t="str">
        <f>""</f>
        <v/>
      </c>
      <c r="X105" t="str">
        <f>""</f>
        <v/>
      </c>
      <c r="Y105" t="str">
        <f>""</f>
        <v/>
      </c>
      <c r="Z105" t="str">
        <f>""</f>
        <v/>
      </c>
      <c r="AA105" t="str">
        <f>""</f>
        <v/>
      </c>
      <c r="AB105" t="str">
        <f>""</f>
        <v/>
      </c>
      <c r="AC105" t="str">
        <f>""</f>
        <v/>
      </c>
      <c r="AD105" t="str">
        <f>""</f>
        <v/>
      </c>
      <c r="AE105" t="str">
        <f>""</f>
        <v/>
      </c>
    </row>
    <row r="106" spans="1:31" x14ac:dyDescent="0.25">
      <c r="A106" t="str">
        <f>$A$37</f>
        <v xml:space="preserve">    North America - Asia</v>
      </c>
      <c r="B106" t="str">
        <f>$B$37</f>
        <v>CSHVNASR Index</v>
      </c>
      <c r="C106" t="str">
        <f>$C$37</f>
        <v>PX385</v>
      </c>
      <c r="D106" t="str">
        <f>$D$37</f>
        <v>INTERVAL_SUM</v>
      </c>
      <c r="E106" t="str">
        <f>$E$37</f>
        <v>Dynamic</v>
      </c>
      <c r="F106">
        <f ca="1">_xll.BDP($B$37,$C$37,CONCATENATE("PX391=", $F$71), CONCATENATE("PX392=",$F$72), CONCATENATE("DS004=",$B$64), "Fill=B")</f>
        <v>4538100</v>
      </c>
      <c r="G106">
        <f ca="1">_xll.BDP($B$37,$C$37,CONCATENATE("PX391=", $G$71), CONCATENATE("PX392=",$G$72), CONCATENATE("DS004=",$B$64), "Fill=B")</f>
        <v>6005900</v>
      </c>
      <c r="H106">
        <f ca="1">_xll.BDP($B$37,$C$37,CONCATENATE("PX391=", $H$71), CONCATENATE("PX392=",$H$72), CONCATENATE("DS004=",$B$64), "Fill=B")</f>
        <v>6377600</v>
      </c>
      <c r="I106">
        <f ca="1">_xll.BDP($B$37,$C$37,CONCATENATE("PX391=", $I$71), CONCATENATE("PX392=",$I$72), CONCATENATE("DS004=",$B$64), "Fill=B")</f>
        <v>7304400</v>
      </c>
      <c r="J106">
        <f ca="1">_xll.BDP($B$37,$C$37,CONCATENATE("PX391=", $J$71), CONCATENATE("PX392=",$J$72), CONCATENATE("DS004=",$B$64), "Fill=B")</f>
        <v>7448200</v>
      </c>
      <c r="K106">
        <f ca="1">_xll.BDP($B$37,$C$37,CONCATENATE("PX391=", $K$71), CONCATENATE("PX392=",$K$72), CONCATENATE("DS004=",$B$64), "Fill=B")</f>
        <v>7514000</v>
      </c>
      <c r="L106">
        <f ca="1">_xll.BDP($B$37,$C$37,CONCATENATE("PX391=", $L$71), CONCATENATE("PX392=",$L$72), CONCATENATE("DS004=",$B$64), "Fill=B")</f>
        <v>7997400</v>
      </c>
      <c r="M106">
        <f ca="1">_xll.BDP($B$37,$C$37,CONCATENATE("PX391=", $M$71), CONCATENATE("PX392=",$M$72), CONCATENATE("DS004=",$B$64), "Fill=B")</f>
        <v>7861000</v>
      </c>
      <c r="N106">
        <f ca="1">_xll.BDP($B$37,$C$37,CONCATENATE("PX391=", $N$71), CONCATENATE("PX392=",$N$72), CONCATENATE("DS004=",$B$64), "Fill=B")</f>
        <v>7304700</v>
      </c>
      <c r="O106">
        <f ca="1">_xll.BDP($B$37,$C$37,CONCATENATE("PX391=", $O$71), CONCATENATE("PX392=",$O$72), CONCATENATE("DS004=",$B$64), "Fill=B")</f>
        <v>7568600</v>
      </c>
      <c r="P106">
        <f ca="1">_xll.BDP($B$37,$C$37,CONCATENATE("PX391=", $P$71), CONCATENATE("PX392=",$P$72), CONCATENATE("DS004=",$B$64), "Fill=B")</f>
        <v>7895600</v>
      </c>
      <c r="Q106">
        <f ca="1">_xll.BDP($B$37,$C$37,CONCATENATE("PX391=", $Q$71), CONCATENATE("PX392=",$Q$72), CONCATENATE("DS004=",$B$64), "Fill=B")</f>
        <v>7760600</v>
      </c>
      <c r="R106">
        <f ca="1">_xll.BDP($B$37,$C$37,CONCATENATE("PX391=", $R$71), CONCATENATE("PX392=",$R$72), CONCATENATE("DS004=",$B$64), "Fill=B")</f>
        <v>7828600</v>
      </c>
      <c r="S106" t="str">
        <f>""</f>
        <v/>
      </c>
      <c r="T106" t="str">
        <f>""</f>
        <v/>
      </c>
      <c r="U106" t="str">
        <f>""</f>
        <v/>
      </c>
      <c r="V106" t="str">
        <f>""</f>
        <v/>
      </c>
      <c r="W106" t="str">
        <f>""</f>
        <v/>
      </c>
      <c r="X106" t="str">
        <f>""</f>
        <v/>
      </c>
      <c r="Y106" t="str">
        <f>""</f>
        <v/>
      </c>
      <c r="Z106" t="str">
        <f>""</f>
        <v/>
      </c>
      <c r="AA106" t="str">
        <f>""</f>
        <v/>
      </c>
      <c r="AB106" t="str">
        <f>""</f>
        <v/>
      </c>
      <c r="AC106" t="str">
        <f>""</f>
        <v/>
      </c>
      <c r="AD106" t="str">
        <f>""</f>
        <v/>
      </c>
      <c r="AE106" t="str">
        <f>""</f>
        <v/>
      </c>
    </row>
    <row r="107" spans="1:31" x14ac:dyDescent="0.25">
      <c r="A107" t="str">
        <f>$A$38</f>
        <v xml:space="preserve">    North America - Australasia &amp; Oceania</v>
      </c>
      <c r="B107" t="str">
        <f>$B$38</f>
        <v>CSHVNAUO Index</v>
      </c>
      <c r="C107" t="str">
        <f>$C$38</f>
        <v>PX385</v>
      </c>
      <c r="D107" t="str">
        <f>$D$38</f>
        <v>INTERVAL_SUM</v>
      </c>
      <c r="E107" t="str">
        <f>$E$38</f>
        <v>Dynamic</v>
      </c>
      <c r="F107">
        <f ca="1">_xll.BDP($B$38,$C$38,CONCATENATE("PX391=", $F$71), CONCATENATE("PX392=",$F$72), CONCATENATE("DS004=",$B$64), "Fill=B")</f>
        <v>199500</v>
      </c>
      <c r="G107">
        <f ca="1">_xll.BDP($B$38,$C$38,CONCATENATE("PX391=", $G$71), CONCATENATE("PX392=",$G$72), CONCATENATE("DS004=",$B$64), "Fill=B")</f>
        <v>334000</v>
      </c>
      <c r="H107">
        <f ca="1">_xll.BDP($B$38,$C$38,CONCATENATE("PX391=", $H$71), CONCATENATE("PX392=",$H$72), CONCATENATE("DS004=",$B$64), "Fill=B")</f>
        <v>324600</v>
      </c>
      <c r="I107">
        <f ca="1">_xll.BDP($B$38,$C$38,CONCATENATE("PX391=", $I$71), CONCATENATE("PX392=",$I$72), CONCATENATE("DS004=",$B$64), "Fill=B")</f>
        <v>331500</v>
      </c>
      <c r="J107">
        <f ca="1">_xll.BDP($B$38,$C$38,CONCATENATE("PX391=", $J$71), CONCATENATE("PX392=",$J$72), CONCATENATE("DS004=",$B$64), "Fill=B")</f>
        <v>344600</v>
      </c>
      <c r="K107">
        <f ca="1">_xll.BDP($B$38,$C$38,CONCATENATE("PX391=", $K$71), CONCATENATE("PX392=",$K$72), CONCATENATE("DS004=",$B$64), "Fill=B")</f>
        <v>340800</v>
      </c>
      <c r="L107">
        <f ca="1">_xll.BDP($B$38,$C$38,CONCATENATE("PX391=", $L$71), CONCATENATE("PX392=",$L$72), CONCATENATE("DS004=",$B$64), "Fill=B")</f>
        <v>352100</v>
      </c>
      <c r="M107">
        <f ca="1">_xll.BDP($B$38,$C$38,CONCATENATE("PX391=", $M$71), CONCATENATE("PX392=",$M$72), CONCATENATE("DS004=",$B$64), "Fill=B")</f>
        <v>367300</v>
      </c>
      <c r="N107">
        <f ca="1">_xll.BDP($B$38,$C$38,CONCATENATE("PX391=", $N$71), CONCATENATE("PX392=",$N$72), CONCATENATE("DS004=",$B$64), "Fill=B")</f>
        <v>370600</v>
      </c>
      <c r="O107">
        <f ca="1">_xll.BDP($B$38,$C$38,CONCATENATE("PX391=", $O$71), CONCATENATE("PX392=",$O$72), CONCATENATE("DS004=",$B$64), "Fill=B")</f>
        <v>403000</v>
      </c>
      <c r="P107">
        <f ca="1">_xll.BDP($B$38,$C$38,CONCATENATE("PX391=", $P$71), CONCATENATE("PX392=",$P$72), CONCATENATE("DS004=",$B$64), "Fill=B")</f>
        <v>397600</v>
      </c>
      <c r="Q107">
        <f ca="1">_xll.BDP($B$38,$C$38,CONCATENATE("PX391=", $Q$71), CONCATENATE("PX392=",$Q$72), CONCATENATE("DS004=",$B$64), "Fill=B")</f>
        <v>325700</v>
      </c>
      <c r="R107">
        <f ca="1">_xll.BDP($B$38,$C$38,CONCATENATE("PX391=", $R$71), CONCATENATE("PX392=",$R$72), CONCATENATE("DS004=",$B$64), "Fill=B")</f>
        <v>320300</v>
      </c>
      <c r="S107" t="str">
        <f>""</f>
        <v/>
      </c>
      <c r="T107" t="str">
        <f>""</f>
        <v/>
      </c>
      <c r="U107" t="str">
        <f>""</f>
        <v/>
      </c>
      <c r="V107" t="str">
        <f>""</f>
        <v/>
      </c>
      <c r="W107" t="str">
        <f>""</f>
        <v/>
      </c>
      <c r="X107" t="str">
        <f>""</f>
        <v/>
      </c>
      <c r="Y107" t="str">
        <f>""</f>
        <v/>
      </c>
      <c r="Z107" t="str">
        <f>""</f>
        <v/>
      </c>
      <c r="AA107" t="str">
        <f>""</f>
        <v/>
      </c>
      <c r="AB107" t="str">
        <f>""</f>
        <v/>
      </c>
      <c r="AC107" t="str">
        <f>""</f>
        <v/>
      </c>
      <c r="AD107" t="str">
        <f>""</f>
        <v/>
      </c>
      <c r="AE107" t="str">
        <f>""</f>
        <v/>
      </c>
    </row>
    <row r="108" spans="1:31" x14ac:dyDescent="0.25">
      <c r="A108" t="str">
        <f>$A$39</f>
        <v xml:space="preserve">    South &amp; Central America - South &amp; Central America</v>
      </c>
      <c r="B108" t="str">
        <f>$B$39</f>
        <v>CSHVCSCA Index</v>
      </c>
      <c r="C108" t="str">
        <f>$C$39</f>
        <v>PX385</v>
      </c>
      <c r="D108" t="str">
        <f>$D$39</f>
        <v>INTERVAL_SUM</v>
      </c>
      <c r="E108" t="str">
        <f>$E$39</f>
        <v>Dynamic</v>
      </c>
      <c r="F108">
        <f ca="1">_xll.BDP($B$39,$C$39,CONCATENATE("PX391=", $F$71), CONCATENATE("PX392=",$F$72), CONCATENATE("DS004=",$B$64), "Fill=B")</f>
        <v>1107300</v>
      </c>
      <c r="G108">
        <f ca="1">_xll.BDP($B$39,$C$39,CONCATENATE("PX391=", $G$71), CONCATENATE("PX392=",$G$72), CONCATENATE("DS004=",$B$64), "Fill=B")</f>
        <v>1480500</v>
      </c>
      <c r="H108">
        <f ca="1">_xll.BDP($B$39,$C$39,CONCATENATE("PX391=", $H$71), CONCATENATE("PX392=",$H$72), CONCATENATE("DS004=",$B$64), "Fill=B")</f>
        <v>1585900</v>
      </c>
      <c r="I108">
        <f ca="1">_xll.BDP($B$39,$C$39,CONCATENATE("PX391=", $I$71), CONCATENATE("PX392=",$I$72), CONCATENATE("DS004=",$B$64), "Fill=B")</f>
        <v>1481200</v>
      </c>
      <c r="J108">
        <f ca="1">_xll.BDP($B$39,$C$39,CONCATENATE("PX391=", $J$71), CONCATENATE("PX392=",$J$72), CONCATENATE("DS004=",$B$64), "Fill=B")</f>
        <v>1841800</v>
      </c>
      <c r="K108">
        <f ca="1">_xll.BDP($B$39,$C$39,CONCATENATE("PX391=", $K$71), CONCATENATE("PX392=",$K$72), CONCATENATE("DS004=",$B$64), "Fill=B")</f>
        <v>1823000</v>
      </c>
      <c r="L108">
        <f ca="1">_xll.BDP($B$39,$C$39,CONCATENATE("PX391=", $L$71), CONCATENATE("PX392=",$L$72), CONCATENATE("DS004=",$B$64), "Fill=B")</f>
        <v>1735400</v>
      </c>
      <c r="M108">
        <f ca="1">_xll.BDP($B$39,$C$39,CONCATENATE("PX391=", $M$71), CONCATENATE("PX392=",$M$72), CONCATENATE("DS004=",$B$64), "Fill=B")</f>
        <v>1550400</v>
      </c>
      <c r="N108">
        <f ca="1">_xll.BDP($B$39,$C$39,CONCATENATE("PX391=", $N$71), CONCATENATE("PX392=",$N$72), CONCATENATE("DS004=",$B$64), "Fill=B")</f>
        <v>1523400</v>
      </c>
      <c r="O108">
        <f ca="1">_xll.BDP($B$39,$C$39,CONCATENATE("PX391=", $O$71), CONCATENATE("PX392=",$O$72), CONCATENATE("DS004=",$B$64), "Fill=B")</f>
        <v>1483400</v>
      </c>
      <c r="P108">
        <f ca="1">_xll.BDP($B$39,$C$39,CONCATENATE("PX391=", $P$71), CONCATENATE("PX392=",$P$72), CONCATENATE("DS004=",$B$64), "Fill=B")</f>
        <v>1427400</v>
      </c>
      <c r="Q108">
        <f ca="1">_xll.BDP($B$39,$C$39,CONCATENATE("PX391=", $Q$71), CONCATENATE("PX392=",$Q$72), CONCATENATE("DS004=",$B$64), "Fill=B")</f>
        <v>1300500</v>
      </c>
      <c r="R108">
        <f ca="1">_xll.BDP($B$39,$C$39,CONCATENATE("PX391=", $R$71), CONCATENATE("PX392=",$R$72), CONCATENATE("DS004=",$B$64), "Fill=B")</f>
        <v>1274000</v>
      </c>
      <c r="S108" t="str">
        <f>""</f>
        <v/>
      </c>
      <c r="T108" t="str">
        <f>""</f>
        <v/>
      </c>
      <c r="U108" t="str">
        <f>""</f>
        <v/>
      </c>
      <c r="V108" t="str">
        <f>""</f>
        <v/>
      </c>
      <c r="W108" t="str">
        <f>""</f>
        <v/>
      </c>
      <c r="X108" t="str">
        <f>""</f>
        <v/>
      </c>
      <c r="Y108" t="str">
        <f>""</f>
        <v/>
      </c>
      <c r="Z108" t="str">
        <f>""</f>
        <v/>
      </c>
      <c r="AA108" t="str">
        <f>""</f>
        <v/>
      </c>
      <c r="AB108" t="str">
        <f>""</f>
        <v/>
      </c>
      <c r="AC108" t="str">
        <f>""</f>
        <v/>
      </c>
      <c r="AD108" t="str">
        <f>""</f>
        <v/>
      </c>
      <c r="AE108" t="str">
        <f>""</f>
        <v/>
      </c>
    </row>
    <row r="109" spans="1:31" x14ac:dyDescent="0.25">
      <c r="A109" t="str">
        <f>$A$40</f>
        <v xml:space="preserve">    South &amp; Central America - Indian Sub Cont. &amp; Middle East</v>
      </c>
      <c r="B109" t="str">
        <f>$B$40</f>
        <v>CSHVCIME Index</v>
      </c>
      <c r="C109" t="str">
        <f>$C$40</f>
        <v>PX385</v>
      </c>
      <c r="D109" t="str">
        <f>$D$40</f>
        <v>INTERVAL_SUM</v>
      </c>
      <c r="E109" t="str">
        <f>$E$40</f>
        <v>Dynamic</v>
      </c>
      <c r="F109">
        <f ca="1">_xll.BDP($B$40,$C$40,CONCATENATE("PX391=", $F$71), CONCATENATE("PX392=",$F$72), CONCATENATE("DS004=",$B$64), "Fill=B")</f>
        <v>358400</v>
      </c>
      <c r="G109">
        <f ca="1">_xll.BDP($B$40,$C$40,CONCATENATE("PX391=", $G$71), CONCATENATE("PX392=",$G$72), CONCATENATE("DS004=",$B$64), "Fill=B")</f>
        <v>440200</v>
      </c>
      <c r="H109">
        <f ca="1">_xll.BDP($B$40,$C$40,CONCATENATE("PX391=", $H$71), CONCATENATE("PX392=",$H$72), CONCATENATE("DS004=",$B$64), "Fill=B")</f>
        <v>435000</v>
      </c>
      <c r="I109">
        <f ca="1">_xll.BDP($B$40,$C$40,CONCATENATE("PX391=", $I$71), CONCATENATE("PX392=",$I$72), CONCATENATE("DS004=",$B$64), "Fill=B")</f>
        <v>455800</v>
      </c>
      <c r="J109">
        <f ca="1">_xll.BDP($B$40,$C$40,CONCATENATE("PX391=", $J$71), CONCATENATE("PX392=",$J$72), CONCATENATE("DS004=",$B$64), "Fill=B")</f>
        <v>434500</v>
      </c>
      <c r="K109">
        <f ca="1">_xll.BDP($B$40,$C$40,CONCATENATE("PX391=", $K$71), CONCATENATE("PX392=",$K$72), CONCATENATE("DS004=",$B$64), "Fill=B")</f>
        <v>415000</v>
      </c>
      <c r="L109">
        <f ca="1">_xll.BDP($B$40,$C$40,CONCATENATE("PX391=", $L$71), CONCATENATE("PX392=",$L$72), CONCATENATE("DS004=",$B$64), "Fill=B")</f>
        <v>446900</v>
      </c>
      <c r="M109">
        <f ca="1">_xll.BDP($B$40,$C$40,CONCATENATE("PX391=", $M$71), CONCATENATE("PX392=",$M$72), CONCATENATE("DS004=",$B$64), "Fill=B")</f>
        <v>460900</v>
      </c>
      <c r="N109">
        <f ca="1">_xll.BDP($B$40,$C$40,CONCATENATE("PX391=", $N$71), CONCATENATE("PX392=",$N$72), CONCATENATE("DS004=",$B$64), "Fill=B")</f>
        <v>391700</v>
      </c>
      <c r="O109">
        <f ca="1">_xll.BDP($B$40,$C$40,CONCATENATE("PX391=", $O$71), CONCATENATE("PX392=",$O$72), CONCATENATE("DS004=",$B$64), "Fill=B")</f>
        <v>320900</v>
      </c>
      <c r="P109">
        <f ca="1">_xll.BDP($B$40,$C$40,CONCATENATE("PX391=", $P$71), CONCATENATE("PX392=",$P$72), CONCATENATE("DS004=",$B$64), "Fill=B")</f>
        <v>284300</v>
      </c>
      <c r="Q109">
        <f ca="1">_xll.BDP($B$40,$C$40,CONCATENATE("PX391=", $Q$71), CONCATENATE("PX392=",$Q$72), CONCATENATE("DS004=",$B$64), "Fill=B")</f>
        <v>294700</v>
      </c>
      <c r="R109">
        <f ca="1">_xll.BDP($B$40,$C$40,CONCATENATE("PX391=", $R$71), CONCATENATE("PX392=",$R$72), CONCATENATE("DS004=",$B$64), "Fill=B")</f>
        <v>281200</v>
      </c>
      <c r="S109" t="str">
        <f>""</f>
        <v/>
      </c>
      <c r="T109" t="str">
        <f>""</f>
        <v/>
      </c>
      <c r="U109" t="str">
        <f>""</f>
        <v/>
      </c>
      <c r="V109" t="str">
        <f>""</f>
        <v/>
      </c>
      <c r="W109" t="str">
        <f>""</f>
        <v/>
      </c>
      <c r="X109" t="str">
        <f>""</f>
        <v/>
      </c>
      <c r="Y109" t="str">
        <f>""</f>
        <v/>
      </c>
      <c r="Z109" t="str">
        <f>""</f>
        <v/>
      </c>
      <c r="AA109" t="str">
        <f>""</f>
        <v/>
      </c>
      <c r="AB109" t="str">
        <f>""</f>
        <v/>
      </c>
      <c r="AC109" t="str">
        <f>""</f>
        <v/>
      </c>
      <c r="AD109" t="str">
        <f>""</f>
        <v/>
      </c>
      <c r="AE109" t="str">
        <f>""</f>
        <v/>
      </c>
    </row>
    <row r="110" spans="1:31" x14ac:dyDescent="0.25">
      <c r="A110" t="str">
        <f>$A$41</f>
        <v xml:space="preserve">    South &amp; Central America - Europe</v>
      </c>
      <c r="B110" t="str">
        <f>$B$41</f>
        <v>CSHVCEUR Index</v>
      </c>
      <c r="C110" t="str">
        <f>$C$41</f>
        <v>PX385</v>
      </c>
      <c r="D110" t="str">
        <f>$D$41</f>
        <v>INTERVAL_SUM</v>
      </c>
      <c r="E110" t="str">
        <f>$E$41</f>
        <v>Dynamic</v>
      </c>
      <c r="F110">
        <f ca="1">_xll.BDP($B$41,$C$41,CONCATENATE("PX391=", $F$71), CONCATENATE("PX392=",$F$72), CONCATENATE("DS004=",$B$64), "Fill=B")</f>
        <v>1513300</v>
      </c>
      <c r="G110">
        <f ca="1">_xll.BDP($B$41,$C$41,CONCATENATE("PX391=", $G$71), CONCATENATE("PX392=",$G$72), CONCATENATE("DS004=",$B$64), "Fill=B")</f>
        <v>2058900</v>
      </c>
      <c r="H110">
        <f ca="1">_xll.BDP($B$41,$C$41,CONCATENATE("PX391=", $H$71), CONCATENATE("PX392=",$H$72), CONCATENATE("DS004=",$B$64), "Fill=B")</f>
        <v>2207400</v>
      </c>
      <c r="I110">
        <f ca="1">_xll.BDP($B$41,$C$41,CONCATENATE("PX391=", $I$71), CONCATENATE("PX392=",$I$72), CONCATENATE("DS004=",$B$64), "Fill=B")</f>
        <v>2110200</v>
      </c>
      <c r="J110">
        <f ca="1">_xll.BDP($B$41,$C$41,CONCATENATE("PX391=", $J$71), CONCATENATE("PX392=",$J$72), CONCATENATE("DS004=",$B$64), "Fill=B")</f>
        <v>2023500</v>
      </c>
      <c r="K110">
        <f ca="1">_xll.BDP($B$41,$C$41,CONCATENATE("PX391=", $K$71), CONCATENATE("PX392=",$K$72), CONCATENATE("DS004=",$B$64), "Fill=B")</f>
        <v>2087600</v>
      </c>
      <c r="L110">
        <f ca="1">_xll.BDP($B$41,$C$41,CONCATENATE("PX391=", $L$71), CONCATENATE("PX392=",$L$72), CONCATENATE("DS004=",$B$64), "Fill=B")</f>
        <v>1912000</v>
      </c>
      <c r="M110">
        <f ca="1">_xll.BDP($B$41,$C$41,CONCATENATE("PX391=", $M$71), CONCATENATE("PX392=",$M$72), CONCATENATE("DS004=",$B$64), "Fill=B")</f>
        <v>1840700</v>
      </c>
      <c r="N110">
        <f ca="1">_xll.BDP($B$41,$C$41,CONCATENATE("PX391=", $N$71), CONCATENATE("PX392=",$N$72), CONCATENATE("DS004=",$B$64), "Fill=B")</f>
        <v>1747100</v>
      </c>
      <c r="O110">
        <f ca="1">_xll.BDP($B$41,$C$41,CONCATENATE("PX391=", $O$71), CONCATENATE("PX392=",$O$72), CONCATENATE("DS004=",$B$64), "Fill=B")</f>
        <v>1641400</v>
      </c>
      <c r="P110">
        <f ca="1">_xll.BDP($B$41,$C$41,CONCATENATE("PX391=", $P$71), CONCATENATE("PX392=",$P$72), CONCATENATE("DS004=",$B$64), "Fill=B")</f>
        <v>1608300</v>
      </c>
      <c r="Q110">
        <f ca="1">_xll.BDP($B$41,$C$41,CONCATENATE("PX391=", $Q$71), CONCATENATE("PX392=",$Q$72), CONCATENATE("DS004=",$B$64), "Fill=B")</f>
        <v>1584100</v>
      </c>
      <c r="R110">
        <f ca="1">_xll.BDP($B$41,$C$41,CONCATENATE("PX391=", $R$71), CONCATENATE("PX392=",$R$72), CONCATENATE("DS004=",$B$64), "Fill=B")</f>
        <v>1644600</v>
      </c>
      <c r="S110" t="str">
        <f>""</f>
        <v/>
      </c>
      <c r="T110" t="str">
        <f>""</f>
        <v/>
      </c>
      <c r="U110" t="str">
        <f>""</f>
        <v/>
      </c>
      <c r="V110" t="str">
        <f>""</f>
        <v/>
      </c>
      <c r="W110" t="str">
        <f>""</f>
        <v/>
      </c>
      <c r="X110" t="str">
        <f>""</f>
        <v/>
      </c>
      <c r="Y110" t="str">
        <f>""</f>
        <v/>
      </c>
      <c r="Z110" t="str">
        <f>""</f>
        <v/>
      </c>
      <c r="AA110" t="str">
        <f>""</f>
        <v/>
      </c>
      <c r="AB110" t="str">
        <f>""</f>
        <v/>
      </c>
      <c r="AC110" t="str">
        <f>""</f>
        <v/>
      </c>
      <c r="AD110" t="str">
        <f>""</f>
        <v/>
      </c>
      <c r="AE110" t="str">
        <f>""</f>
        <v/>
      </c>
    </row>
    <row r="111" spans="1:31" x14ac:dyDescent="0.25">
      <c r="A111" t="str">
        <f>$A$42</f>
        <v xml:space="preserve">    South &amp; Central America - Asia</v>
      </c>
      <c r="B111" t="str">
        <f>$B$42</f>
        <v>CSHVCASR Index</v>
      </c>
      <c r="C111" t="str">
        <f>$C$42</f>
        <v>PX385</v>
      </c>
      <c r="D111" t="str">
        <f>$D$42</f>
        <v>INTERVAL_SUM</v>
      </c>
      <c r="E111" t="str">
        <f>$E$42</f>
        <v>Dynamic</v>
      </c>
      <c r="F111">
        <f ca="1">_xll.BDP($B$42,$C$42,CONCATENATE("PX391=", $F$71), CONCATENATE("PX392=",$F$72), CONCATENATE("DS004=",$B$64), "Fill=B")</f>
        <v>1479600</v>
      </c>
      <c r="G111">
        <f ca="1">_xll.BDP($B$42,$C$42,CONCATENATE("PX391=", $G$71), CONCATENATE("PX392=",$G$72), CONCATENATE("DS004=",$B$64), "Fill=B")</f>
        <v>1915300</v>
      </c>
      <c r="H111">
        <f ca="1">_xll.BDP($B$42,$C$42,CONCATENATE("PX391=", $H$71), CONCATENATE("PX392=",$H$72), CONCATENATE("DS004=",$B$64), "Fill=B")</f>
        <v>1968700</v>
      </c>
      <c r="I111">
        <f ca="1">_xll.BDP($B$42,$C$42,CONCATENATE("PX391=", $I$71), CONCATENATE("PX392=",$I$72), CONCATENATE("DS004=",$B$64), "Fill=B")</f>
        <v>2102100</v>
      </c>
      <c r="J111">
        <f ca="1">_xll.BDP($B$42,$C$42,CONCATENATE("PX391=", $J$71), CONCATENATE("PX392=",$J$72), CONCATENATE("DS004=",$B$64), "Fill=B")</f>
        <v>1891000</v>
      </c>
      <c r="K111">
        <f ca="1">_xll.BDP($B$42,$C$42,CONCATENATE("PX391=", $K$71), CONCATENATE("PX392=",$K$72), CONCATENATE("DS004=",$B$64), "Fill=B")</f>
        <v>1903800</v>
      </c>
      <c r="L111">
        <f ca="1">_xll.BDP($B$42,$C$42,CONCATENATE("PX391=", $L$71), CONCATENATE("PX392=",$L$72), CONCATENATE("DS004=",$B$64), "Fill=B")</f>
        <v>1813900</v>
      </c>
      <c r="M111">
        <f ca="1">_xll.BDP($B$42,$C$42,CONCATENATE("PX391=", $M$71), CONCATENATE("PX392=",$M$72), CONCATENATE("DS004=",$B$64), "Fill=B")</f>
        <v>1662900</v>
      </c>
      <c r="N111">
        <f ca="1">_xll.BDP($B$42,$C$42,CONCATENATE("PX391=", $N$71), CONCATENATE("PX392=",$N$72), CONCATENATE("DS004=",$B$64), "Fill=B")</f>
        <v>1566400</v>
      </c>
      <c r="O111">
        <f ca="1">_xll.BDP($B$42,$C$42,CONCATENATE("PX391=", $O$71), CONCATENATE("PX392=",$O$72), CONCATENATE("DS004=",$B$64), "Fill=B")</f>
        <v>1551500</v>
      </c>
      <c r="P111">
        <f ca="1">_xll.BDP($B$42,$C$42,CONCATENATE("PX391=", $P$71), CONCATENATE("PX392=",$P$72), CONCATENATE("DS004=",$B$64), "Fill=B")</f>
        <v>1433500</v>
      </c>
      <c r="Q111">
        <f ca="1">_xll.BDP($B$42,$C$42,CONCATENATE("PX391=", $Q$71), CONCATENATE("PX392=",$Q$72), CONCATENATE("DS004=",$B$64), "Fill=B")</f>
        <v>1318800</v>
      </c>
      <c r="R111">
        <f ca="1">_xll.BDP($B$42,$C$42,CONCATENATE("PX391=", $R$71), CONCATENATE("PX392=",$R$72), CONCATENATE("DS004=",$B$64), "Fill=B")</f>
        <v>1391400</v>
      </c>
      <c r="S111" t="str">
        <f>""</f>
        <v/>
      </c>
      <c r="T111" t="str">
        <f>""</f>
        <v/>
      </c>
      <c r="U111" t="str">
        <f>""</f>
        <v/>
      </c>
      <c r="V111" t="str">
        <f>""</f>
        <v/>
      </c>
      <c r="W111" t="str">
        <f>""</f>
        <v/>
      </c>
      <c r="X111" t="str">
        <f>""</f>
        <v/>
      </c>
      <c r="Y111" t="str">
        <f>""</f>
        <v/>
      </c>
      <c r="Z111" t="str">
        <f>""</f>
        <v/>
      </c>
      <c r="AA111" t="str">
        <f>""</f>
        <v/>
      </c>
      <c r="AB111" t="str">
        <f>""</f>
        <v/>
      </c>
      <c r="AC111" t="str">
        <f>""</f>
        <v/>
      </c>
      <c r="AD111" t="str">
        <f>""</f>
        <v/>
      </c>
      <c r="AE111" t="str">
        <f>""</f>
        <v/>
      </c>
    </row>
    <row r="112" spans="1:31" x14ac:dyDescent="0.25">
      <c r="A112" t="str">
        <f>$A$43</f>
        <v xml:space="preserve">    South &amp; Central America - North America</v>
      </c>
      <c r="B112" t="str">
        <f>$B$43</f>
        <v>CSHVCNAR Index</v>
      </c>
      <c r="C112" t="str">
        <f>$C$43</f>
        <v>PX385</v>
      </c>
      <c r="D112" t="str">
        <f>$D$43</f>
        <v>INTERVAL_SUM</v>
      </c>
      <c r="E112" t="str">
        <f>$E$43</f>
        <v>Dynamic</v>
      </c>
      <c r="F112">
        <f ca="1">_xll.BDP($B$43,$C$43,CONCATENATE("PX391=", $F$71), CONCATENATE("PX392=",$F$72), CONCATENATE("DS004=",$B$64), "Fill=B")</f>
        <v>1919400</v>
      </c>
      <c r="G112">
        <f ca="1">_xll.BDP($B$43,$C$43,CONCATENATE("PX391=", $G$71), CONCATENATE("PX392=",$G$72), CONCATENATE("DS004=",$B$64), "Fill=B")</f>
        <v>2685700</v>
      </c>
      <c r="H112">
        <f ca="1">_xll.BDP($B$43,$C$43,CONCATENATE("PX391=", $H$71), CONCATENATE("PX392=",$H$72), CONCATENATE("DS004=",$B$64), "Fill=B")</f>
        <v>2683500</v>
      </c>
      <c r="I112">
        <f ca="1">_xll.BDP($B$43,$C$43,CONCATENATE("PX391=", $I$71), CONCATENATE("PX392=",$I$72), CONCATENATE("DS004=",$B$64), "Fill=B")</f>
        <v>2585100</v>
      </c>
      <c r="J112">
        <f ca="1">_xll.BDP($B$43,$C$43,CONCATENATE("PX391=", $J$71), CONCATENATE("PX392=",$J$72), CONCATENATE("DS004=",$B$64), "Fill=B")</f>
        <v>2527600</v>
      </c>
      <c r="K112">
        <f ca="1">_xll.BDP($B$43,$C$43,CONCATENATE("PX391=", $K$71), CONCATENATE("PX392=",$K$72), CONCATENATE("DS004=",$B$64), "Fill=B")</f>
        <v>2477000</v>
      </c>
      <c r="L112">
        <f ca="1">_xll.BDP($B$43,$C$43,CONCATENATE("PX391=", $L$71), CONCATENATE("PX392=",$L$72), CONCATENATE("DS004=",$B$64), "Fill=B")</f>
        <v>2385300</v>
      </c>
      <c r="M112">
        <f ca="1">_xll.BDP($B$43,$C$43,CONCATENATE("PX391=", $M$71), CONCATENATE("PX392=",$M$72), CONCATENATE("DS004=",$B$64), "Fill=B")</f>
        <v>2327900</v>
      </c>
      <c r="N112">
        <f ca="1">_xll.BDP($B$43,$C$43,CONCATENATE("PX391=", $N$71), CONCATENATE("PX392=",$N$72), CONCATENATE("DS004=",$B$64), "Fill=B")</f>
        <v>2192700</v>
      </c>
      <c r="O112">
        <f ca="1">_xll.BDP($B$43,$C$43,CONCATENATE("PX391=", $O$71), CONCATENATE("PX392=",$O$72), CONCATENATE("DS004=",$B$64), "Fill=B")</f>
        <v>2141800</v>
      </c>
      <c r="P112">
        <f ca="1">_xll.BDP($B$43,$C$43,CONCATENATE("PX391=", $P$71), CONCATENATE("PX392=",$P$72), CONCATENATE("DS004=",$B$64), "Fill=B")</f>
        <v>2092700</v>
      </c>
      <c r="Q112">
        <f ca="1">_xll.BDP($B$43,$C$43,CONCATENATE("PX391=", $Q$71), CONCATENATE("PX392=",$Q$72), CONCATENATE("DS004=",$B$64), "Fill=B")</f>
        <v>1246200</v>
      </c>
      <c r="R112">
        <f ca="1">_xll.BDP($B$43,$C$43,CONCATENATE("PX391=", $R$71), CONCATENATE("PX392=",$R$72), CONCATENATE("DS004=",$B$64), "Fill=B")</f>
        <v>1594500</v>
      </c>
      <c r="S112" t="str">
        <f>""</f>
        <v/>
      </c>
      <c r="T112" t="str">
        <f>""</f>
        <v/>
      </c>
      <c r="U112" t="str">
        <f>""</f>
        <v/>
      </c>
      <c r="V112" t="str">
        <f>""</f>
        <v/>
      </c>
      <c r="W112" t="str">
        <f>""</f>
        <v/>
      </c>
      <c r="X112" t="str">
        <f>""</f>
        <v/>
      </c>
      <c r="Y112" t="str">
        <f>""</f>
        <v/>
      </c>
      <c r="Z112" t="str">
        <f>""</f>
        <v/>
      </c>
      <c r="AA112" t="str">
        <f>""</f>
        <v/>
      </c>
      <c r="AB112" t="str">
        <f>""</f>
        <v/>
      </c>
      <c r="AC112" t="str">
        <f>""</f>
        <v/>
      </c>
      <c r="AD112" t="str">
        <f>""</f>
        <v/>
      </c>
      <c r="AE112" t="str">
        <f>""</f>
        <v/>
      </c>
    </row>
    <row r="113" spans="1:31" x14ac:dyDescent="0.25">
      <c r="A113" t="str">
        <f>$A$44</f>
        <v xml:space="preserve">    South &amp; Central America - Australasia &amp; Oceania</v>
      </c>
      <c r="B113" t="str">
        <f>$B$44</f>
        <v>CSHVCAUO Index</v>
      </c>
      <c r="C113" t="str">
        <f>$C$44</f>
        <v>PX385</v>
      </c>
      <c r="D113" t="str">
        <f>$D$44</f>
        <v>INTERVAL_SUM</v>
      </c>
      <c r="E113" t="str">
        <f>$E$44</f>
        <v>Dynamic</v>
      </c>
      <c r="F113">
        <f ca="1">_xll.BDP($B$44,$C$44,CONCATENATE("PX391=", $F$71), CONCATENATE("PX392=",$F$72), CONCATENATE("DS004=",$B$64), "Fill=B")</f>
        <v>28000</v>
      </c>
      <c r="G113">
        <f ca="1">_xll.BDP($B$44,$C$44,CONCATENATE("PX391=", $G$71), CONCATENATE("PX392=",$G$72), CONCATENATE("DS004=",$B$64), "Fill=B")</f>
        <v>40700</v>
      </c>
      <c r="H113">
        <f ca="1">_xll.BDP($B$44,$C$44,CONCATENATE("PX391=", $H$71), CONCATENATE("PX392=",$H$72), CONCATENATE("DS004=",$B$64), "Fill=B")</f>
        <v>48300</v>
      </c>
      <c r="I113">
        <f ca="1">_xll.BDP($B$44,$C$44,CONCATENATE("PX391=", $I$71), CONCATENATE("PX392=",$I$72), CONCATENATE("DS004=",$B$64), "Fill=B")</f>
        <v>44600</v>
      </c>
      <c r="J113">
        <f ca="1">_xll.BDP($B$44,$C$44,CONCATENATE("PX391=", $J$71), CONCATENATE("PX392=",$J$72), CONCATENATE("DS004=",$B$64), "Fill=B")</f>
        <v>39100</v>
      </c>
      <c r="K113">
        <f ca="1">_xll.BDP($B$44,$C$44,CONCATENATE("PX391=", $K$71), CONCATENATE("PX392=",$K$72), CONCATENATE("DS004=",$B$64), "Fill=B")</f>
        <v>41200</v>
      </c>
      <c r="L113">
        <f ca="1">_xll.BDP($B$44,$C$44,CONCATENATE("PX391=", $L$71), CONCATENATE("PX392=",$L$72), CONCATENATE("DS004=",$B$64), "Fill=B")</f>
        <v>41000</v>
      </c>
      <c r="M113">
        <f ca="1">_xll.BDP($B$44,$C$44,CONCATENATE("PX391=", $M$71), CONCATENATE("PX392=",$M$72), CONCATENATE("DS004=",$B$64), "Fill=B")</f>
        <v>57400</v>
      </c>
      <c r="N113">
        <f ca="1">_xll.BDP($B$44,$C$44,CONCATENATE("PX391=", $N$71), CONCATENATE("PX392=",$N$72), CONCATENATE("DS004=",$B$64), "Fill=B")</f>
        <v>57900</v>
      </c>
      <c r="O113">
        <f ca="1">_xll.BDP($B$44,$C$44,CONCATENATE("PX391=", $O$71), CONCATENATE("PX392=",$O$72), CONCATENATE("DS004=",$B$64), "Fill=B")</f>
        <v>59300</v>
      </c>
      <c r="P113">
        <f ca="1">_xll.BDP($B$44,$C$44,CONCATENATE("PX391=", $P$71), CONCATENATE("PX392=",$P$72), CONCATENATE("DS004=",$B$64), "Fill=B")</f>
        <v>48800</v>
      </c>
      <c r="Q113">
        <f ca="1">_xll.BDP($B$44,$C$44,CONCATENATE("PX391=", $Q$71), CONCATENATE("PX392=",$Q$72), CONCATENATE("DS004=",$B$64), "Fill=B")</f>
        <v>48900</v>
      </c>
      <c r="R113">
        <f ca="1">_xll.BDP($B$44,$C$44,CONCATENATE("PX391=", $R$71), CONCATENATE("PX392=",$R$72), CONCATENATE("DS004=",$B$64), "Fill=B")</f>
        <v>45500</v>
      </c>
      <c r="S113" t="str">
        <f>""</f>
        <v/>
      </c>
      <c r="T113" t="str">
        <f>""</f>
        <v/>
      </c>
      <c r="U113" t="str">
        <f>""</f>
        <v/>
      </c>
      <c r="V113" t="str">
        <f>""</f>
        <v/>
      </c>
      <c r="W113" t="str">
        <f>""</f>
        <v/>
      </c>
      <c r="X113" t="str">
        <f>""</f>
        <v/>
      </c>
      <c r="Y113" t="str">
        <f>""</f>
        <v/>
      </c>
      <c r="Z113" t="str">
        <f>""</f>
        <v/>
      </c>
      <c r="AA113" t="str">
        <f>""</f>
        <v/>
      </c>
      <c r="AB113" t="str">
        <f>""</f>
        <v/>
      </c>
      <c r="AC113" t="str">
        <f>""</f>
        <v/>
      </c>
      <c r="AD113" t="str">
        <f>""</f>
        <v/>
      </c>
      <c r="AE113" t="str">
        <f>""</f>
        <v/>
      </c>
    </row>
    <row r="114" spans="1:31" x14ac:dyDescent="0.25">
      <c r="A114" t="str">
        <f>$A$45</f>
        <v xml:space="preserve">    South &amp; Central America - Sub Saharan Africa</v>
      </c>
      <c r="B114" t="str">
        <f>$B$45</f>
        <v>CSHVCSSA Index</v>
      </c>
      <c r="C114" t="str">
        <f>$C$45</f>
        <v>PX385</v>
      </c>
      <c r="D114" t="str">
        <f>$D$45</f>
        <v>INTERVAL_SUM</v>
      </c>
      <c r="E114" t="str">
        <f>$E$45</f>
        <v>Dynamic</v>
      </c>
      <c r="F114">
        <f ca="1">_xll.BDP($B$45,$C$45,CONCATENATE("PX391=", $F$71), CONCATENATE("PX392=",$F$72), CONCATENATE("DS004=",$B$64), "Fill=B")</f>
        <v>276500</v>
      </c>
      <c r="G114">
        <f ca="1">_xll.BDP($B$45,$C$45,CONCATENATE("PX391=", $G$71), CONCATENATE("PX392=",$G$72), CONCATENATE("DS004=",$B$64), "Fill=B")</f>
        <v>315300</v>
      </c>
      <c r="H114">
        <f ca="1">_xll.BDP($B$45,$C$45,CONCATENATE("PX391=", $H$71), CONCATENATE("PX392=",$H$72), CONCATENATE("DS004=",$B$64), "Fill=B")</f>
        <v>318100</v>
      </c>
      <c r="I114">
        <f ca="1">_xll.BDP($B$45,$C$45,CONCATENATE("PX391=", $I$71), CONCATENATE("PX392=",$I$72), CONCATENATE("DS004=",$B$64), "Fill=B")</f>
        <v>274900</v>
      </c>
      <c r="J114">
        <f ca="1">_xll.BDP($B$45,$C$45,CONCATENATE("PX391=", $J$71), CONCATENATE("PX392=",$J$72), CONCATENATE("DS004=",$B$64), "Fill=B")</f>
        <v>289000</v>
      </c>
      <c r="K114">
        <f ca="1">_xll.BDP($B$45,$C$45,CONCATENATE("PX391=", $K$71), CONCATENATE("PX392=",$K$72), CONCATENATE("DS004=",$B$64), "Fill=B")</f>
        <v>290200</v>
      </c>
      <c r="L114">
        <f ca="1">_xll.BDP($B$45,$C$45,CONCATENATE("PX391=", $L$71), CONCATENATE("PX392=",$L$72), CONCATENATE("DS004=",$B$64), "Fill=B")</f>
        <v>304400</v>
      </c>
      <c r="M114">
        <f ca="1">_xll.BDP($B$45,$C$45,CONCATENATE("PX391=", $M$71), CONCATENATE("PX392=",$M$72), CONCATENATE("DS004=",$B$64), "Fill=B")</f>
        <v>244300</v>
      </c>
      <c r="N114">
        <f ca="1">_xll.BDP($B$45,$C$45,CONCATENATE("PX391=", $N$71), CONCATENATE("PX392=",$N$72), CONCATENATE("DS004=",$B$64), "Fill=B")</f>
        <v>256100</v>
      </c>
      <c r="O114">
        <f ca="1">_xll.BDP($B$45,$C$45,CONCATENATE("PX391=", $O$71), CONCATENATE("PX392=",$O$72), CONCATENATE("DS004=",$B$64), "Fill=B")</f>
        <v>262400</v>
      </c>
      <c r="P114">
        <f ca="1">_xll.BDP($B$45,$C$45,CONCATENATE("PX391=", $P$71), CONCATENATE("PX392=",$P$72), CONCATENATE("DS004=",$B$64), "Fill=B")</f>
        <v>245200</v>
      </c>
      <c r="Q114">
        <f ca="1">_xll.BDP($B$45,$C$45,CONCATENATE("PX391=", $Q$71), CONCATENATE("PX392=",$Q$72), CONCATENATE("DS004=",$B$64), "Fill=B")</f>
        <v>255500</v>
      </c>
      <c r="R114">
        <f ca="1">_xll.BDP($B$45,$C$45,CONCATENATE("PX391=", $R$71), CONCATENATE("PX392=",$R$72), CONCATENATE("DS004=",$B$64), "Fill=B")</f>
        <v>276300</v>
      </c>
      <c r="S114" t="str">
        <f>""</f>
        <v/>
      </c>
      <c r="T114" t="str">
        <f>""</f>
        <v/>
      </c>
      <c r="U114" t="str">
        <f>""</f>
        <v/>
      </c>
      <c r="V114" t="str">
        <f>""</f>
        <v/>
      </c>
      <c r="W114" t="str">
        <f>""</f>
        <v/>
      </c>
      <c r="X114" t="str">
        <f>""</f>
        <v/>
      </c>
      <c r="Y114" t="str">
        <f>""</f>
        <v/>
      </c>
      <c r="Z114" t="str">
        <f>""</f>
        <v/>
      </c>
      <c r="AA114" t="str">
        <f>""</f>
        <v/>
      </c>
      <c r="AB114" t="str">
        <f>""</f>
        <v/>
      </c>
      <c r="AC114" t="str">
        <f>""</f>
        <v/>
      </c>
      <c r="AD114" t="str">
        <f>""</f>
        <v/>
      </c>
      <c r="AE114" t="str">
        <f>""</f>
        <v/>
      </c>
    </row>
    <row r="115" spans="1:31" x14ac:dyDescent="0.25">
      <c r="A115" t="str">
        <f>$A$46</f>
        <v xml:space="preserve">    Sub Saharan Africa - Europe</v>
      </c>
      <c r="B115" t="str">
        <f>$B$46</f>
        <v>CSHVSEUR Index</v>
      </c>
      <c r="C115" t="str">
        <f>$C$46</f>
        <v>PX385</v>
      </c>
      <c r="D115" t="str">
        <f>$D$46</f>
        <v>INTERVAL_SUM</v>
      </c>
      <c r="E115" t="str">
        <f>$E$46</f>
        <v>Dynamic</v>
      </c>
      <c r="F115">
        <f ca="1">_xll.BDP($B$46,$C$46,CONCATENATE("PX391=", $F$71), CONCATENATE("PX392=",$F$72), CONCATENATE("DS004=",$B$64), "Fill=B")</f>
        <v>743800</v>
      </c>
      <c r="G115">
        <f ca="1">_xll.BDP($B$46,$C$46,CONCATENATE("PX391=", $G$71), CONCATENATE("PX392=",$G$72), CONCATENATE("DS004=",$B$64), "Fill=B")</f>
        <v>935900</v>
      </c>
      <c r="H115">
        <f ca="1">_xll.BDP($B$46,$C$46,CONCATENATE("PX391=", $H$71), CONCATENATE("PX392=",$H$72), CONCATENATE("DS004=",$B$64), "Fill=B")</f>
        <v>879600</v>
      </c>
      <c r="I115">
        <f ca="1">_xll.BDP($B$46,$C$46,CONCATENATE("PX391=", $I$71), CONCATENATE("PX392=",$I$72), CONCATENATE("DS004=",$B$64), "Fill=B")</f>
        <v>827900</v>
      </c>
      <c r="J115">
        <f ca="1">_xll.BDP($B$46,$C$46,CONCATENATE("PX391=", $J$71), CONCATENATE("PX392=",$J$72), CONCATENATE("DS004=",$B$64), "Fill=B")</f>
        <v>815000</v>
      </c>
      <c r="K115">
        <f ca="1">_xll.BDP($B$46,$C$46,CONCATENATE("PX391=", $K$71), CONCATENATE("PX392=",$K$72), CONCATENATE("DS004=",$B$64), "Fill=B")</f>
        <v>862800</v>
      </c>
      <c r="L115">
        <f ca="1">_xll.BDP($B$46,$C$46,CONCATENATE("PX391=", $L$71), CONCATENATE("PX392=",$L$72), CONCATENATE("DS004=",$B$64), "Fill=B")</f>
        <v>824600</v>
      </c>
      <c r="M115">
        <f ca="1">_xll.BDP($B$46,$C$46,CONCATENATE("PX391=", $M$71), CONCATENATE("PX392=",$M$72), CONCATENATE("DS004=",$B$64), "Fill=B")</f>
        <v>773900</v>
      </c>
      <c r="N115">
        <f ca="1">_xll.BDP($B$46,$C$46,CONCATENATE("PX391=", $N$71), CONCATENATE("PX392=",$N$72), CONCATENATE("DS004=",$B$64), "Fill=B")</f>
        <v>848800</v>
      </c>
      <c r="O115">
        <f ca="1">_xll.BDP($B$46,$C$46,CONCATENATE("PX391=", $O$71), CONCATENATE("PX392=",$O$72), CONCATENATE("DS004=",$B$64), "Fill=B")</f>
        <v>781100</v>
      </c>
      <c r="P115">
        <f ca="1">_xll.BDP($B$46,$C$46,CONCATENATE("PX391=", $P$71), CONCATENATE("PX392=",$P$72), CONCATENATE("DS004=",$B$64), "Fill=B")</f>
        <v>804100</v>
      </c>
      <c r="Q115">
        <f ca="1">_xll.BDP($B$46,$C$46,CONCATENATE("PX391=", $Q$71), CONCATENATE("PX392=",$Q$72), CONCATENATE("DS004=",$B$64), "Fill=B")</f>
        <v>783500</v>
      </c>
      <c r="R115">
        <f ca="1">_xll.BDP($B$46,$C$46,CONCATENATE("PX391=", $R$71), CONCATENATE("PX392=",$R$72), CONCATENATE("DS004=",$B$64), "Fill=B")</f>
        <v>782400</v>
      </c>
      <c r="S115" t="str">
        <f>""</f>
        <v/>
      </c>
      <c r="T115" t="str">
        <f>""</f>
        <v/>
      </c>
      <c r="U115" t="str">
        <f>""</f>
        <v/>
      </c>
      <c r="V115" t="str">
        <f>""</f>
        <v/>
      </c>
      <c r="W115" t="str">
        <f>""</f>
        <v/>
      </c>
      <c r="X115" t="str">
        <f>""</f>
        <v/>
      </c>
      <c r="Y115" t="str">
        <f>""</f>
        <v/>
      </c>
      <c r="Z115" t="str">
        <f>""</f>
        <v/>
      </c>
      <c r="AA115" t="str">
        <f>""</f>
        <v/>
      </c>
      <c r="AB115" t="str">
        <f>""</f>
        <v/>
      </c>
      <c r="AC115" t="str">
        <f>""</f>
        <v/>
      </c>
      <c r="AD115" t="str">
        <f>""</f>
        <v/>
      </c>
      <c r="AE115" t="str">
        <f>""</f>
        <v/>
      </c>
    </row>
    <row r="116" spans="1:31" x14ac:dyDescent="0.25">
      <c r="A116" t="str">
        <f>$A$47</f>
        <v xml:space="preserve">    Sub Saharan Africa - Asia</v>
      </c>
      <c r="B116" t="str">
        <f>$B$47</f>
        <v>CSHVSASR Index</v>
      </c>
      <c r="C116" t="str">
        <f>$C$47</f>
        <v>PX385</v>
      </c>
      <c r="D116" t="str">
        <f>$D$47</f>
        <v>INTERVAL_SUM</v>
      </c>
      <c r="E116" t="str">
        <f>$E$47</f>
        <v>Dynamic</v>
      </c>
      <c r="F116">
        <f ca="1">_xll.BDP($B$47,$C$47,CONCATENATE("PX391=", $F$71), CONCATENATE("PX392=",$F$72), CONCATENATE("DS004=",$B$64), "Fill=B")</f>
        <v>1010000</v>
      </c>
      <c r="G116">
        <f ca="1">_xll.BDP($B$47,$C$47,CONCATENATE("PX391=", $G$71), CONCATENATE("PX392=",$G$72), CONCATENATE("DS004=",$B$64), "Fill=B")</f>
        <v>1170300</v>
      </c>
      <c r="H116">
        <f ca="1">_xll.BDP($B$47,$C$47,CONCATENATE("PX391=", $H$71), CONCATENATE("PX392=",$H$72), CONCATENATE("DS004=",$B$64), "Fill=B")</f>
        <v>1273200</v>
      </c>
      <c r="I116">
        <f ca="1">_xll.BDP($B$47,$C$47,CONCATENATE("PX391=", $I$71), CONCATENATE("PX392=",$I$72), CONCATENATE("DS004=",$B$64), "Fill=B")</f>
        <v>1237600</v>
      </c>
      <c r="J116">
        <f ca="1">_xll.BDP($B$47,$C$47,CONCATENATE("PX391=", $J$71), CONCATENATE("PX392=",$J$72), CONCATENATE("DS004=",$B$64), "Fill=B")</f>
        <v>1311800</v>
      </c>
      <c r="K116">
        <f ca="1">_xll.BDP($B$47,$C$47,CONCATENATE("PX391=", $K$71), CONCATENATE("PX392=",$K$72), CONCATENATE("DS004=",$B$64), "Fill=B")</f>
        <v>1174400</v>
      </c>
      <c r="L116">
        <f ca="1">_xll.BDP($B$47,$C$47,CONCATENATE("PX391=", $L$71), CONCATENATE("PX392=",$L$72), CONCATENATE("DS004=",$B$64), "Fill=B")</f>
        <v>1137700</v>
      </c>
      <c r="M116">
        <f ca="1">_xll.BDP($B$47,$C$47,CONCATENATE("PX391=", $M$71), CONCATENATE("PX392=",$M$72), CONCATENATE("DS004=",$B$64), "Fill=B")</f>
        <v>1008100</v>
      </c>
      <c r="N116">
        <f ca="1">_xll.BDP($B$47,$C$47,CONCATENATE("PX391=", $N$71), CONCATENATE("PX392=",$N$72), CONCATENATE("DS004=",$B$64), "Fill=B")</f>
        <v>986600</v>
      </c>
      <c r="O116">
        <f ca="1">_xll.BDP($B$47,$C$47,CONCATENATE("PX391=", $O$71), CONCATENATE("PX392=",$O$72), CONCATENATE("DS004=",$B$64), "Fill=B")</f>
        <v>1070100</v>
      </c>
      <c r="P116">
        <f ca="1">_xll.BDP($B$47,$C$47,CONCATENATE("PX391=", $P$71), CONCATENATE("PX392=",$P$72), CONCATENATE("DS004=",$B$64), "Fill=B")</f>
        <v>1096100</v>
      </c>
      <c r="Q116">
        <f ca="1">_xll.BDP($B$47,$C$47,CONCATENATE("PX391=", $Q$71), CONCATENATE("PX392=",$Q$72), CONCATENATE("DS004=",$B$64), "Fill=B")</f>
        <v>1060600</v>
      </c>
      <c r="R116">
        <f ca="1">_xll.BDP($B$47,$C$47,CONCATENATE("PX391=", $R$71), CONCATENATE("PX392=",$R$72), CONCATENATE("DS004=",$B$64), "Fill=B")</f>
        <v>1234800</v>
      </c>
      <c r="S116" t="str">
        <f>""</f>
        <v/>
      </c>
      <c r="T116" t="str">
        <f>""</f>
        <v/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  <c r="Z116" t="str">
        <f>""</f>
        <v/>
      </c>
      <c r="AA116" t="str">
        <f>""</f>
        <v/>
      </c>
      <c r="AB116" t="str">
        <f>""</f>
        <v/>
      </c>
      <c r="AC116" t="str">
        <f>""</f>
        <v/>
      </c>
      <c r="AD116" t="str">
        <f>""</f>
        <v/>
      </c>
      <c r="AE116" t="str">
        <f>""</f>
        <v/>
      </c>
    </row>
    <row r="117" spans="1:31" x14ac:dyDescent="0.25">
      <c r="A117" t="str">
        <f>$A$48</f>
        <v xml:space="preserve">    Sub Saharan Africa - North America</v>
      </c>
      <c r="B117" t="str">
        <f>$B$48</f>
        <v>CSHVSNAR Index</v>
      </c>
      <c r="C117" t="str">
        <f>$C$48</f>
        <v>PX385</v>
      </c>
      <c r="D117" t="str">
        <f>$D$48</f>
        <v>INTERVAL_SUM</v>
      </c>
      <c r="E117" t="str">
        <f>$E$48</f>
        <v>Dynamic</v>
      </c>
      <c r="F117">
        <f ca="1">_xll.BDP($B$48,$C$48,CONCATENATE("PX391=", $F$71), CONCATENATE("PX392=",$F$72), CONCATENATE("DS004=",$B$64), "Fill=B")</f>
        <v>129100</v>
      </c>
      <c r="G117">
        <f ca="1">_xll.BDP($B$48,$C$48,CONCATENATE("PX391=", $G$71), CONCATENATE("PX392=",$G$72), CONCATENATE("DS004=",$B$64), "Fill=B")</f>
        <v>166100</v>
      </c>
      <c r="H117">
        <f ca="1">_xll.BDP($B$48,$C$48,CONCATENATE("PX391=", $H$71), CONCATENATE("PX392=",$H$72), CONCATENATE("DS004=",$B$64), "Fill=B")</f>
        <v>161400</v>
      </c>
      <c r="I117">
        <f ca="1">_xll.BDP($B$48,$C$48,CONCATENATE("PX391=", $I$71), CONCATENATE("PX392=",$I$72), CONCATENATE("DS004=",$B$64), "Fill=B")</f>
        <v>132000</v>
      </c>
      <c r="J117">
        <f ca="1">_xll.BDP($B$48,$C$48,CONCATENATE("PX391=", $J$71), CONCATENATE("PX392=",$J$72), CONCATENATE("DS004=",$B$64), "Fill=B")</f>
        <v>129400</v>
      </c>
      <c r="K117">
        <f ca="1">_xll.BDP($B$48,$C$48,CONCATENATE("PX391=", $K$71), CONCATENATE("PX392=",$K$72), CONCATENATE("DS004=",$B$64), "Fill=B")</f>
        <v>131100</v>
      </c>
      <c r="L117">
        <f ca="1">_xll.BDP($B$48,$C$48,CONCATENATE("PX391=", $L$71), CONCATENATE("PX392=",$L$72), CONCATENATE("DS004=",$B$64), "Fill=B")</f>
        <v>116600</v>
      </c>
      <c r="M117">
        <f ca="1">_xll.BDP($B$48,$C$48,CONCATENATE("PX391=", $M$71), CONCATENATE("PX392=",$M$72), CONCATENATE("DS004=",$B$64), "Fill=B")</f>
        <v>120100</v>
      </c>
      <c r="N117">
        <f ca="1">_xll.BDP($B$48,$C$48,CONCATENATE("PX391=", $N$71), CONCATENATE("PX392=",$N$72), CONCATENATE("DS004=",$B$64), "Fill=B")</f>
        <v>122600</v>
      </c>
      <c r="O117">
        <f ca="1">_xll.BDP($B$48,$C$48,CONCATENATE("PX391=", $O$71), CONCATENATE("PX392=",$O$72), CONCATENATE("DS004=",$B$64), "Fill=B")</f>
        <v>126200</v>
      </c>
      <c r="P117">
        <f ca="1">_xll.BDP($B$48,$C$48,CONCATENATE("PX391=", $P$71), CONCATENATE("PX392=",$P$72), CONCATENATE("DS004=",$B$64), "Fill=B")</f>
        <v>117000</v>
      </c>
      <c r="Q117">
        <f ca="1">_xll.BDP($B$48,$C$48,CONCATENATE("PX391=", $Q$71), CONCATENATE("PX392=",$Q$72), CONCATENATE("DS004=",$B$64), "Fill=B")</f>
        <v>223900</v>
      </c>
      <c r="R117">
        <f ca="1">_xll.BDP($B$48,$C$48,CONCATENATE("PX391=", $R$71), CONCATENATE("PX392=",$R$72), CONCATENATE("DS004=",$B$64), "Fill=B")</f>
        <v>210200</v>
      </c>
      <c r="S117" t="str">
        <f>""</f>
        <v/>
      </c>
      <c r="T117" t="str">
        <f>""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  <c r="Z117" t="str">
        <f>""</f>
        <v/>
      </c>
      <c r="AA117" t="str">
        <f>""</f>
        <v/>
      </c>
      <c r="AB117" t="str">
        <f>""</f>
        <v/>
      </c>
      <c r="AC117" t="str">
        <f>""</f>
        <v/>
      </c>
      <c r="AD117" t="str">
        <f>""</f>
        <v/>
      </c>
      <c r="AE117" t="str">
        <f>""</f>
        <v/>
      </c>
    </row>
    <row r="118" spans="1:31" x14ac:dyDescent="0.25">
      <c r="A118" t="str">
        <f>$A$49</f>
        <v xml:space="preserve">    Sub Saharan Africa - Australasia &amp; Oceania</v>
      </c>
      <c r="B118" t="str">
        <f>$B$49</f>
        <v>CSHVSAUO Index</v>
      </c>
      <c r="C118" t="str">
        <f>$C$49</f>
        <v>PX385</v>
      </c>
      <c r="D118" t="str">
        <f>$D$49</f>
        <v>INTERVAL_SUM</v>
      </c>
      <c r="E118" t="str">
        <f>$E$49</f>
        <v>Dynamic</v>
      </c>
      <c r="F118">
        <f ca="1">_xll.BDP($B$49,$C$49,CONCATENATE("PX391=", $F$71), CONCATENATE("PX392=",$F$72), CONCATENATE("DS004=",$B$64), "Fill=B")</f>
        <v>15600</v>
      </c>
      <c r="G118">
        <f ca="1">_xll.BDP($B$49,$C$49,CONCATENATE("PX391=", $G$71), CONCATENATE("PX392=",$G$72), CONCATENATE("DS004=",$B$64), "Fill=B")</f>
        <v>18500</v>
      </c>
      <c r="H118">
        <f ca="1">_xll.BDP($B$49,$C$49,CONCATENATE("PX391=", $H$71), CONCATENATE("PX392=",$H$72), CONCATENATE("DS004=",$B$64), "Fill=B")</f>
        <v>19200</v>
      </c>
      <c r="I118">
        <f ca="1">_xll.BDP($B$49,$C$49,CONCATENATE("PX391=", $I$71), CONCATENATE("PX392=",$I$72), CONCATENATE("DS004=",$B$64), "Fill=B")</f>
        <v>18400</v>
      </c>
      <c r="J118">
        <f ca="1">_xll.BDP($B$49,$C$49,CONCATENATE("PX391=", $J$71), CONCATENATE("PX392=",$J$72), CONCATENATE("DS004=",$B$64), "Fill=B")</f>
        <v>19800</v>
      </c>
      <c r="K118">
        <f ca="1">_xll.BDP($B$49,$C$49,CONCATENATE("PX391=", $K$71), CONCATENATE("PX392=",$K$72), CONCATENATE("DS004=",$B$64), "Fill=B")</f>
        <v>23300</v>
      </c>
      <c r="L118">
        <f ca="1">_xll.BDP($B$49,$C$49,CONCATENATE("PX391=", $L$71), CONCATENATE("PX392=",$L$72), CONCATENATE("DS004=",$B$64), "Fill=B")</f>
        <v>19800</v>
      </c>
      <c r="M118">
        <f ca="1">_xll.BDP($B$49,$C$49,CONCATENATE("PX391=", $M$71), CONCATENATE("PX392=",$M$72), CONCATENATE("DS004=",$B$64), "Fill=B")</f>
        <v>17500</v>
      </c>
      <c r="N118">
        <f ca="1">_xll.BDP($B$49,$C$49,CONCATENATE("PX391=", $N$71), CONCATENATE("PX392=",$N$72), CONCATENATE("DS004=",$B$64), "Fill=B")</f>
        <v>15700</v>
      </c>
      <c r="O118">
        <f ca="1">_xll.BDP($B$49,$C$49,CONCATENATE("PX391=", $O$71), CONCATENATE("PX392=",$O$72), CONCATENATE("DS004=",$B$64), "Fill=B")</f>
        <v>18100</v>
      </c>
      <c r="P118">
        <f ca="1">_xll.BDP($B$49,$C$49,CONCATENATE("PX391=", $P$71), CONCATENATE("PX392=",$P$72), CONCATENATE("DS004=",$B$64), "Fill=B")</f>
        <v>20700</v>
      </c>
      <c r="Q118">
        <f ca="1">_xll.BDP($B$49,$C$49,CONCATENATE("PX391=", $Q$71), CONCATENATE("PX392=",$Q$72), CONCATENATE("DS004=",$B$64), "Fill=B")</f>
        <v>24300</v>
      </c>
      <c r="R118">
        <f ca="1">_xll.BDP($B$49,$C$49,CONCATENATE("PX391=", $R$71), CONCATENATE("PX392=",$R$72), CONCATENATE("DS004=",$B$64), "Fill=B")</f>
        <v>26700</v>
      </c>
      <c r="S118" t="str">
        <f>""</f>
        <v/>
      </c>
      <c r="T118" t="str">
        <f>""</f>
        <v/>
      </c>
      <c r="U118" t="str">
        <f>""</f>
        <v/>
      </c>
      <c r="V118" t="str">
        <f>""</f>
        <v/>
      </c>
      <c r="W118" t="str">
        <f>""</f>
        <v/>
      </c>
      <c r="X118" t="str">
        <f>""</f>
        <v/>
      </c>
      <c r="Y118" t="str">
        <f>""</f>
        <v/>
      </c>
      <c r="Z118" t="str">
        <f>""</f>
        <v/>
      </c>
      <c r="AA118" t="str">
        <f>""</f>
        <v/>
      </c>
      <c r="AB118" t="str">
        <f>""</f>
        <v/>
      </c>
      <c r="AC118" t="str">
        <f>""</f>
        <v/>
      </c>
      <c r="AD118" t="str">
        <f>""</f>
        <v/>
      </c>
      <c r="AE118" t="str">
        <f>""</f>
        <v/>
      </c>
    </row>
    <row r="119" spans="1:31" x14ac:dyDescent="0.25">
      <c r="A119" t="str">
        <f>$A$50</f>
        <v xml:space="preserve">    Sub Saharan Africa - Sub Saharan Africa</v>
      </c>
      <c r="B119" t="str">
        <f>$B$50</f>
        <v>CSHVSSSA Index</v>
      </c>
      <c r="C119" t="str">
        <f>$C$50</f>
        <v>PX385</v>
      </c>
      <c r="D119" t="str">
        <f>$D$50</f>
        <v>INTERVAL_SUM</v>
      </c>
      <c r="E119" t="str">
        <f>$E$50</f>
        <v>Dynamic</v>
      </c>
      <c r="F119">
        <f ca="1">_xll.BDP($B$50,$C$50,CONCATENATE("PX391=", $F$71), CONCATENATE("PX392=",$F$72), CONCATENATE("DS004=",$B$64), "Fill=B")</f>
        <v>239900</v>
      </c>
      <c r="G119">
        <f ca="1">_xll.BDP($B$50,$C$50,CONCATENATE("PX391=", $G$71), CONCATENATE("PX392=",$G$72), CONCATENATE("DS004=",$B$64), "Fill=B")</f>
        <v>341300</v>
      </c>
      <c r="H119">
        <f ca="1">_xll.BDP($B$50,$C$50,CONCATENATE("PX391=", $H$71), CONCATENATE("PX392=",$H$72), CONCATENATE("DS004=",$B$64), "Fill=B")</f>
        <v>331700</v>
      </c>
      <c r="I119">
        <f ca="1">_xll.BDP($B$50,$C$50,CONCATENATE("PX391=", $I$71), CONCATENATE("PX392=",$I$72), CONCATENATE("DS004=",$B$64), "Fill=B")</f>
        <v>318300</v>
      </c>
      <c r="J119">
        <f ca="1">_xll.BDP($B$50,$C$50,CONCATENATE("PX391=", $J$71), CONCATENATE("PX392=",$J$72), CONCATENATE("DS004=",$B$64), "Fill=B")</f>
        <v>281300</v>
      </c>
      <c r="K119">
        <f ca="1">_xll.BDP($B$50,$C$50,CONCATENATE("PX391=", $K$71), CONCATENATE("PX392=",$K$72), CONCATENATE("DS004=",$B$64), "Fill=B")</f>
        <v>265700</v>
      </c>
      <c r="L119">
        <f ca="1">_xll.BDP($B$50,$C$50,CONCATENATE("PX391=", $L$71), CONCATENATE("PX392=",$L$72), CONCATENATE("DS004=",$B$64), "Fill=B")</f>
        <v>243000</v>
      </c>
      <c r="M119">
        <f ca="1">_xll.BDP($B$50,$C$50,CONCATENATE("PX391=", $M$71), CONCATENATE("PX392=",$M$72), CONCATENATE("DS004=",$B$64), "Fill=B")</f>
        <v>217500</v>
      </c>
      <c r="N119">
        <f ca="1">_xll.BDP($B$50,$C$50,CONCATENATE("PX391=", $N$71), CONCATENATE("PX392=",$N$72), CONCATENATE("DS004=",$B$64), "Fill=B")</f>
        <v>159700</v>
      </c>
      <c r="O119">
        <f ca="1">_xll.BDP($B$50,$C$50,CONCATENATE("PX391=", $O$71), CONCATENATE("PX392=",$O$72), CONCATENATE("DS004=",$B$64), "Fill=B")</f>
        <v>164800</v>
      </c>
      <c r="P119">
        <f ca="1">_xll.BDP($B$50,$C$50,CONCATENATE("PX391=", $P$71), CONCATENATE("PX392=",$P$72), CONCATENATE("DS004=",$B$64), "Fill=B")</f>
        <v>148500</v>
      </c>
      <c r="Q119">
        <f ca="1">_xll.BDP($B$50,$C$50,CONCATENATE("PX391=", $Q$71), CONCATENATE("PX392=",$Q$72), CONCATENATE("DS004=",$B$64), "Fill=B")</f>
        <v>140000</v>
      </c>
      <c r="R119">
        <f ca="1">_xll.BDP($B$50,$C$50,CONCATENATE("PX391=", $R$71), CONCATENATE("PX392=",$R$72), CONCATENATE("DS004=",$B$64), "Fill=B")</f>
        <v>145800</v>
      </c>
      <c r="S119" t="str">
        <f>""</f>
        <v/>
      </c>
      <c r="T119" t="str">
        <f>""</f>
        <v/>
      </c>
      <c r="U119" t="str">
        <f>""</f>
        <v/>
      </c>
      <c r="V119" t="str">
        <f>""</f>
        <v/>
      </c>
      <c r="W119" t="str">
        <f>""</f>
        <v/>
      </c>
      <c r="X119" t="str">
        <f>""</f>
        <v/>
      </c>
      <c r="Y119" t="str">
        <f>""</f>
        <v/>
      </c>
      <c r="Z119" t="str">
        <f>""</f>
        <v/>
      </c>
      <c r="AA119" t="str">
        <f>""</f>
        <v/>
      </c>
      <c r="AB119" t="str">
        <f>""</f>
        <v/>
      </c>
      <c r="AC119" t="str">
        <f>""</f>
        <v/>
      </c>
      <c r="AD119" t="str">
        <f>""</f>
        <v/>
      </c>
      <c r="AE119" t="str">
        <f>""</f>
        <v/>
      </c>
    </row>
    <row r="120" spans="1:31" x14ac:dyDescent="0.25">
      <c r="A120" t="str">
        <f>$A$51</f>
        <v xml:space="preserve">    Sub Saharan Africa - Indian Sub Cont. &amp; Middle East</v>
      </c>
      <c r="B120" t="str">
        <f>$B$51</f>
        <v>CSHVSIME Index</v>
      </c>
      <c r="C120" t="str">
        <f>$C$51</f>
        <v>PX385</v>
      </c>
      <c r="D120" t="str">
        <f>$D$51</f>
        <v>INTERVAL_SUM</v>
      </c>
      <c r="E120" t="str">
        <f>$E$51</f>
        <v>Dynamic</v>
      </c>
      <c r="F120">
        <f ca="1">_xll.BDP($B$51,$C$51,CONCATENATE("PX391=", $F$71), CONCATENATE("PX392=",$F$72), CONCATENATE("DS004=",$B$64), "Fill=B")</f>
        <v>592900</v>
      </c>
      <c r="G120">
        <f ca="1">_xll.BDP($B$51,$C$51,CONCATENATE("PX391=", $G$71), CONCATENATE("PX392=",$G$72), CONCATENATE("DS004=",$B$64), "Fill=B")</f>
        <v>710700</v>
      </c>
      <c r="H120">
        <f ca="1">_xll.BDP($B$51,$C$51,CONCATENATE("PX391=", $H$71), CONCATENATE("PX392=",$H$72), CONCATENATE("DS004=",$B$64), "Fill=B")</f>
        <v>671300</v>
      </c>
      <c r="I120">
        <f ca="1">_xll.BDP($B$51,$C$51,CONCATENATE("PX391=", $I$71), CONCATENATE("PX392=",$I$72), CONCATENATE("DS004=",$B$64), "Fill=B")</f>
        <v>597800</v>
      </c>
      <c r="J120">
        <f ca="1">_xll.BDP($B$51,$C$51,CONCATENATE("PX391=", $J$71), CONCATENATE("PX392=",$J$72), CONCATENATE("DS004=",$B$64), "Fill=B")</f>
        <v>668100</v>
      </c>
      <c r="K120">
        <f ca="1">_xll.BDP($B$51,$C$51,CONCATENATE("PX391=", $K$71), CONCATENATE("PX392=",$K$72), CONCATENATE("DS004=",$B$64), "Fill=B")</f>
        <v>657800</v>
      </c>
      <c r="L120">
        <f ca="1">_xll.BDP($B$51,$C$51,CONCATENATE("PX391=", $L$71), CONCATENATE("PX392=",$L$72), CONCATENATE("DS004=",$B$64), "Fill=B")</f>
        <v>577200</v>
      </c>
      <c r="M120">
        <f ca="1">_xll.BDP($B$51,$C$51,CONCATENATE("PX391=", $M$71), CONCATENATE("PX392=",$M$72), CONCATENATE("DS004=",$B$64), "Fill=B")</f>
        <v>528800</v>
      </c>
      <c r="N120">
        <f ca="1">_xll.BDP($B$51,$C$51,CONCATENATE("PX391=", $N$71), CONCATENATE("PX392=",$N$72), CONCATENATE("DS004=",$B$64), "Fill=B")</f>
        <v>570900</v>
      </c>
      <c r="O120">
        <f ca="1">_xll.BDP($B$51,$C$51,CONCATENATE("PX391=", $O$71), CONCATENATE("PX392=",$O$72), CONCATENATE("DS004=",$B$64), "Fill=B")</f>
        <v>568000</v>
      </c>
      <c r="P120">
        <f ca="1">_xll.BDP($B$51,$C$51,CONCATENATE("PX391=", $P$71), CONCATENATE("PX392=",$P$72), CONCATENATE("DS004=",$B$64), "Fill=B")</f>
        <v>453500</v>
      </c>
      <c r="Q120">
        <f ca="1">_xll.BDP($B$51,$C$51,CONCATENATE("PX391=", $Q$71), CONCATENATE("PX392=",$Q$72), CONCATENATE("DS004=",$B$64), "Fill=B")</f>
        <v>514800</v>
      </c>
      <c r="R120">
        <f ca="1">_xll.BDP($B$51,$C$51,CONCATENATE("PX391=", $R$71), CONCATENATE("PX392=",$R$72), CONCATENATE("DS004=",$B$64), "Fill=B")</f>
        <v>522900</v>
      </c>
      <c r="S120" t="str">
        <f>""</f>
        <v/>
      </c>
      <c r="T120" t="str">
        <f>""</f>
        <v/>
      </c>
      <c r="U120" t="str">
        <f>""</f>
        <v/>
      </c>
      <c r="V120" t="str">
        <f>""</f>
        <v/>
      </c>
      <c r="W120" t="str">
        <f>""</f>
        <v/>
      </c>
      <c r="X120" t="str">
        <f>""</f>
        <v/>
      </c>
      <c r="Y120" t="str">
        <f>""</f>
        <v/>
      </c>
      <c r="Z120" t="str">
        <f>""</f>
        <v/>
      </c>
      <c r="AA120" t="str">
        <f>""</f>
        <v/>
      </c>
      <c r="AB120" t="str">
        <f>""</f>
        <v/>
      </c>
      <c r="AC120" t="str">
        <f>""</f>
        <v/>
      </c>
      <c r="AD120" t="str">
        <f>""</f>
        <v/>
      </c>
      <c r="AE120" t="str">
        <f>""</f>
        <v/>
      </c>
    </row>
    <row r="121" spans="1:31" x14ac:dyDescent="0.25">
      <c r="A121" t="str">
        <f>$A$52</f>
        <v xml:space="preserve">    Sub Saharan Africa - South &amp; Central America</v>
      </c>
      <c r="B121" t="str">
        <f>$B$52</f>
        <v>CSHVSSCA Index</v>
      </c>
      <c r="C121" t="str">
        <f>$C$52</f>
        <v>PX385</v>
      </c>
      <c r="D121" t="str">
        <f>$D$52</f>
        <v>INTERVAL_SUM</v>
      </c>
      <c r="E121" t="str">
        <f>$E$52</f>
        <v>Dynamic</v>
      </c>
      <c r="F121">
        <f ca="1">_xll.BDP($B$52,$C$52,CONCATENATE("PX391=", $F$71), CONCATENATE("PX392=",$F$72), CONCATENATE("DS004=",$B$64), "Fill=B")</f>
        <v>20700</v>
      </c>
      <c r="G121">
        <f ca="1">_xll.BDP($B$52,$C$52,CONCATENATE("PX391=", $G$71), CONCATENATE("PX392=",$G$72), CONCATENATE("DS004=",$B$64), "Fill=B")</f>
        <v>35700</v>
      </c>
      <c r="H121">
        <f ca="1">_xll.BDP($B$52,$C$52,CONCATENATE("PX391=", $H$71), CONCATENATE("PX392=",$H$72), CONCATENATE("DS004=",$B$64), "Fill=B")</f>
        <v>35800</v>
      </c>
      <c r="I121">
        <f ca="1">_xll.BDP($B$52,$C$52,CONCATENATE("PX391=", $I$71), CONCATENATE("PX392=",$I$72), CONCATENATE("DS004=",$B$64), "Fill=B")</f>
        <v>26000</v>
      </c>
      <c r="J121">
        <f ca="1">_xll.BDP($B$52,$C$52,CONCATENATE("PX391=", $J$71), CONCATENATE("PX392=",$J$72), CONCATENATE("DS004=",$B$64), "Fill=B")</f>
        <v>32100</v>
      </c>
      <c r="K121">
        <f ca="1">_xll.BDP($B$52,$C$52,CONCATENATE("PX391=", $K$71), CONCATENATE("PX392=",$K$72), CONCATENATE("DS004=",$B$64), "Fill=B")</f>
        <v>33900</v>
      </c>
      <c r="L121">
        <f ca="1">_xll.BDP($B$52,$C$52,CONCATENATE("PX391=", $L$71), CONCATENATE("PX392=",$L$72), CONCATENATE("DS004=",$B$64), "Fill=B")</f>
        <v>29700</v>
      </c>
      <c r="M121">
        <f ca="1">_xll.BDP($B$52,$C$52,CONCATENATE("PX391=", $M$71), CONCATENATE("PX392=",$M$72), CONCATENATE("DS004=",$B$64), "Fill=B")</f>
        <v>38200</v>
      </c>
      <c r="N121">
        <f ca="1">_xll.BDP($B$52,$C$52,CONCATENATE("PX391=", $N$71), CONCATENATE("PX392=",$N$72), CONCATENATE("DS004=",$B$64), "Fill=B")</f>
        <v>40400</v>
      </c>
      <c r="O121">
        <f ca="1">_xll.BDP($B$52,$C$52,CONCATENATE("PX391=", $O$71), CONCATENATE("PX392=",$O$72), CONCATENATE("DS004=",$B$64), "Fill=B")</f>
        <v>52100</v>
      </c>
      <c r="P121">
        <f ca="1">_xll.BDP($B$52,$C$52,CONCATENATE("PX391=", $P$71), CONCATENATE("PX392=",$P$72), CONCATENATE("DS004=",$B$64), "Fill=B")</f>
        <v>51900</v>
      </c>
      <c r="Q121">
        <f ca="1">_xll.BDP($B$52,$C$52,CONCATENATE("PX391=", $Q$71), CONCATENATE("PX392=",$Q$72), CONCATENATE("DS004=",$B$64), "Fill=B")</f>
        <v>49400</v>
      </c>
      <c r="R121">
        <f ca="1">_xll.BDP($B$52,$C$52,CONCATENATE("PX391=", $R$71), CONCATENATE("PX392=",$R$72), CONCATENATE("DS004=",$B$64), "Fill=B")</f>
        <v>52000</v>
      </c>
      <c r="S121" t="str">
        <f>""</f>
        <v/>
      </c>
      <c r="T121" t="str">
        <f>""</f>
        <v/>
      </c>
      <c r="U121" t="str">
        <f>""</f>
        <v/>
      </c>
      <c r="V121" t="str">
        <f>""</f>
        <v/>
      </c>
      <c r="W121" t="str">
        <f>""</f>
        <v/>
      </c>
      <c r="X121" t="str">
        <f>""</f>
        <v/>
      </c>
      <c r="Y121" t="str">
        <f>""</f>
        <v/>
      </c>
      <c r="Z121" t="str">
        <f>""</f>
        <v/>
      </c>
      <c r="AA121" t="str">
        <f>""</f>
        <v/>
      </c>
      <c r="AB121" t="str">
        <f>""</f>
        <v/>
      </c>
      <c r="AC121" t="str">
        <f>""</f>
        <v/>
      </c>
      <c r="AD121" t="str">
        <f>""</f>
        <v/>
      </c>
      <c r="AE121" t="str">
        <f>""</f>
        <v/>
      </c>
    </row>
    <row r="122" spans="1:31" x14ac:dyDescent="0.25">
      <c r="A122" t="str">
        <f>"Snapshot header"</f>
        <v>Snapshot header</v>
      </c>
      <c r="B122">
        <f>2</f>
        <v>2</v>
      </c>
      <c r="C122" t="str">
        <f>"2023"</f>
        <v>2023</v>
      </c>
      <c r="D122" t="str">
        <f>"2022"</f>
        <v>2022</v>
      </c>
      <c r="E122" t="str">
        <f>"2021"</f>
        <v>2021</v>
      </c>
      <c r="F122" t="str">
        <f>"2020"</f>
        <v>2020</v>
      </c>
      <c r="G122" t="str">
        <f>"2019"</f>
        <v>2019</v>
      </c>
      <c r="H122" t="str">
        <f>"2018"</f>
        <v>2018</v>
      </c>
      <c r="I122" t="str">
        <f>"2017"</f>
        <v>2017</v>
      </c>
      <c r="J122" t="str">
        <f>"2016"</f>
        <v>2016</v>
      </c>
      <c r="K122" t="str">
        <f>"2015"</f>
        <v>2015</v>
      </c>
      <c r="L122" t="str">
        <f>"2014"</f>
        <v>2014</v>
      </c>
      <c r="M122" t="str">
        <f>"2013"</f>
        <v>2013</v>
      </c>
      <c r="N122" t="str">
        <f>"2012"</f>
        <v>2012</v>
      </c>
      <c r="O122" t="str">
        <f>"2011"</f>
        <v>2011</v>
      </c>
      <c r="S122" t="str">
        <f>""</f>
        <v/>
      </c>
      <c r="T122" t="str">
        <f>""</f>
        <v/>
      </c>
      <c r="U122" t="str">
        <f>""</f>
        <v/>
      </c>
      <c r="V122" t="str">
        <f>""</f>
        <v/>
      </c>
      <c r="W122" t="str">
        <f>""</f>
        <v/>
      </c>
      <c r="X122" t="str">
        <f>""</f>
        <v/>
      </c>
      <c r="Y122" t="str">
        <f>""</f>
        <v/>
      </c>
      <c r="Z122" t="str">
        <f>""</f>
        <v/>
      </c>
      <c r="AA122" t="str">
        <f>""</f>
        <v/>
      </c>
      <c r="AB122" t="str">
        <f>""</f>
        <v/>
      </c>
      <c r="AC122" t="str">
        <f>""</f>
        <v/>
      </c>
      <c r="AD122" t="str">
        <f>""</f>
        <v/>
      </c>
      <c r="AE122" t="str">
        <f>""</f>
        <v/>
      </c>
    </row>
    <row r="123" spans="1:31" x14ac:dyDescent="0.25">
      <c r="A123" t="str">
        <f>"No error found"</f>
        <v>No error found</v>
      </c>
      <c r="B123" t="str">
        <f>""</f>
        <v/>
      </c>
      <c r="C123" t="str">
        <f>""</f>
        <v/>
      </c>
      <c r="D123" t="str">
        <f>""</f>
        <v/>
      </c>
      <c r="E123" t="str">
        <f>""</f>
        <v/>
      </c>
      <c r="S123" t="str">
        <f>""</f>
        <v/>
      </c>
      <c r="T123" t="str">
        <f>""</f>
        <v/>
      </c>
      <c r="U123" t="str">
        <f>""</f>
        <v/>
      </c>
      <c r="V123" t="str">
        <f>""</f>
        <v/>
      </c>
      <c r="W123" t="str">
        <f>""</f>
        <v/>
      </c>
      <c r="X123" t="str">
        <f>""</f>
        <v/>
      </c>
      <c r="Y123" t="str">
        <f>""</f>
        <v/>
      </c>
      <c r="Z123" t="str">
        <f>""</f>
        <v/>
      </c>
      <c r="AA123" t="str">
        <f>""</f>
        <v/>
      </c>
      <c r="AB123" t="str">
        <f>""</f>
        <v/>
      </c>
      <c r="AC123" t="str">
        <f>""</f>
        <v/>
      </c>
      <c r="AD123" t="str">
        <f>""</f>
        <v/>
      </c>
      <c r="AE123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>
      <selection activeCell="A21" sqref="A21"/>
    </sheetView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Fredrik Lindau</cp:lastModifiedBy>
  <dcterms:created xsi:type="dcterms:W3CDTF">2013-04-03T15:49:21Z</dcterms:created>
  <dcterms:modified xsi:type="dcterms:W3CDTF">2023-11-12T14:13:21Z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{93DE2B2D-56C3-4E03-A632-E6F8BEA96D98}</vt:lpwstr>
  </property>
</Properties>
</file>