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lindau.mam2024\Desktop\"/>
    </mc:Choice>
  </mc:AlternateContent>
  <bookViews>
    <workbookView xWindow="10395" yWindow="-105" windowWidth="14850" windowHeight="12735" activeTab="1"/>
  </bookViews>
  <sheets>
    <sheet name="Sheet1" sheetId="5" r:id="rId1"/>
    <sheet name="BIData" sheetId="2" r:id="rId2"/>
    <sheet name="ReferenceData" sheetId="3" r:id="rId3"/>
    <sheet name="Help-Reference" sheetId="4" r:id="rId4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/>
</workbook>
</file>

<file path=xl/calcChain.xml><?xml version="1.0" encoding="utf-8"?>
<calcChain xmlns="http://schemas.openxmlformats.org/spreadsheetml/2006/main">
  <c r="C126" i="3" l="1"/>
  <c r="C128" i="3"/>
  <c r="C130" i="3"/>
  <c r="FQ142" i="3" l="1"/>
  <c r="FP142" i="3"/>
  <c r="FO142" i="3"/>
  <c r="FN142" i="3"/>
  <c r="FM142" i="3"/>
  <c r="FL142" i="3"/>
  <c r="FK142" i="3"/>
  <c r="FJ142" i="3"/>
  <c r="FI142" i="3"/>
  <c r="FH142" i="3"/>
  <c r="FG142" i="3"/>
  <c r="FF142" i="3"/>
  <c r="FE142" i="3"/>
  <c r="FD142" i="3"/>
  <c r="FC142" i="3"/>
  <c r="FB142" i="3"/>
  <c r="FA142" i="3"/>
  <c r="EZ142" i="3"/>
  <c r="EY142" i="3"/>
  <c r="EX142" i="3"/>
  <c r="EW142" i="3"/>
  <c r="EV142" i="3"/>
  <c r="EU142" i="3"/>
  <c r="ET142" i="3"/>
  <c r="ES142" i="3"/>
  <c r="ER142" i="3"/>
  <c r="EQ142" i="3"/>
  <c r="EP142" i="3"/>
  <c r="EO142" i="3"/>
  <c r="EN142" i="3"/>
  <c r="EM142" i="3"/>
  <c r="EL142" i="3"/>
  <c r="EK142" i="3"/>
  <c r="EJ142" i="3"/>
  <c r="EI142" i="3"/>
  <c r="EH142" i="3"/>
  <c r="EG142" i="3"/>
  <c r="EF142" i="3"/>
  <c r="EE142" i="3"/>
  <c r="ED142" i="3"/>
  <c r="EC142" i="3"/>
  <c r="EB142" i="3"/>
  <c r="EA142" i="3"/>
  <c r="DZ142" i="3"/>
  <c r="DY142" i="3"/>
  <c r="DX142" i="3"/>
  <c r="DW142" i="3"/>
  <c r="DV142" i="3"/>
  <c r="DU142" i="3"/>
  <c r="DT142" i="3"/>
  <c r="DS142" i="3"/>
  <c r="DR142" i="3"/>
  <c r="DQ142" i="3"/>
  <c r="DP142" i="3"/>
  <c r="DO142" i="3"/>
  <c r="DN142" i="3"/>
  <c r="DM142" i="3"/>
  <c r="DL142" i="3"/>
  <c r="DK142" i="3"/>
  <c r="DJ142" i="3"/>
  <c r="DI142" i="3"/>
  <c r="DH142" i="3"/>
  <c r="DG142" i="3"/>
  <c r="DF142" i="3"/>
  <c r="DE142" i="3"/>
  <c r="DD142" i="3"/>
  <c r="DC142" i="3"/>
  <c r="DB142" i="3"/>
  <c r="DA142" i="3"/>
  <c r="CZ142" i="3"/>
  <c r="CY142" i="3"/>
  <c r="CX142" i="3"/>
  <c r="CW142" i="3"/>
  <c r="CV142" i="3"/>
  <c r="CU142" i="3"/>
  <c r="CT142" i="3"/>
  <c r="CS142" i="3"/>
  <c r="CR142" i="3"/>
  <c r="CQ142" i="3"/>
  <c r="CP142" i="3"/>
  <c r="CO142" i="3"/>
  <c r="CN142" i="3"/>
  <c r="CM142" i="3"/>
  <c r="CL142" i="3"/>
  <c r="E142" i="3"/>
  <c r="D142" i="3"/>
  <c r="C142" i="3"/>
  <c r="B142" i="3"/>
  <c r="A142" i="3"/>
  <c r="FQ141" i="3"/>
  <c r="FP141" i="3"/>
  <c r="FO141" i="3"/>
  <c r="FN141" i="3"/>
  <c r="FM141" i="3"/>
  <c r="FL141" i="3"/>
  <c r="FK141" i="3"/>
  <c r="FJ141" i="3"/>
  <c r="FI141" i="3"/>
  <c r="FH141" i="3"/>
  <c r="FG141" i="3"/>
  <c r="FF141" i="3"/>
  <c r="FE141" i="3"/>
  <c r="FD141" i="3"/>
  <c r="FC141" i="3"/>
  <c r="FB141" i="3"/>
  <c r="FA141" i="3"/>
  <c r="EZ141" i="3"/>
  <c r="EY141" i="3"/>
  <c r="EX141" i="3"/>
  <c r="EW141" i="3"/>
  <c r="EV141" i="3"/>
  <c r="EU141" i="3"/>
  <c r="ET141" i="3"/>
  <c r="ES141" i="3"/>
  <c r="ER141" i="3"/>
  <c r="EQ141" i="3"/>
  <c r="EP141" i="3"/>
  <c r="EO141" i="3"/>
  <c r="EN141" i="3"/>
  <c r="EM141" i="3"/>
  <c r="EL141" i="3"/>
  <c r="EK141" i="3"/>
  <c r="EJ141" i="3"/>
  <c r="EI141" i="3"/>
  <c r="EH141" i="3"/>
  <c r="EG141" i="3"/>
  <c r="EF141" i="3"/>
  <c r="EE141" i="3"/>
  <c r="ED141" i="3"/>
  <c r="EC141" i="3"/>
  <c r="EB141" i="3"/>
  <c r="EA141" i="3"/>
  <c r="DZ141" i="3"/>
  <c r="DY141" i="3"/>
  <c r="DX141" i="3"/>
  <c r="DW141" i="3"/>
  <c r="DV141" i="3"/>
  <c r="DU141" i="3"/>
  <c r="DT141" i="3"/>
  <c r="DS141" i="3"/>
  <c r="DR141" i="3"/>
  <c r="DQ141" i="3"/>
  <c r="DP141" i="3"/>
  <c r="DO141" i="3"/>
  <c r="DN141" i="3"/>
  <c r="DM141" i="3"/>
  <c r="DL141" i="3"/>
  <c r="DK141" i="3"/>
  <c r="DJ141" i="3"/>
  <c r="DI141" i="3"/>
  <c r="DH141" i="3"/>
  <c r="DG141" i="3"/>
  <c r="DF141" i="3"/>
  <c r="DE141" i="3"/>
  <c r="DD141" i="3"/>
  <c r="DC141" i="3"/>
  <c r="DB141" i="3"/>
  <c r="DA141" i="3"/>
  <c r="CZ141" i="3"/>
  <c r="CY141" i="3"/>
  <c r="CX141" i="3"/>
  <c r="CW141" i="3"/>
  <c r="CV141" i="3"/>
  <c r="CU141" i="3"/>
  <c r="CT141" i="3"/>
  <c r="CS141" i="3"/>
  <c r="CR141" i="3"/>
  <c r="CQ141" i="3"/>
  <c r="CP141" i="3"/>
  <c r="CO141" i="3"/>
  <c r="CN141" i="3"/>
  <c r="CM141" i="3"/>
  <c r="CL141" i="3"/>
  <c r="A141" i="3"/>
  <c r="FQ140" i="3"/>
  <c r="FP140" i="3"/>
  <c r="FO140" i="3"/>
  <c r="FN140" i="3"/>
  <c r="FM140" i="3"/>
  <c r="FL140" i="3"/>
  <c r="FK140" i="3"/>
  <c r="FJ140" i="3"/>
  <c r="FI140" i="3"/>
  <c r="FH140" i="3"/>
  <c r="FG140" i="3"/>
  <c r="FF140" i="3"/>
  <c r="FE140" i="3"/>
  <c r="FD140" i="3"/>
  <c r="FC140" i="3"/>
  <c r="FB140" i="3"/>
  <c r="FA140" i="3"/>
  <c r="EZ140" i="3"/>
  <c r="EY140" i="3"/>
  <c r="EX140" i="3"/>
  <c r="EW140" i="3"/>
  <c r="EV140" i="3"/>
  <c r="EU140" i="3"/>
  <c r="ET140" i="3"/>
  <c r="ES140" i="3"/>
  <c r="ER140" i="3"/>
  <c r="EQ140" i="3"/>
  <c r="EP140" i="3"/>
  <c r="EO140" i="3"/>
  <c r="EN140" i="3"/>
  <c r="EM140" i="3"/>
  <c r="EL140" i="3"/>
  <c r="EK140" i="3"/>
  <c r="EJ140" i="3"/>
  <c r="EI140" i="3"/>
  <c r="EH140" i="3"/>
  <c r="EG140" i="3"/>
  <c r="EF140" i="3"/>
  <c r="EE140" i="3"/>
  <c r="ED140" i="3"/>
  <c r="EC140" i="3"/>
  <c r="EB140" i="3"/>
  <c r="EA140" i="3"/>
  <c r="DZ140" i="3"/>
  <c r="DY140" i="3"/>
  <c r="DX140" i="3"/>
  <c r="DW140" i="3"/>
  <c r="DV140" i="3"/>
  <c r="DU140" i="3"/>
  <c r="DT140" i="3"/>
  <c r="DS140" i="3"/>
  <c r="DR140" i="3"/>
  <c r="DQ140" i="3"/>
  <c r="DP140" i="3"/>
  <c r="DO140" i="3"/>
  <c r="DN140" i="3"/>
  <c r="DM140" i="3"/>
  <c r="DL140" i="3"/>
  <c r="DK140" i="3"/>
  <c r="DJ140" i="3"/>
  <c r="DI140" i="3"/>
  <c r="DH140" i="3"/>
  <c r="DG140" i="3"/>
  <c r="DF140" i="3"/>
  <c r="DE140" i="3"/>
  <c r="DD140" i="3"/>
  <c r="DC140" i="3"/>
  <c r="DB140" i="3"/>
  <c r="DA140" i="3"/>
  <c r="CZ140" i="3"/>
  <c r="CY140" i="3"/>
  <c r="CX140" i="3"/>
  <c r="CW140" i="3"/>
  <c r="CV140" i="3"/>
  <c r="CU140" i="3"/>
  <c r="CT140" i="3"/>
  <c r="CS140" i="3"/>
  <c r="CR140" i="3"/>
  <c r="CQ140" i="3"/>
  <c r="CP140" i="3"/>
  <c r="CO140" i="3"/>
  <c r="CN140" i="3"/>
  <c r="CM140" i="3"/>
  <c r="CL140" i="3"/>
  <c r="A140" i="3"/>
  <c r="FQ139" i="3"/>
  <c r="FP139" i="3"/>
  <c r="FO139" i="3"/>
  <c r="FN139" i="3"/>
  <c r="FM139" i="3"/>
  <c r="FL139" i="3"/>
  <c r="FK139" i="3"/>
  <c r="FJ139" i="3"/>
  <c r="FI139" i="3"/>
  <c r="FH139" i="3"/>
  <c r="FG139" i="3"/>
  <c r="FF139" i="3"/>
  <c r="FE139" i="3"/>
  <c r="FD139" i="3"/>
  <c r="FC139" i="3"/>
  <c r="FB139" i="3"/>
  <c r="FA139" i="3"/>
  <c r="EZ139" i="3"/>
  <c r="EY139" i="3"/>
  <c r="EX139" i="3"/>
  <c r="EW139" i="3"/>
  <c r="EV139" i="3"/>
  <c r="EU139" i="3"/>
  <c r="ET139" i="3"/>
  <c r="ES139" i="3"/>
  <c r="ER139" i="3"/>
  <c r="EQ139" i="3"/>
  <c r="EP139" i="3"/>
  <c r="EO139" i="3"/>
  <c r="EN139" i="3"/>
  <c r="EM139" i="3"/>
  <c r="EL139" i="3"/>
  <c r="EK139" i="3"/>
  <c r="EJ139" i="3"/>
  <c r="EI139" i="3"/>
  <c r="EH139" i="3"/>
  <c r="EG139" i="3"/>
  <c r="EF139" i="3"/>
  <c r="EE139" i="3"/>
  <c r="ED139" i="3"/>
  <c r="EC139" i="3"/>
  <c r="EB139" i="3"/>
  <c r="EA139" i="3"/>
  <c r="DZ139" i="3"/>
  <c r="DY139" i="3"/>
  <c r="DX139" i="3"/>
  <c r="DW139" i="3"/>
  <c r="DV139" i="3"/>
  <c r="DU139" i="3"/>
  <c r="DT139" i="3"/>
  <c r="DS139" i="3"/>
  <c r="DR139" i="3"/>
  <c r="DQ139" i="3"/>
  <c r="DP139" i="3"/>
  <c r="DO139" i="3"/>
  <c r="DN139" i="3"/>
  <c r="DM139" i="3"/>
  <c r="DL139" i="3"/>
  <c r="DK139" i="3"/>
  <c r="DJ139" i="3"/>
  <c r="DI139" i="3"/>
  <c r="DH139" i="3"/>
  <c r="DG139" i="3"/>
  <c r="DF139" i="3"/>
  <c r="DE139" i="3"/>
  <c r="DD139" i="3"/>
  <c r="DC139" i="3"/>
  <c r="DB139" i="3"/>
  <c r="DA139" i="3"/>
  <c r="CZ139" i="3"/>
  <c r="CY139" i="3"/>
  <c r="CX139" i="3"/>
  <c r="CW139" i="3"/>
  <c r="CV139" i="3"/>
  <c r="CU139" i="3"/>
  <c r="CT139" i="3"/>
  <c r="CS139" i="3"/>
  <c r="CR139" i="3"/>
  <c r="CQ139" i="3"/>
  <c r="CP139" i="3"/>
  <c r="CO139" i="3"/>
  <c r="CN139" i="3"/>
  <c r="CM139" i="3"/>
  <c r="CL139" i="3"/>
  <c r="A139" i="3"/>
  <c r="FQ138" i="3"/>
  <c r="FP138" i="3"/>
  <c r="FO138" i="3"/>
  <c r="FN138" i="3"/>
  <c r="FM138" i="3"/>
  <c r="FL138" i="3"/>
  <c r="FK138" i="3"/>
  <c r="FJ138" i="3"/>
  <c r="FI138" i="3"/>
  <c r="FH138" i="3"/>
  <c r="FG138" i="3"/>
  <c r="FF138" i="3"/>
  <c r="FE138" i="3"/>
  <c r="FD138" i="3"/>
  <c r="FC138" i="3"/>
  <c r="FB138" i="3"/>
  <c r="FA138" i="3"/>
  <c r="EZ138" i="3"/>
  <c r="EY138" i="3"/>
  <c r="EX138" i="3"/>
  <c r="EW138" i="3"/>
  <c r="EV138" i="3"/>
  <c r="EU138" i="3"/>
  <c r="ET138" i="3"/>
  <c r="ES138" i="3"/>
  <c r="ER138" i="3"/>
  <c r="EQ138" i="3"/>
  <c r="EP138" i="3"/>
  <c r="EO138" i="3"/>
  <c r="EN138" i="3"/>
  <c r="EM138" i="3"/>
  <c r="EL138" i="3"/>
  <c r="EK138" i="3"/>
  <c r="EJ138" i="3"/>
  <c r="EI138" i="3"/>
  <c r="EH138" i="3"/>
  <c r="EG138" i="3"/>
  <c r="EF138" i="3"/>
  <c r="EE138" i="3"/>
  <c r="ED138" i="3"/>
  <c r="EC138" i="3"/>
  <c r="EB138" i="3"/>
  <c r="EA138" i="3"/>
  <c r="DZ138" i="3"/>
  <c r="DY138" i="3"/>
  <c r="DX138" i="3"/>
  <c r="DW138" i="3"/>
  <c r="DV138" i="3"/>
  <c r="DU138" i="3"/>
  <c r="DT138" i="3"/>
  <c r="DS138" i="3"/>
  <c r="DR138" i="3"/>
  <c r="DQ138" i="3"/>
  <c r="DP138" i="3"/>
  <c r="DO138" i="3"/>
  <c r="DN138" i="3"/>
  <c r="DM138" i="3"/>
  <c r="DL138" i="3"/>
  <c r="DK138" i="3"/>
  <c r="DJ138" i="3"/>
  <c r="DI138" i="3"/>
  <c r="DH138" i="3"/>
  <c r="DG138" i="3"/>
  <c r="DF138" i="3"/>
  <c r="DE138" i="3"/>
  <c r="DD138" i="3"/>
  <c r="DC138" i="3"/>
  <c r="DB138" i="3"/>
  <c r="DA138" i="3"/>
  <c r="CZ138" i="3"/>
  <c r="CY138" i="3"/>
  <c r="CX138" i="3"/>
  <c r="CW138" i="3"/>
  <c r="CV138" i="3"/>
  <c r="CU138" i="3"/>
  <c r="CT138" i="3"/>
  <c r="CS138" i="3"/>
  <c r="CR138" i="3"/>
  <c r="CQ138" i="3"/>
  <c r="CP138" i="3"/>
  <c r="CO138" i="3"/>
  <c r="CN138" i="3"/>
  <c r="CM138" i="3"/>
  <c r="CL138" i="3"/>
  <c r="A138" i="3"/>
  <c r="FQ137" i="3"/>
  <c r="FP137" i="3"/>
  <c r="FO137" i="3"/>
  <c r="FN137" i="3"/>
  <c r="FM137" i="3"/>
  <c r="FL137" i="3"/>
  <c r="FK137" i="3"/>
  <c r="FJ137" i="3"/>
  <c r="FI137" i="3"/>
  <c r="FH137" i="3"/>
  <c r="FG137" i="3"/>
  <c r="FF137" i="3"/>
  <c r="FE137" i="3"/>
  <c r="FD137" i="3"/>
  <c r="FC137" i="3"/>
  <c r="FB137" i="3"/>
  <c r="FA137" i="3"/>
  <c r="EZ137" i="3"/>
  <c r="EY137" i="3"/>
  <c r="EX137" i="3"/>
  <c r="EW137" i="3"/>
  <c r="EV137" i="3"/>
  <c r="EU137" i="3"/>
  <c r="ET137" i="3"/>
  <c r="ES137" i="3"/>
  <c r="ER137" i="3"/>
  <c r="EQ137" i="3"/>
  <c r="EP137" i="3"/>
  <c r="EO137" i="3"/>
  <c r="EN137" i="3"/>
  <c r="EM137" i="3"/>
  <c r="EL137" i="3"/>
  <c r="EK137" i="3"/>
  <c r="EJ137" i="3"/>
  <c r="EI137" i="3"/>
  <c r="EH137" i="3"/>
  <c r="EG137" i="3"/>
  <c r="EF137" i="3"/>
  <c r="EE137" i="3"/>
  <c r="ED137" i="3"/>
  <c r="EC137" i="3"/>
  <c r="EB137" i="3"/>
  <c r="EA137" i="3"/>
  <c r="DZ137" i="3"/>
  <c r="DY137" i="3"/>
  <c r="DX137" i="3"/>
  <c r="DW137" i="3"/>
  <c r="DV137" i="3"/>
  <c r="DU137" i="3"/>
  <c r="DT137" i="3"/>
  <c r="DS137" i="3"/>
  <c r="DR137" i="3"/>
  <c r="DQ137" i="3"/>
  <c r="DP137" i="3"/>
  <c r="DO137" i="3"/>
  <c r="DN137" i="3"/>
  <c r="DM137" i="3"/>
  <c r="DL137" i="3"/>
  <c r="DK137" i="3"/>
  <c r="DJ137" i="3"/>
  <c r="DI137" i="3"/>
  <c r="DH137" i="3"/>
  <c r="DG137" i="3"/>
  <c r="DF137" i="3"/>
  <c r="DE137" i="3"/>
  <c r="DD137" i="3"/>
  <c r="DC137" i="3"/>
  <c r="DB137" i="3"/>
  <c r="DA137" i="3"/>
  <c r="CZ137" i="3"/>
  <c r="CY137" i="3"/>
  <c r="CX137" i="3"/>
  <c r="CW137" i="3"/>
  <c r="CV137" i="3"/>
  <c r="CU137" i="3"/>
  <c r="CT137" i="3"/>
  <c r="CS137" i="3"/>
  <c r="CR137" i="3"/>
  <c r="CQ137" i="3"/>
  <c r="CP137" i="3"/>
  <c r="CO137" i="3"/>
  <c r="CN137" i="3"/>
  <c r="CM137" i="3"/>
  <c r="CL137" i="3"/>
  <c r="A137" i="3"/>
  <c r="FQ136" i="3"/>
  <c r="FP136" i="3"/>
  <c r="FO136" i="3"/>
  <c r="FN136" i="3"/>
  <c r="FM136" i="3"/>
  <c r="FL136" i="3"/>
  <c r="FK136" i="3"/>
  <c r="FJ136" i="3"/>
  <c r="FI136" i="3"/>
  <c r="FH136" i="3"/>
  <c r="FG136" i="3"/>
  <c r="FF136" i="3"/>
  <c r="FE136" i="3"/>
  <c r="FD136" i="3"/>
  <c r="FC136" i="3"/>
  <c r="FB136" i="3"/>
  <c r="FA136" i="3"/>
  <c r="EZ136" i="3"/>
  <c r="EY136" i="3"/>
  <c r="EX136" i="3"/>
  <c r="EW136" i="3"/>
  <c r="EV136" i="3"/>
  <c r="EU136" i="3"/>
  <c r="ET136" i="3"/>
  <c r="ES136" i="3"/>
  <c r="ER136" i="3"/>
  <c r="EQ136" i="3"/>
  <c r="EP136" i="3"/>
  <c r="EO136" i="3"/>
  <c r="EN136" i="3"/>
  <c r="EM136" i="3"/>
  <c r="EL136" i="3"/>
  <c r="EK136" i="3"/>
  <c r="EJ136" i="3"/>
  <c r="EI136" i="3"/>
  <c r="EH136" i="3"/>
  <c r="EG136" i="3"/>
  <c r="EF136" i="3"/>
  <c r="EE136" i="3"/>
  <c r="ED136" i="3"/>
  <c r="EC136" i="3"/>
  <c r="EB136" i="3"/>
  <c r="EA136" i="3"/>
  <c r="DZ136" i="3"/>
  <c r="DY136" i="3"/>
  <c r="DX136" i="3"/>
  <c r="DW136" i="3"/>
  <c r="DV136" i="3"/>
  <c r="DU136" i="3"/>
  <c r="DT136" i="3"/>
  <c r="DS136" i="3"/>
  <c r="DR136" i="3"/>
  <c r="DQ136" i="3"/>
  <c r="DP136" i="3"/>
  <c r="DO136" i="3"/>
  <c r="DN136" i="3"/>
  <c r="DM136" i="3"/>
  <c r="DL136" i="3"/>
  <c r="DK136" i="3"/>
  <c r="DJ136" i="3"/>
  <c r="DI136" i="3"/>
  <c r="DH136" i="3"/>
  <c r="DG136" i="3"/>
  <c r="DF136" i="3"/>
  <c r="DE136" i="3"/>
  <c r="DD136" i="3"/>
  <c r="DC136" i="3"/>
  <c r="DB136" i="3"/>
  <c r="DA136" i="3"/>
  <c r="CZ136" i="3"/>
  <c r="CY136" i="3"/>
  <c r="CX136" i="3"/>
  <c r="CW136" i="3"/>
  <c r="CV136" i="3"/>
  <c r="CU136" i="3"/>
  <c r="CT136" i="3"/>
  <c r="CS136" i="3"/>
  <c r="CR136" i="3"/>
  <c r="CQ136" i="3"/>
  <c r="CP136" i="3"/>
  <c r="CO136" i="3"/>
  <c r="CN136" i="3"/>
  <c r="CM136" i="3"/>
  <c r="CL136" i="3"/>
  <c r="A136" i="3"/>
  <c r="FQ135" i="3"/>
  <c r="FP135" i="3"/>
  <c r="FO135" i="3"/>
  <c r="FN135" i="3"/>
  <c r="FM135" i="3"/>
  <c r="FL135" i="3"/>
  <c r="FK135" i="3"/>
  <c r="FJ135" i="3"/>
  <c r="FI135" i="3"/>
  <c r="FH135" i="3"/>
  <c r="FG135" i="3"/>
  <c r="FF135" i="3"/>
  <c r="FE135" i="3"/>
  <c r="FD135" i="3"/>
  <c r="FC135" i="3"/>
  <c r="FB135" i="3"/>
  <c r="FA135" i="3"/>
  <c r="EZ135" i="3"/>
  <c r="EY135" i="3"/>
  <c r="EX135" i="3"/>
  <c r="EW135" i="3"/>
  <c r="EV135" i="3"/>
  <c r="EU135" i="3"/>
  <c r="ET135" i="3"/>
  <c r="ES135" i="3"/>
  <c r="ER135" i="3"/>
  <c r="EQ135" i="3"/>
  <c r="EP135" i="3"/>
  <c r="EO135" i="3"/>
  <c r="EN135" i="3"/>
  <c r="EM135" i="3"/>
  <c r="EL135" i="3"/>
  <c r="EK135" i="3"/>
  <c r="EJ135" i="3"/>
  <c r="EI135" i="3"/>
  <c r="EH135" i="3"/>
  <c r="EG135" i="3"/>
  <c r="EF135" i="3"/>
  <c r="EE135" i="3"/>
  <c r="ED135" i="3"/>
  <c r="EC135" i="3"/>
  <c r="EB135" i="3"/>
  <c r="EA135" i="3"/>
  <c r="DZ135" i="3"/>
  <c r="DY135" i="3"/>
  <c r="DX135" i="3"/>
  <c r="DW135" i="3"/>
  <c r="DV135" i="3"/>
  <c r="DU135" i="3"/>
  <c r="DT135" i="3"/>
  <c r="DS135" i="3"/>
  <c r="DR135" i="3"/>
  <c r="DQ135" i="3"/>
  <c r="DP135" i="3"/>
  <c r="DO135" i="3"/>
  <c r="DN135" i="3"/>
  <c r="DM135" i="3"/>
  <c r="DL135" i="3"/>
  <c r="DK135" i="3"/>
  <c r="DJ135" i="3"/>
  <c r="DI135" i="3"/>
  <c r="DH135" i="3"/>
  <c r="DG135" i="3"/>
  <c r="DF135" i="3"/>
  <c r="DE135" i="3"/>
  <c r="DD135" i="3"/>
  <c r="DC135" i="3"/>
  <c r="DB135" i="3"/>
  <c r="DA135" i="3"/>
  <c r="CZ135" i="3"/>
  <c r="CY135" i="3"/>
  <c r="CX135" i="3"/>
  <c r="CW135" i="3"/>
  <c r="CV135" i="3"/>
  <c r="CU135" i="3"/>
  <c r="CT135" i="3"/>
  <c r="CS135" i="3"/>
  <c r="CR135" i="3"/>
  <c r="CQ135" i="3"/>
  <c r="CP135" i="3"/>
  <c r="CO135" i="3"/>
  <c r="CN135" i="3"/>
  <c r="CM135" i="3"/>
  <c r="CL135" i="3"/>
  <c r="A135" i="3"/>
  <c r="FQ134" i="3"/>
  <c r="FP134" i="3"/>
  <c r="FO134" i="3"/>
  <c r="FN134" i="3"/>
  <c r="FM134" i="3"/>
  <c r="FL134" i="3"/>
  <c r="FK134" i="3"/>
  <c r="FJ134" i="3"/>
  <c r="FI134" i="3"/>
  <c r="FH134" i="3"/>
  <c r="FG134" i="3"/>
  <c r="FF134" i="3"/>
  <c r="FE134" i="3"/>
  <c r="FD134" i="3"/>
  <c r="FC134" i="3"/>
  <c r="FB134" i="3"/>
  <c r="FA134" i="3"/>
  <c r="EZ134" i="3"/>
  <c r="EY134" i="3"/>
  <c r="EX134" i="3"/>
  <c r="EW134" i="3"/>
  <c r="EV134" i="3"/>
  <c r="EU134" i="3"/>
  <c r="ET134" i="3"/>
  <c r="ES134" i="3"/>
  <c r="ER134" i="3"/>
  <c r="EQ134" i="3"/>
  <c r="EP134" i="3"/>
  <c r="EO134" i="3"/>
  <c r="EN134" i="3"/>
  <c r="EM134" i="3"/>
  <c r="EL134" i="3"/>
  <c r="EK134" i="3"/>
  <c r="EJ134" i="3"/>
  <c r="EI134" i="3"/>
  <c r="EH134" i="3"/>
  <c r="EG134" i="3"/>
  <c r="EF134" i="3"/>
  <c r="EE134" i="3"/>
  <c r="ED134" i="3"/>
  <c r="EC134" i="3"/>
  <c r="EB134" i="3"/>
  <c r="EA134" i="3"/>
  <c r="DZ134" i="3"/>
  <c r="DY134" i="3"/>
  <c r="DX134" i="3"/>
  <c r="DW134" i="3"/>
  <c r="DV134" i="3"/>
  <c r="DU134" i="3"/>
  <c r="DT134" i="3"/>
  <c r="DS134" i="3"/>
  <c r="DR134" i="3"/>
  <c r="DQ134" i="3"/>
  <c r="DP134" i="3"/>
  <c r="DO134" i="3"/>
  <c r="DN134" i="3"/>
  <c r="DM134" i="3"/>
  <c r="DL134" i="3"/>
  <c r="DK134" i="3"/>
  <c r="DJ134" i="3"/>
  <c r="DI134" i="3"/>
  <c r="DH134" i="3"/>
  <c r="DG134" i="3"/>
  <c r="DF134" i="3"/>
  <c r="DE134" i="3"/>
  <c r="DD134" i="3"/>
  <c r="DC134" i="3"/>
  <c r="DB134" i="3"/>
  <c r="DA134" i="3"/>
  <c r="CZ134" i="3"/>
  <c r="CY134" i="3"/>
  <c r="CX134" i="3"/>
  <c r="CW134" i="3"/>
  <c r="CV134" i="3"/>
  <c r="CU134" i="3"/>
  <c r="CT134" i="3"/>
  <c r="CS134" i="3"/>
  <c r="CR134" i="3"/>
  <c r="CQ134" i="3"/>
  <c r="CP134" i="3"/>
  <c r="CO134" i="3"/>
  <c r="CN134" i="3"/>
  <c r="CM134" i="3"/>
  <c r="CL134" i="3"/>
  <c r="A134" i="3"/>
  <c r="FQ133" i="3"/>
  <c r="FP133" i="3"/>
  <c r="FO133" i="3"/>
  <c r="FN133" i="3"/>
  <c r="FM133" i="3"/>
  <c r="FL133" i="3"/>
  <c r="FK133" i="3"/>
  <c r="FJ133" i="3"/>
  <c r="FI133" i="3"/>
  <c r="FH133" i="3"/>
  <c r="FG133" i="3"/>
  <c r="FF133" i="3"/>
  <c r="FE133" i="3"/>
  <c r="FD133" i="3"/>
  <c r="FC133" i="3"/>
  <c r="FB133" i="3"/>
  <c r="FA133" i="3"/>
  <c r="EZ133" i="3"/>
  <c r="EY133" i="3"/>
  <c r="EX133" i="3"/>
  <c r="EW133" i="3"/>
  <c r="EV133" i="3"/>
  <c r="EU133" i="3"/>
  <c r="ET133" i="3"/>
  <c r="ES133" i="3"/>
  <c r="ER133" i="3"/>
  <c r="EQ133" i="3"/>
  <c r="EP133" i="3"/>
  <c r="EO133" i="3"/>
  <c r="EN133" i="3"/>
  <c r="EM133" i="3"/>
  <c r="EL133" i="3"/>
  <c r="EK133" i="3"/>
  <c r="EJ133" i="3"/>
  <c r="EI133" i="3"/>
  <c r="EH133" i="3"/>
  <c r="EG133" i="3"/>
  <c r="EF133" i="3"/>
  <c r="EE133" i="3"/>
  <c r="ED133" i="3"/>
  <c r="EC133" i="3"/>
  <c r="EB133" i="3"/>
  <c r="EA133" i="3"/>
  <c r="DZ133" i="3"/>
  <c r="DY133" i="3"/>
  <c r="DX133" i="3"/>
  <c r="DW133" i="3"/>
  <c r="DV133" i="3"/>
  <c r="DU133" i="3"/>
  <c r="DT133" i="3"/>
  <c r="DS133" i="3"/>
  <c r="DR133" i="3"/>
  <c r="DQ133" i="3"/>
  <c r="DP133" i="3"/>
  <c r="DO133" i="3"/>
  <c r="DN133" i="3"/>
  <c r="DM133" i="3"/>
  <c r="DL133" i="3"/>
  <c r="DK133" i="3"/>
  <c r="DJ133" i="3"/>
  <c r="DI133" i="3"/>
  <c r="DH133" i="3"/>
  <c r="DG133" i="3"/>
  <c r="DF133" i="3"/>
  <c r="DE133" i="3"/>
  <c r="DD133" i="3"/>
  <c r="DC133" i="3"/>
  <c r="DB133" i="3"/>
  <c r="DA133" i="3"/>
  <c r="CZ133" i="3"/>
  <c r="CY133" i="3"/>
  <c r="CX133" i="3"/>
  <c r="CW133" i="3"/>
  <c r="CV133" i="3"/>
  <c r="CU133" i="3"/>
  <c r="CT133" i="3"/>
  <c r="CS133" i="3"/>
  <c r="CR133" i="3"/>
  <c r="CQ133" i="3"/>
  <c r="CP133" i="3"/>
  <c r="CO133" i="3"/>
  <c r="CN133" i="3"/>
  <c r="CM133" i="3"/>
  <c r="CL133" i="3"/>
  <c r="A133" i="3"/>
  <c r="FQ132" i="3"/>
  <c r="FP132" i="3"/>
  <c r="FO132" i="3"/>
  <c r="FN132" i="3"/>
  <c r="FM132" i="3"/>
  <c r="FL132" i="3"/>
  <c r="FK132" i="3"/>
  <c r="FJ132" i="3"/>
  <c r="FI132" i="3"/>
  <c r="FH132" i="3"/>
  <c r="FG132" i="3"/>
  <c r="FF132" i="3"/>
  <c r="FE132" i="3"/>
  <c r="FD132" i="3"/>
  <c r="FC132" i="3"/>
  <c r="FB132" i="3"/>
  <c r="FA132" i="3"/>
  <c r="EZ132" i="3"/>
  <c r="EY132" i="3"/>
  <c r="EX132" i="3"/>
  <c r="EW132" i="3"/>
  <c r="EV132" i="3"/>
  <c r="EU132" i="3"/>
  <c r="ET132" i="3"/>
  <c r="ES132" i="3"/>
  <c r="ER132" i="3"/>
  <c r="EQ132" i="3"/>
  <c r="EP132" i="3"/>
  <c r="EO132" i="3"/>
  <c r="EN132" i="3"/>
  <c r="EM132" i="3"/>
  <c r="EL132" i="3"/>
  <c r="EK132" i="3"/>
  <c r="EJ132" i="3"/>
  <c r="EI132" i="3"/>
  <c r="EH132" i="3"/>
  <c r="EG132" i="3"/>
  <c r="EF132" i="3"/>
  <c r="EE132" i="3"/>
  <c r="ED132" i="3"/>
  <c r="EC132" i="3"/>
  <c r="EB132" i="3"/>
  <c r="EA132" i="3"/>
  <c r="DZ132" i="3"/>
  <c r="DY132" i="3"/>
  <c r="DX132" i="3"/>
  <c r="DW132" i="3"/>
  <c r="DV132" i="3"/>
  <c r="DU132" i="3"/>
  <c r="DT132" i="3"/>
  <c r="DS132" i="3"/>
  <c r="DR132" i="3"/>
  <c r="DQ132" i="3"/>
  <c r="DP132" i="3"/>
  <c r="DO132" i="3"/>
  <c r="DN132" i="3"/>
  <c r="DM132" i="3"/>
  <c r="DL132" i="3"/>
  <c r="DK132" i="3"/>
  <c r="DJ132" i="3"/>
  <c r="DI132" i="3"/>
  <c r="DH132" i="3"/>
  <c r="DG132" i="3"/>
  <c r="DF132" i="3"/>
  <c r="DE132" i="3"/>
  <c r="DD132" i="3"/>
  <c r="DC132" i="3"/>
  <c r="DB132" i="3"/>
  <c r="DA132" i="3"/>
  <c r="CZ132" i="3"/>
  <c r="CY132" i="3"/>
  <c r="CX132" i="3"/>
  <c r="CW132" i="3"/>
  <c r="CV132" i="3"/>
  <c r="CU132" i="3"/>
  <c r="CT132" i="3"/>
  <c r="CS132" i="3"/>
  <c r="CR132" i="3"/>
  <c r="CQ132" i="3"/>
  <c r="CP132" i="3"/>
  <c r="CO132" i="3"/>
  <c r="CN132" i="3"/>
  <c r="CM132" i="3"/>
  <c r="CL132" i="3"/>
  <c r="A132" i="3"/>
  <c r="FQ131" i="3"/>
  <c r="FP131" i="3"/>
  <c r="FO131" i="3"/>
  <c r="FN131" i="3"/>
  <c r="FM131" i="3"/>
  <c r="FL131" i="3"/>
  <c r="FK131" i="3"/>
  <c r="FJ131" i="3"/>
  <c r="FI131" i="3"/>
  <c r="FH131" i="3"/>
  <c r="FG131" i="3"/>
  <c r="FF131" i="3"/>
  <c r="FE131" i="3"/>
  <c r="FD131" i="3"/>
  <c r="FC131" i="3"/>
  <c r="FB131" i="3"/>
  <c r="FA131" i="3"/>
  <c r="EZ131" i="3"/>
  <c r="EY131" i="3"/>
  <c r="EX131" i="3"/>
  <c r="EW131" i="3"/>
  <c r="EV131" i="3"/>
  <c r="EU131" i="3"/>
  <c r="ET131" i="3"/>
  <c r="ES131" i="3"/>
  <c r="ER131" i="3"/>
  <c r="EQ131" i="3"/>
  <c r="EP131" i="3"/>
  <c r="EO131" i="3"/>
  <c r="EN131" i="3"/>
  <c r="EM131" i="3"/>
  <c r="EL131" i="3"/>
  <c r="EK131" i="3"/>
  <c r="EJ131" i="3"/>
  <c r="EI131" i="3"/>
  <c r="EH131" i="3"/>
  <c r="EG131" i="3"/>
  <c r="EF131" i="3"/>
  <c r="EE131" i="3"/>
  <c r="ED131" i="3"/>
  <c r="EC131" i="3"/>
  <c r="EB131" i="3"/>
  <c r="EA131" i="3"/>
  <c r="DZ131" i="3"/>
  <c r="DY131" i="3"/>
  <c r="DX131" i="3"/>
  <c r="DW131" i="3"/>
  <c r="DV131" i="3"/>
  <c r="DU131" i="3"/>
  <c r="DT131" i="3"/>
  <c r="DS131" i="3"/>
  <c r="DR131" i="3"/>
  <c r="DQ131" i="3"/>
  <c r="DP131" i="3"/>
  <c r="DO131" i="3"/>
  <c r="DN131" i="3"/>
  <c r="DM131" i="3"/>
  <c r="DL131" i="3"/>
  <c r="DK131" i="3"/>
  <c r="DJ131" i="3"/>
  <c r="DI131" i="3"/>
  <c r="DH131" i="3"/>
  <c r="DG131" i="3"/>
  <c r="DF131" i="3"/>
  <c r="DE131" i="3"/>
  <c r="DD131" i="3"/>
  <c r="DC131" i="3"/>
  <c r="DB131" i="3"/>
  <c r="DA131" i="3"/>
  <c r="CZ131" i="3"/>
  <c r="CY131" i="3"/>
  <c r="CX131" i="3"/>
  <c r="CW131" i="3"/>
  <c r="CV131" i="3"/>
  <c r="CU131" i="3"/>
  <c r="CT131" i="3"/>
  <c r="CS131" i="3"/>
  <c r="CR131" i="3"/>
  <c r="CQ131" i="3"/>
  <c r="CP131" i="3"/>
  <c r="CO131" i="3"/>
  <c r="CN131" i="3"/>
  <c r="CM131" i="3"/>
  <c r="CL131" i="3"/>
  <c r="A131" i="3"/>
  <c r="FQ130" i="3"/>
  <c r="FP130" i="3"/>
  <c r="FO130" i="3"/>
  <c r="FN130" i="3"/>
  <c r="FM130" i="3"/>
  <c r="FL130" i="3"/>
  <c r="FK130" i="3"/>
  <c r="FJ130" i="3"/>
  <c r="FI130" i="3"/>
  <c r="FH130" i="3"/>
  <c r="FG130" i="3"/>
  <c r="FF130" i="3"/>
  <c r="FE130" i="3"/>
  <c r="FD130" i="3"/>
  <c r="FC130" i="3"/>
  <c r="FB130" i="3"/>
  <c r="FA130" i="3"/>
  <c r="EZ130" i="3"/>
  <c r="EY130" i="3"/>
  <c r="EX130" i="3"/>
  <c r="EW130" i="3"/>
  <c r="EV130" i="3"/>
  <c r="EU130" i="3"/>
  <c r="ET130" i="3"/>
  <c r="ES130" i="3"/>
  <c r="ER130" i="3"/>
  <c r="EQ130" i="3"/>
  <c r="EP130" i="3"/>
  <c r="EO130" i="3"/>
  <c r="EN130" i="3"/>
  <c r="EM130" i="3"/>
  <c r="EL130" i="3"/>
  <c r="EK130" i="3"/>
  <c r="EJ130" i="3"/>
  <c r="EI130" i="3"/>
  <c r="EH130" i="3"/>
  <c r="EG130" i="3"/>
  <c r="EF130" i="3"/>
  <c r="EE130" i="3"/>
  <c r="ED130" i="3"/>
  <c r="EC130" i="3"/>
  <c r="EB130" i="3"/>
  <c r="EA130" i="3"/>
  <c r="DZ130" i="3"/>
  <c r="DY130" i="3"/>
  <c r="DX130" i="3"/>
  <c r="DW130" i="3"/>
  <c r="DV130" i="3"/>
  <c r="DU130" i="3"/>
  <c r="DT130" i="3"/>
  <c r="DS130" i="3"/>
  <c r="DR130" i="3"/>
  <c r="DQ130" i="3"/>
  <c r="DP130" i="3"/>
  <c r="DO130" i="3"/>
  <c r="DN130" i="3"/>
  <c r="DM130" i="3"/>
  <c r="DL130" i="3"/>
  <c r="DK130" i="3"/>
  <c r="DJ130" i="3"/>
  <c r="DI130" i="3"/>
  <c r="DH130" i="3"/>
  <c r="DG130" i="3"/>
  <c r="DF130" i="3"/>
  <c r="DE130" i="3"/>
  <c r="DD130" i="3"/>
  <c r="DC130" i="3"/>
  <c r="DB130" i="3"/>
  <c r="DA130" i="3"/>
  <c r="CZ130" i="3"/>
  <c r="CY130" i="3"/>
  <c r="CX130" i="3"/>
  <c r="CW130" i="3"/>
  <c r="CV130" i="3"/>
  <c r="CU130" i="3"/>
  <c r="CT130" i="3"/>
  <c r="CS130" i="3"/>
  <c r="CR130" i="3"/>
  <c r="CQ130" i="3"/>
  <c r="CP130" i="3"/>
  <c r="CO130" i="3"/>
  <c r="CN130" i="3"/>
  <c r="CM130" i="3"/>
  <c r="CL130" i="3"/>
  <c r="A130" i="3"/>
  <c r="FQ129" i="3"/>
  <c r="FP129" i="3"/>
  <c r="FO129" i="3"/>
  <c r="FN129" i="3"/>
  <c r="FM129" i="3"/>
  <c r="FL129" i="3"/>
  <c r="FK129" i="3"/>
  <c r="FJ129" i="3"/>
  <c r="FI129" i="3"/>
  <c r="FH129" i="3"/>
  <c r="FG129" i="3"/>
  <c r="FF129" i="3"/>
  <c r="FE129" i="3"/>
  <c r="FD129" i="3"/>
  <c r="FC129" i="3"/>
  <c r="FB129" i="3"/>
  <c r="FA129" i="3"/>
  <c r="EZ129" i="3"/>
  <c r="EY129" i="3"/>
  <c r="EX129" i="3"/>
  <c r="EW129" i="3"/>
  <c r="EV129" i="3"/>
  <c r="EU129" i="3"/>
  <c r="ET129" i="3"/>
  <c r="ES129" i="3"/>
  <c r="ER129" i="3"/>
  <c r="EQ129" i="3"/>
  <c r="EP129" i="3"/>
  <c r="EO129" i="3"/>
  <c r="EN129" i="3"/>
  <c r="EM129" i="3"/>
  <c r="EL129" i="3"/>
  <c r="EK129" i="3"/>
  <c r="EJ129" i="3"/>
  <c r="EI129" i="3"/>
  <c r="EH129" i="3"/>
  <c r="EG129" i="3"/>
  <c r="EF129" i="3"/>
  <c r="EE129" i="3"/>
  <c r="ED129" i="3"/>
  <c r="EC129" i="3"/>
  <c r="EB129" i="3"/>
  <c r="EA129" i="3"/>
  <c r="DZ129" i="3"/>
  <c r="DY129" i="3"/>
  <c r="DX129" i="3"/>
  <c r="DW129" i="3"/>
  <c r="DV129" i="3"/>
  <c r="DU129" i="3"/>
  <c r="DT129" i="3"/>
  <c r="DS129" i="3"/>
  <c r="DR129" i="3"/>
  <c r="DQ129" i="3"/>
  <c r="DP129" i="3"/>
  <c r="DO129" i="3"/>
  <c r="DN129" i="3"/>
  <c r="DM129" i="3"/>
  <c r="DL129" i="3"/>
  <c r="DK129" i="3"/>
  <c r="DJ129" i="3"/>
  <c r="DI129" i="3"/>
  <c r="DH129" i="3"/>
  <c r="DG129" i="3"/>
  <c r="DF129" i="3"/>
  <c r="DE129" i="3"/>
  <c r="DD129" i="3"/>
  <c r="DC129" i="3"/>
  <c r="DB129" i="3"/>
  <c r="DA129" i="3"/>
  <c r="CZ129" i="3"/>
  <c r="CY129" i="3"/>
  <c r="CX129" i="3"/>
  <c r="CW129" i="3"/>
  <c r="CV129" i="3"/>
  <c r="CU129" i="3"/>
  <c r="CT129" i="3"/>
  <c r="CS129" i="3"/>
  <c r="CR129" i="3"/>
  <c r="CQ129" i="3"/>
  <c r="CP129" i="3"/>
  <c r="CO129" i="3"/>
  <c r="CN129" i="3"/>
  <c r="CM129" i="3"/>
  <c r="CL129" i="3"/>
  <c r="A129" i="3"/>
  <c r="FQ128" i="3"/>
  <c r="FP128" i="3"/>
  <c r="FO128" i="3"/>
  <c r="FN128" i="3"/>
  <c r="FM128" i="3"/>
  <c r="FL128" i="3"/>
  <c r="FK128" i="3"/>
  <c r="FJ128" i="3"/>
  <c r="FI128" i="3"/>
  <c r="FH128" i="3"/>
  <c r="FG128" i="3"/>
  <c r="FF128" i="3"/>
  <c r="FE128" i="3"/>
  <c r="FD128" i="3"/>
  <c r="FC128" i="3"/>
  <c r="FB128" i="3"/>
  <c r="FA128" i="3"/>
  <c r="EZ128" i="3"/>
  <c r="EY128" i="3"/>
  <c r="EX128" i="3"/>
  <c r="EW128" i="3"/>
  <c r="EV128" i="3"/>
  <c r="EU128" i="3"/>
  <c r="ET128" i="3"/>
  <c r="ES128" i="3"/>
  <c r="ER128" i="3"/>
  <c r="EQ128" i="3"/>
  <c r="EP128" i="3"/>
  <c r="EO128" i="3"/>
  <c r="EN128" i="3"/>
  <c r="EM128" i="3"/>
  <c r="EL128" i="3"/>
  <c r="EK128" i="3"/>
  <c r="EJ128" i="3"/>
  <c r="EI128" i="3"/>
  <c r="EH128" i="3"/>
  <c r="EG128" i="3"/>
  <c r="EF128" i="3"/>
  <c r="EE128" i="3"/>
  <c r="ED128" i="3"/>
  <c r="EC128" i="3"/>
  <c r="EB128" i="3"/>
  <c r="EA128" i="3"/>
  <c r="DZ128" i="3"/>
  <c r="DY128" i="3"/>
  <c r="DX128" i="3"/>
  <c r="DW128" i="3"/>
  <c r="DV128" i="3"/>
  <c r="DU128" i="3"/>
  <c r="DT128" i="3"/>
  <c r="DS128" i="3"/>
  <c r="DR128" i="3"/>
  <c r="DQ128" i="3"/>
  <c r="DP128" i="3"/>
  <c r="DO128" i="3"/>
  <c r="DN128" i="3"/>
  <c r="DM128" i="3"/>
  <c r="DL128" i="3"/>
  <c r="DK128" i="3"/>
  <c r="DJ128" i="3"/>
  <c r="DI128" i="3"/>
  <c r="DH128" i="3"/>
  <c r="DG128" i="3"/>
  <c r="DF128" i="3"/>
  <c r="DE128" i="3"/>
  <c r="DD128" i="3"/>
  <c r="DC128" i="3"/>
  <c r="DB128" i="3"/>
  <c r="DA128" i="3"/>
  <c r="CZ128" i="3"/>
  <c r="CY128" i="3"/>
  <c r="CX128" i="3"/>
  <c r="CW128" i="3"/>
  <c r="CV128" i="3"/>
  <c r="CU128" i="3"/>
  <c r="CT128" i="3"/>
  <c r="CS128" i="3"/>
  <c r="CR128" i="3"/>
  <c r="CQ128" i="3"/>
  <c r="CP128" i="3"/>
  <c r="CO128" i="3"/>
  <c r="CN128" i="3"/>
  <c r="CM128" i="3"/>
  <c r="CL128" i="3"/>
  <c r="A128" i="3"/>
  <c r="FQ127" i="3"/>
  <c r="FP127" i="3"/>
  <c r="FO127" i="3"/>
  <c r="FN127" i="3"/>
  <c r="FM127" i="3"/>
  <c r="FL127" i="3"/>
  <c r="FK127" i="3"/>
  <c r="FJ127" i="3"/>
  <c r="FI127" i="3"/>
  <c r="FH127" i="3"/>
  <c r="FG127" i="3"/>
  <c r="FF127" i="3"/>
  <c r="FE127" i="3"/>
  <c r="FD127" i="3"/>
  <c r="FC127" i="3"/>
  <c r="FB127" i="3"/>
  <c r="FA127" i="3"/>
  <c r="EZ127" i="3"/>
  <c r="EY127" i="3"/>
  <c r="EX127" i="3"/>
  <c r="EW127" i="3"/>
  <c r="EV127" i="3"/>
  <c r="EU127" i="3"/>
  <c r="ET127" i="3"/>
  <c r="ES127" i="3"/>
  <c r="ER127" i="3"/>
  <c r="EQ127" i="3"/>
  <c r="EP127" i="3"/>
  <c r="EO127" i="3"/>
  <c r="EN127" i="3"/>
  <c r="EM127" i="3"/>
  <c r="EL127" i="3"/>
  <c r="EK127" i="3"/>
  <c r="EJ127" i="3"/>
  <c r="EI127" i="3"/>
  <c r="EH127" i="3"/>
  <c r="EG127" i="3"/>
  <c r="EF127" i="3"/>
  <c r="EE127" i="3"/>
  <c r="ED127" i="3"/>
  <c r="EC127" i="3"/>
  <c r="EB127" i="3"/>
  <c r="EA127" i="3"/>
  <c r="DZ127" i="3"/>
  <c r="DY127" i="3"/>
  <c r="DX127" i="3"/>
  <c r="DW127" i="3"/>
  <c r="DV127" i="3"/>
  <c r="DU127" i="3"/>
  <c r="DT127" i="3"/>
  <c r="DS127" i="3"/>
  <c r="DR127" i="3"/>
  <c r="DQ127" i="3"/>
  <c r="DP127" i="3"/>
  <c r="DO127" i="3"/>
  <c r="DN127" i="3"/>
  <c r="DM127" i="3"/>
  <c r="DL127" i="3"/>
  <c r="DK127" i="3"/>
  <c r="DJ127" i="3"/>
  <c r="DI127" i="3"/>
  <c r="DH127" i="3"/>
  <c r="DG127" i="3"/>
  <c r="DF127" i="3"/>
  <c r="DE127" i="3"/>
  <c r="DD127" i="3"/>
  <c r="DC127" i="3"/>
  <c r="DB127" i="3"/>
  <c r="DA127" i="3"/>
  <c r="CZ127" i="3"/>
  <c r="CY127" i="3"/>
  <c r="CX127" i="3"/>
  <c r="CW127" i="3"/>
  <c r="CV127" i="3"/>
  <c r="CU127" i="3"/>
  <c r="CT127" i="3"/>
  <c r="CS127" i="3"/>
  <c r="CR127" i="3"/>
  <c r="CQ127" i="3"/>
  <c r="CP127" i="3"/>
  <c r="CO127" i="3"/>
  <c r="CN127" i="3"/>
  <c r="CM127" i="3"/>
  <c r="CL127" i="3"/>
  <c r="A127" i="3"/>
  <c r="FQ126" i="3"/>
  <c r="FP126" i="3"/>
  <c r="FO126" i="3"/>
  <c r="FN126" i="3"/>
  <c r="FM126" i="3"/>
  <c r="FL126" i="3"/>
  <c r="FK126" i="3"/>
  <c r="FJ126" i="3"/>
  <c r="FI126" i="3"/>
  <c r="FH126" i="3"/>
  <c r="FG126" i="3"/>
  <c r="FF126" i="3"/>
  <c r="FE126" i="3"/>
  <c r="FD126" i="3"/>
  <c r="FC126" i="3"/>
  <c r="FB126" i="3"/>
  <c r="FA126" i="3"/>
  <c r="EZ126" i="3"/>
  <c r="EY126" i="3"/>
  <c r="EX126" i="3"/>
  <c r="EW126" i="3"/>
  <c r="EV126" i="3"/>
  <c r="EU126" i="3"/>
  <c r="ET126" i="3"/>
  <c r="ES126" i="3"/>
  <c r="ER126" i="3"/>
  <c r="EQ126" i="3"/>
  <c r="EP126" i="3"/>
  <c r="EO126" i="3"/>
  <c r="EN126" i="3"/>
  <c r="EM126" i="3"/>
  <c r="EL126" i="3"/>
  <c r="EK126" i="3"/>
  <c r="EJ126" i="3"/>
  <c r="EI126" i="3"/>
  <c r="EH126" i="3"/>
  <c r="EG126" i="3"/>
  <c r="EF126" i="3"/>
  <c r="EE126" i="3"/>
  <c r="ED126" i="3"/>
  <c r="EC126" i="3"/>
  <c r="EB126" i="3"/>
  <c r="EA126" i="3"/>
  <c r="DZ126" i="3"/>
  <c r="DY126" i="3"/>
  <c r="DX126" i="3"/>
  <c r="DW126" i="3"/>
  <c r="DV126" i="3"/>
  <c r="DU126" i="3"/>
  <c r="DT126" i="3"/>
  <c r="DS126" i="3"/>
  <c r="DR126" i="3"/>
  <c r="DQ126" i="3"/>
  <c r="DP126" i="3"/>
  <c r="DO126" i="3"/>
  <c r="DN126" i="3"/>
  <c r="DM126" i="3"/>
  <c r="DL126" i="3"/>
  <c r="DK126" i="3"/>
  <c r="DJ126" i="3"/>
  <c r="DI126" i="3"/>
  <c r="DH126" i="3"/>
  <c r="DG126" i="3"/>
  <c r="DF126" i="3"/>
  <c r="DE126" i="3"/>
  <c r="DD126" i="3"/>
  <c r="DC126" i="3"/>
  <c r="DB126" i="3"/>
  <c r="DA126" i="3"/>
  <c r="CZ126" i="3"/>
  <c r="CY126" i="3"/>
  <c r="CX126" i="3"/>
  <c r="CW126" i="3"/>
  <c r="CV126" i="3"/>
  <c r="CU126" i="3"/>
  <c r="CT126" i="3"/>
  <c r="CS126" i="3"/>
  <c r="CR126" i="3"/>
  <c r="CQ126" i="3"/>
  <c r="CP126" i="3"/>
  <c r="CO126" i="3"/>
  <c r="CN126" i="3"/>
  <c r="CM126" i="3"/>
  <c r="CL126" i="3"/>
  <c r="A126" i="3"/>
  <c r="FQ125" i="3"/>
  <c r="FP125" i="3"/>
  <c r="FO125" i="3"/>
  <c r="FN125" i="3"/>
  <c r="FM125" i="3"/>
  <c r="FL125" i="3"/>
  <c r="FK125" i="3"/>
  <c r="FJ125" i="3"/>
  <c r="FI125" i="3"/>
  <c r="FH125" i="3"/>
  <c r="FG125" i="3"/>
  <c r="FF125" i="3"/>
  <c r="FE125" i="3"/>
  <c r="FD125" i="3"/>
  <c r="FC125" i="3"/>
  <c r="FB125" i="3"/>
  <c r="FA125" i="3"/>
  <c r="EZ125" i="3"/>
  <c r="EY125" i="3"/>
  <c r="EX125" i="3"/>
  <c r="EW125" i="3"/>
  <c r="EV125" i="3"/>
  <c r="EU125" i="3"/>
  <c r="ET125" i="3"/>
  <c r="ES125" i="3"/>
  <c r="ER125" i="3"/>
  <c r="EQ125" i="3"/>
  <c r="EP125" i="3"/>
  <c r="EO125" i="3"/>
  <c r="EN125" i="3"/>
  <c r="EM125" i="3"/>
  <c r="EL125" i="3"/>
  <c r="EK125" i="3"/>
  <c r="EJ125" i="3"/>
  <c r="EI125" i="3"/>
  <c r="EH125" i="3"/>
  <c r="EG125" i="3"/>
  <c r="EF125" i="3"/>
  <c r="EE125" i="3"/>
  <c r="ED125" i="3"/>
  <c r="EC125" i="3"/>
  <c r="EB125" i="3"/>
  <c r="EA125" i="3"/>
  <c r="DZ125" i="3"/>
  <c r="DY125" i="3"/>
  <c r="DX125" i="3"/>
  <c r="DW125" i="3"/>
  <c r="DV125" i="3"/>
  <c r="DU125" i="3"/>
  <c r="DT125" i="3"/>
  <c r="DS125" i="3"/>
  <c r="DR125" i="3"/>
  <c r="DQ125" i="3"/>
  <c r="DP125" i="3"/>
  <c r="DO125" i="3"/>
  <c r="DN125" i="3"/>
  <c r="DM125" i="3"/>
  <c r="DL125" i="3"/>
  <c r="DK125" i="3"/>
  <c r="DJ125" i="3"/>
  <c r="DI125" i="3"/>
  <c r="DH125" i="3"/>
  <c r="DG125" i="3"/>
  <c r="DF125" i="3"/>
  <c r="DE125" i="3"/>
  <c r="DD125" i="3"/>
  <c r="DC125" i="3"/>
  <c r="DB125" i="3"/>
  <c r="DA125" i="3"/>
  <c r="CZ125" i="3"/>
  <c r="CY125" i="3"/>
  <c r="CX125" i="3"/>
  <c r="CW125" i="3"/>
  <c r="CV125" i="3"/>
  <c r="CU125" i="3"/>
  <c r="CT125" i="3"/>
  <c r="CS125" i="3"/>
  <c r="CR125" i="3"/>
  <c r="CQ125" i="3"/>
  <c r="CP125" i="3"/>
  <c r="CO125" i="3"/>
  <c r="CN125" i="3"/>
  <c r="CM125" i="3"/>
  <c r="CL125" i="3"/>
  <c r="CH125" i="3"/>
  <c r="CG125" i="3"/>
  <c r="CF125" i="3"/>
  <c r="CE125" i="3"/>
  <c r="CD125" i="3"/>
  <c r="CC125" i="3"/>
  <c r="CB125" i="3"/>
  <c r="CA125" i="3"/>
  <c r="BZ125" i="3"/>
  <c r="BY125" i="3"/>
  <c r="BX125" i="3"/>
  <c r="BW125" i="3"/>
  <c r="BV125" i="3"/>
  <c r="BU125" i="3"/>
  <c r="BT125" i="3"/>
  <c r="BS125" i="3"/>
  <c r="BR125" i="3"/>
  <c r="BQ125" i="3"/>
  <c r="BP125" i="3"/>
  <c r="BO125" i="3"/>
  <c r="BN125" i="3"/>
  <c r="BM125" i="3"/>
  <c r="BL125" i="3"/>
  <c r="BK125" i="3"/>
  <c r="BJ125" i="3"/>
  <c r="BI125" i="3"/>
  <c r="BH125" i="3"/>
  <c r="BG125" i="3"/>
  <c r="BF125" i="3"/>
  <c r="BE125" i="3"/>
  <c r="BD125" i="3"/>
  <c r="BC125" i="3"/>
  <c r="BB125" i="3"/>
  <c r="BA125" i="3"/>
  <c r="AZ125" i="3"/>
  <c r="AY125" i="3"/>
  <c r="AX125" i="3"/>
  <c r="AW125" i="3"/>
  <c r="AV125" i="3"/>
  <c r="AU125" i="3"/>
  <c r="AT125" i="3"/>
  <c r="AS125" i="3"/>
  <c r="AR125" i="3"/>
  <c r="AQ125" i="3"/>
  <c r="AP125" i="3"/>
  <c r="AO125" i="3"/>
  <c r="AN125" i="3"/>
  <c r="AM125" i="3"/>
  <c r="AL125" i="3"/>
  <c r="AK125" i="3"/>
  <c r="AJ125" i="3"/>
  <c r="AI125" i="3"/>
  <c r="AH125" i="3"/>
  <c r="AG125" i="3"/>
  <c r="AF125" i="3"/>
  <c r="AE125" i="3"/>
  <c r="AD125" i="3"/>
  <c r="AC125" i="3"/>
  <c r="AB125" i="3"/>
  <c r="AA125" i="3"/>
  <c r="Z125" i="3"/>
  <c r="Y125" i="3"/>
  <c r="X125" i="3"/>
  <c r="W125" i="3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D125" i="3"/>
  <c r="C125" i="3"/>
  <c r="B125" i="3"/>
  <c r="A125" i="3"/>
  <c r="FQ124" i="3"/>
  <c r="FP124" i="3"/>
  <c r="FO124" i="3"/>
  <c r="FN124" i="3"/>
  <c r="FM124" i="3"/>
  <c r="FL124" i="3"/>
  <c r="FK124" i="3"/>
  <c r="FJ124" i="3"/>
  <c r="FI124" i="3"/>
  <c r="FH124" i="3"/>
  <c r="FG124" i="3"/>
  <c r="FF124" i="3"/>
  <c r="FE124" i="3"/>
  <c r="FD124" i="3"/>
  <c r="FC124" i="3"/>
  <c r="FB124" i="3"/>
  <c r="FA124" i="3"/>
  <c r="EZ124" i="3"/>
  <c r="EY124" i="3"/>
  <c r="EX124" i="3"/>
  <c r="EW124" i="3"/>
  <c r="EV124" i="3"/>
  <c r="EU124" i="3"/>
  <c r="ET124" i="3"/>
  <c r="ES124" i="3"/>
  <c r="ER124" i="3"/>
  <c r="EQ124" i="3"/>
  <c r="EP124" i="3"/>
  <c r="EO124" i="3"/>
  <c r="EN124" i="3"/>
  <c r="EM124" i="3"/>
  <c r="EL124" i="3"/>
  <c r="EK124" i="3"/>
  <c r="EJ124" i="3"/>
  <c r="EI124" i="3"/>
  <c r="EH124" i="3"/>
  <c r="EG124" i="3"/>
  <c r="EF124" i="3"/>
  <c r="EE124" i="3"/>
  <c r="ED124" i="3"/>
  <c r="EC124" i="3"/>
  <c r="EB124" i="3"/>
  <c r="EA124" i="3"/>
  <c r="DZ124" i="3"/>
  <c r="DY124" i="3"/>
  <c r="DX124" i="3"/>
  <c r="DW124" i="3"/>
  <c r="DV124" i="3"/>
  <c r="DU124" i="3"/>
  <c r="DT124" i="3"/>
  <c r="DS124" i="3"/>
  <c r="DR124" i="3"/>
  <c r="DQ124" i="3"/>
  <c r="DP124" i="3"/>
  <c r="DO124" i="3"/>
  <c r="DN124" i="3"/>
  <c r="DM124" i="3"/>
  <c r="DL124" i="3"/>
  <c r="DK124" i="3"/>
  <c r="DJ124" i="3"/>
  <c r="DI124" i="3"/>
  <c r="DH124" i="3"/>
  <c r="DG124" i="3"/>
  <c r="DF124" i="3"/>
  <c r="DE124" i="3"/>
  <c r="DD124" i="3"/>
  <c r="DC124" i="3"/>
  <c r="DB124" i="3"/>
  <c r="DA124" i="3"/>
  <c r="CZ124" i="3"/>
  <c r="CY124" i="3"/>
  <c r="CX124" i="3"/>
  <c r="CW124" i="3"/>
  <c r="CV124" i="3"/>
  <c r="CU124" i="3"/>
  <c r="CT124" i="3"/>
  <c r="CS124" i="3"/>
  <c r="CR124" i="3"/>
  <c r="CQ124" i="3"/>
  <c r="CP124" i="3"/>
  <c r="CO124" i="3"/>
  <c r="CN124" i="3"/>
  <c r="CM124" i="3"/>
  <c r="CL124" i="3"/>
  <c r="E124" i="3"/>
  <c r="D124" i="3"/>
  <c r="C124" i="3"/>
  <c r="B124" i="3"/>
  <c r="A124" i="3"/>
  <c r="FQ123" i="3"/>
  <c r="FP123" i="3"/>
  <c r="FO123" i="3"/>
  <c r="FN123" i="3"/>
  <c r="FM123" i="3"/>
  <c r="FL123" i="3"/>
  <c r="FK123" i="3"/>
  <c r="FJ123" i="3"/>
  <c r="FI123" i="3"/>
  <c r="FH123" i="3"/>
  <c r="FG123" i="3"/>
  <c r="FF123" i="3"/>
  <c r="FE123" i="3"/>
  <c r="FD123" i="3"/>
  <c r="FC123" i="3"/>
  <c r="FB123" i="3"/>
  <c r="FA123" i="3"/>
  <c r="EZ123" i="3"/>
  <c r="EY123" i="3"/>
  <c r="EX123" i="3"/>
  <c r="EW123" i="3"/>
  <c r="EV123" i="3"/>
  <c r="EU123" i="3"/>
  <c r="ET123" i="3"/>
  <c r="ES123" i="3"/>
  <c r="ER123" i="3"/>
  <c r="EQ123" i="3"/>
  <c r="EP123" i="3"/>
  <c r="EO123" i="3"/>
  <c r="EN123" i="3"/>
  <c r="EM123" i="3"/>
  <c r="EL123" i="3"/>
  <c r="EK123" i="3"/>
  <c r="EJ123" i="3"/>
  <c r="EI123" i="3"/>
  <c r="EH123" i="3"/>
  <c r="EG123" i="3"/>
  <c r="EF123" i="3"/>
  <c r="EE123" i="3"/>
  <c r="ED123" i="3"/>
  <c r="EC123" i="3"/>
  <c r="EB123" i="3"/>
  <c r="EA123" i="3"/>
  <c r="DZ123" i="3"/>
  <c r="DY123" i="3"/>
  <c r="DX123" i="3"/>
  <c r="DW123" i="3"/>
  <c r="DV123" i="3"/>
  <c r="DU123" i="3"/>
  <c r="DT123" i="3"/>
  <c r="DS123" i="3"/>
  <c r="DR123" i="3"/>
  <c r="DQ123" i="3"/>
  <c r="DP123" i="3"/>
  <c r="DO123" i="3"/>
  <c r="DN123" i="3"/>
  <c r="DM123" i="3"/>
  <c r="DL123" i="3"/>
  <c r="DK123" i="3"/>
  <c r="DJ123" i="3"/>
  <c r="DI123" i="3"/>
  <c r="DH123" i="3"/>
  <c r="DG123" i="3"/>
  <c r="DF123" i="3"/>
  <c r="DE123" i="3"/>
  <c r="DD123" i="3"/>
  <c r="DC123" i="3"/>
  <c r="DB123" i="3"/>
  <c r="DA123" i="3"/>
  <c r="CZ123" i="3"/>
  <c r="CY123" i="3"/>
  <c r="CX123" i="3"/>
  <c r="CW123" i="3"/>
  <c r="CV123" i="3"/>
  <c r="CU123" i="3"/>
  <c r="CT123" i="3"/>
  <c r="CS123" i="3"/>
  <c r="CR123" i="3"/>
  <c r="CQ123" i="3"/>
  <c r="CP123" i="3"/>
  <c r="CO123" i="3"/>
  <c r="CN123" i="3"/>
  <c r="CM123" i="3"/>
  <c r="CL123" i="3"/>
  <c r="E123" i="3"/>
  <c r="D123" i="3"/>
  <c r="C123" i="3"/>
  <c r="B123" i="3"/>
  <c r="A123" i="3"/>
  <c r="FQ122" i="3"/>
  <c r="FP122" i="3"/>
  <c r="FO122" i="3"/>
  <c r="FN122" i="3"/>
  <c r="FM122" i="3"/>
  <c r="FL122" i="3"/>
  <c r="FK122" i="3"/>
  <c r="FJ122" i="3"/>
  <c r="FI122" i="3"/>
  <c r="FH122" i="3"/>
  <c r="FG122" i="3"/>
  <c r="FF122" i="3"/>
  <c r="FE122" i="3"/>
  <c r="FD122" i="3"/>
  <c r="FC122" i="3"/>
  <c r="FB122" i="3"/>
  <c r="FA122" i="3"/>
  <c r="EZ122" i="3"/>
  <c r="EY122" i="3"/>
  <c r="EX122" i="3"/>
  <c r="EW122" i="3"/>
  <c r="EV122" i="3"/>
  <c r="EU122" i="3"/>
  <c r="ET122" i="3"/>
  <c r="ES122" i="3"/>
  <c r="ER122" i="3"/>
  <c r="EQ122" i="3"/>
  <c r="EP122" i="3"/>
  <c r="EO122" i="3"/>
  <c r="EN122" i="3"/>
  <c r="EM122" i="3"/>
  <c r="EL122" i="3"/>
  <c r="EK122" i="3"/>
  <c r="EJ122" i="3"/>
  <c r="EI122" i="3"/>
  <c r="EH122" i="3"/>
  <c r="EG122" i="3"/>
  <c r="EF122" i="3"/>
  <c r="EE122" i="3"/>
  <c r="ED122" i="3"/>
  <c r="EC122" i="3"/>
  <c r="EB122" i="3"/>
  <c r="EA122" i="3"/>
  <c r="DZ122" i="3"/>
  <c r="DY122" i="3"/>
  <c r="DX122" i="3"/>
  <c r="DW122" i="3"/>
  <c r="DV122" i="3"/>
  <c r="DU122" i="3"/>
  <c r="DT122" i="3"/>
  <c r="DS122" i="3"/>
  <c r="DR122" i="3"/>
  <c r="DQ122" i="3"/>
  <c r="DP122" i="3"/>
  <c r="DO122" i="3"/>
  <c r="DN122" i="3"/>
  <c r="DM122" i="3"/>
  <c r="DL122" i="3"/>
  <c r="DK122" i="3"/>
  <c r="DJ122" i="3"/>
  <c r="DI122" i="3"/>
  <c r="DH122" i="3"/>
  <c r="DG122" i="3"/>
  <c r="DF122" i="3"/>
  <c r="DE122" i="3"/>
  <c r="DD122" i="3"/>
  <c r="DC122" i="3"/>
  <c r="DB122" i="3"/>
  <c r="DA122" i="3"/>
  <c r="CZ122" i="3"/>
  <c r="CY122" i="3"/>
  <c r="CX122" i="3"/>
  <c r="CW122" i="3"/>
  <c r="CV122" i="3"/>
  <c r="CU122" i="3"/>
  <c r="CT122" i="3"/>
  <c r="CS122" i="3"/>
  <c r="CR122" i="3"/>
  <c r="CQ122" i="3"/>
  <c r="CP122" i="3"/>
  <c r="CO122" i="3"/>
  <c r="CN122" i="3"/>
  <c r="CM122" i="3"/>
  <c r="CL122" i="3"/>
  <c r="E122" i="3"/>
  <c r="D122" i="3"/>
  <c r="C122" i="3"/>
  <c r="A122" i="3"/>
  <c r="FQ121" i="3"/>
  <c r="FP121" i="3"/>
  <c r="FO121" i="3"/>
  <c r="FN121" i="3"/>
  <c r="FM121" i="3"/>
  <c r="FL121" i="3"/>
  <c r="FK121" i="3"/>
  <c r="FJ121" i="3"/>
  <c r="FI121" i="3"/>
  <c r="FH121" i="3"/>
  <c r="FG121" i="3"/>
  <c r="FF121" i="3"/>
  <c r="FE121" i="3"/>
  <c r="FD121" i="3"/>
  <c r="FC121" i="3"/>
  <c r="FB121" i="3"/>
  <c r="FA121" i="3"/>
  <c r="EZ121" i="3"/>
  <c r="EY121" i="3"/>
  <c r="EX121" i="3"/>
  <c r="EW121" i="3"/>
  <c r="EV121" i="3"/>
  <c r="EU121" i="3"/>
  <c r="ET121" i="3"/>
  <c r="ES121" i="3"/>
  <c r="ER121" i="3"/>
  <c r="EQ121" i="3"/>
  <c r="EP121" i="3"/>
  <c r="EO121" i="3"/>
  <c r="EN121" i="3"/>
  <c r="EM121" i="3"/>
  <c r="EL121" i="3"/>
  <c r="EK121" i="3"/>
  <c r="EJ121" i="3"/>
  <c r="EI121" i="3"/>
  <c r="EH121" i="3"/>
  <c r="EG121" i="3"/>
  <c r="EF121" i="3"/>
  <c r="EE121" i="3"/>
  <c r="ED121" i="3"/>
  <c r="EC121" i="3"/>
  <c r="EB121" i="3"/>
  <c r="EA121" i="3"/>
  <c r="DZ121" i="3"/>
  <c r="DY121" i="3"/>
  <c r="DX121" i="3"/>
  <c r="DW121" i="3"/>
  <c r="DV121" i="3"/>
  <c r="DU121" i="3"/>
  <c r="DT121" i="3"/>
  <c r="DS121" i="3"/>
  <c r="DR121" i="3"/>
  <c r="DQ121" i="3"/>
  <c r="DP121" i="3"/>
  <c r="DO121" i="3"/>
  <c r="DN121" i="3"/>
  <c r="DM121" i="3"/>
  <c r="DL121" i="3"/>
  <c r="DK121" i="3"/>
  <c r="DJ121" i="3"/>
  <c r="DI121" i="3"/>
  <c r="DH121" i="3"/>
  <c r="DG121" i="3"/>
  <c r="DF121" i="3"/>
  <c r="DE121" i="3"/>
  <c r="DD121" i="3"/>
  <c r="DC121" i="3"/>
  <c r="DB121" i="3"/>
  <c r="DA121" i="3"/>
  <c r="CZ121" i="3"/>
  <c r="CY121" i="3"/>
  <c r="CX121" i="3"/>
  <c r="CW121" i="3"/>
  <c r="CV121" i="3"/>
  <c r="CU121" i="3"/>
  <c r="CT121" i="3"/>
  <c r="CS121" i="3"/>
  <c r="CR121" i="3"/>
  <c r="CQ121" i="3"/>
  <c r="CP121" i="3"/>
  <c r="CO121" i="3"/>
  <c r="CN121" i="3"/>
  <c r="CM121" i="3"/>
  <c r="CL121" i="3"/>
  <c r="E121" i="3"/>
  <c r="D121" i="3"/>
  <c r="C121" i="3"/>
  <c r="B121" i="3"/>
  <c r="A121" i="3"/>
  <c r="FQ120" i="3"/>
  <c r="FP120" i="3"/>
  <c r="FO120" i="3"/>
  <c r="FN120" i="3"/>
  <c r="FM120" i="3"/>
  <c r="FL120" i="3"/>
  <c r="FK120" i="3"/>
  <c r="FJ120" i="3"/>
  <c r="FI120" i="3"/>
  <c r="FH120" i="3"/>
  <c r="FG120" i="3"/>
  <c r="FF120" i="3"/>
  <c r="FE120" i="3"/>
  <c r="FD120" i="3"/>
  <c r="FC120" i="3"/>
  <c r="FB120" i="3"/>
  <c r="FA120" i="3"/>
  <c r="EZ120" i="3"/>
  <c r="EY120" i="3"/>
  <c r="EX120" i="3"/>
  <c r="EW120" i="3"/>
  <c r="EV120" i="3"/>
  <c r="EU120" i="3"/>
  <c r="ET120" i="3"/>
  <c r="ES120" i="3"/>
  <c r="ER120" i="3"/>
  <c r="EQ120" i="3"/>
  <c r="EP120" i="3"/>
  <c r="EO120" i="3"/>
  <c r="EN120" i="3"/>
  <c r="EM120" i="3"/>
  <c r="EL120" i="3"/>
  <c r="EK120" i="3"/>
  <c r="EJ120" i="3"/>
  <c r="EI120" i="3"/>
  <c r="EH120" i="3"/>
  <c r="EG120" i="3"/>
  <c r="EF120" i="3"/>
  <c r="EE120" i="3"/>
  <c r="ED120" i="3"/>
  <c r="EC120" i="3"/>
  <c r="EB120" i="3"/>
  <c r="EA120" i="3"/>
  <c r="DZ120" i="3"/>
  <c r="DY120" i="3"/>
  <c r="DX120" i="3"/>
  <c r="DW120" i="3"/>
  <c r="DV120" i="3"/>
  <c r="DU120" i="3"/>
  <c r="DT120" i="3"/>
  <c r="DS120" i="3"/>
  <c r="DR120" i="3"/>
  <c r="DQ120" i="3"/>
  <c r="DP120" i="3"/>
  <c r="DO120" i="3"/>
  <c r="DN120" i="3"/>
  <c r="DM120" i="3"/>
  <c r="DL120" i="3"/>
  <c r="DK120" i="3"/>
  <c r="DJ120" i="3"/>
  <c r="DI120" i="3"/>
  <c r="DH120" i="3"/>
  <c r="DG120" i="3"/>
  <c r="DF120" i="3"/>
  <c r="DE120" i="3"/>
  <c r="DD120" i="3"/>
  <c r="DC120" i="3"/>
  <c r="DB120" i="3"/>
  <c r="DA120" i="3"/>
  <c r="CZ120" i="3"/>
  <c r="CY120" i="3"/>
  <c r="CX120" i="3"/>
  <c r="CW120" i="3"/>
  <c r="CV120" i="3"/>
  <c r="CU120" i="3"/>
  <c r="CT120" i="3"/>
  <c r="CS120" i="3"/>
  <c r="CR120" i="3"/>
  <c r="CQ120" i="3"/>
  <c r="CP120" i="3"/>
  <c r="CO120" i="3"/>
  <c r="CN120" i="3"/>
  <c r="CM120" i="3"/>
  <c r="CL120" i="3"/>
  <c r="A120" i="3"/>
  <c r="FQ119" i="3"/>
  <c r="FP119" i="3"/>
  <c r="FO119" i="3"/>
  <c r="FN119" i="3"/>
  <c r="FM119" i="3"/>
  <c r="FL119" i="3"/>
  <c r="FK119" i="3"/>
  <c r="FJ119" i="3"/>
  <c r="FI119" i="3"/>
  <c r="FH119" i="3"/>
  <c r="FG119" i="3"/>
  <c r="FF119" i="3"/>
  <c r="FE119" i="3"/>
  <c r="FD119" i="3"/>
  <c r="FC119" i="3"/>
  <c r="FB119" i="3"/>
  <c r="FA119" i="3"/>
  <c r="EZ119" i="3"/>
  <c r="EY119" i="3"/>
  <c r="EX119" i="3"/>
  <c r="EW119" i="3"/>
  <c r="EV119" i="3"/>
  <c r="EU119" i="3"/>
  <c r="ET119" i="3"/>
  <c r="ES119" i="3"/>
  <c r="ER119" i="3"/>
  <c r="EQ119" i="3"/>
  <c r="EP119" i="3"/>
  <c r="EO119" i="3"/>
  <c r="EN119" i="3"/>
  <c r="EM119" i="3"/>
  <c r="EL119" i="3"/>
  <c r="EK119" i="3"/>
  <c r="EJ119" i="3"/>
  <c r="EI119" i="3"/>
  <c r="EH119" i="3"/>
  <c r="EG119" i="3"/>
  <c r="EF119" i="3"/>
  <c r="EE119" i="3"/>
  <c r="ED119" i="3"/>
  <c r="EC119" i="3"/>
  <c r="EB119" i="3"/>
  <c r="EA119" i="3"/>
  <c r="DZ119" i="3"/>
  <c r="DY119" i="3"/>
  <c r="DX119" i="3"/>
  <c r="DW119" i="3"/>
  <c r="DV119" i="3"/>
  <c r="DU119" i="3"/>
  <c r="DT119" i="3"/>
  <c r="DS119" i="3"/>
  <c r="DR119" i="3"/>
  <c r="DQ119" i="3"/>
  <c r="DP119" i="3"/>
  <c r="DO119" i="3"/>
  <c r="DN119" i="3"/>
  <c r="DM119" i="3"/>
  <c r="DL119" i="3"/>
  <c r="DK119" i="3"/>
  <c r="DJ119" i="3"/>
  <c r="DI119" i="3"/>
  <c r="DH119" i="3"/>
  <c r="DG119" i="3"/>
  <c r="DF119" i="3"/>
  <c r="DE119" i="3"/>
  <c r="DD119" i="3"/>
  <c r="DC119" i="3"/>
  <c r="DB119" i="3"/>
  <c r="DA119" i="3"/>
  <c r="CZ119" i="3"/>
  <c r="CY119" i="3"/>
  <c r="CX119" i="3"/>
  <c r="CW119" i="3"/>
  <c r="CV119" i="3"/>
  <c r="CU119" i="3"/>
  <c r="CT119" i="3"/>
  <c r="CS119" i="3"/>
  <c r="CR119" i="3"/>
  <c r="CQ119" i="3"/>
  <c r="CP119" i="3"/>
  <c r="CO119" i="3"/>
  <c r="CN119" i="3"/>
  <c r="CM119" i="3"/>
  <c r="CL119" i="3"/>
  <c r="E119" i="3"/>
  <c r="D119" i="3"/>
  <c r="C119" i="3"/>
  <c r="B119" i="3"/>
  <c r="A119" i="3"/>
  <c r="FQ118" i="3"/>
  <c r="FP118" i="3"/>
  <c r="FO118" i="3"/>
  <c r="FN118" i="3"/>
  <c r="FM118" i="3"/>
  <c r="FL118" i="3"/>
  <c r="FK118" i="3"/>
  <c r="FJ118" i="3"/>
  <c r="FI118" i="3"/>
  <c r="FH118" i="3"/>
  <c r="FG118" i="3"/>
  <c r="FF118" i="3"/>
  <c r="FE118" i="3"/>
  <c r="FD118" i="3"/>
  <c r="FC118" i="3"/>
  <c r="FB118" i="3"/>
  <c r="FA118" i="3"/>
  <c r="EZ118" i="3"/>
  <c r="EY118" i="3"/>
  <c r="EX118" i="3"/>
  <c r="EW118" i="3"/>
  <c r="EV118" i="3"/>
  <c r="EU118" i="3"/>
  <c r="ET118" i="3"/>
  <c r="ES118" i="3"/>
  <c r="ER118" i="3"/>
  <c r="EQ118" i="3"/>
  <c r="EP118" i="3"/>
  <c r="EO118" i="3"/>
  <c r="EN118" i="3"/>
  <c r="EM118" i="3"/>
  <c r="EL118" i="3"/>
  <c r="EK118" i="3"/>
  <c r="EJ118" i="3"/>
  <c r="EI118" i="3"/>
  <c r="EH118" i="3"/>
  <c r="EG118" i="3"/>
  <c r="EF118" i="3"/>
  <c r="EE118" i="3"/>
  <c r="ED118" i="3"/>
  <c r="EC118" i="3"/>
  <c r="EB118" i="3"/>
  <c r="EA118" i="3"/>
  <c r="DZ118" i="3"/>
  <c r="DY118" i="3"/>
  <c r="DX118" i="3"/>
  <c r="DW118" i="3"/>
  <c r="DV118" i="3"/>
  <c r="DU118" i="3"/>
  <c r="DT118" i="3"/>
  <c r="DS118" i="3"/>
  <c r="DR118" i="3"/>
  <c r="DQ118" i="3"/>
  <c r="DP118" i="3"/>
  <c r="DO118" i="3"/>
  <c r="DN118" i="3"/>
  <c r="DM118" i="3"/>
  <c r="DL118" i="3"/>
  <c r="DK118" i="3"/>
  <c r="DJ118" i="3"/>
  <c r="DI118" i="3"/>
  <c r="DH118" i="3"/>
  <c r="DG118" i="3"/>
  <c r="DF118" i="3"/>
  <c r="DE118" i="3"/>
  <c r="DD118" i="3"/>
  <c r="DC118" i="3"/>
  <c r="DB118" i="3"/>
  <c r="DA118" i="3"/>
  <c r="CZ118" i="3"/>
  <c r="CY118" i="3"/>
  <c r="CX118" i="3"/>
  <c r="CW118" i="3"/>
  <c r="CV118" i="3"/>
  <c r="CU118" i="3"/>
  <c r="CT118" i="3"/>
  <c r="CS118" i="3"/>
  <c r="CR118" i="3"/>
  <c r="CQ118" i="3"/>
  <c r="CP118" i="3"/>
  <c r="CO118" i="3"/>
  <c r="CN118" i="3"/>
  <c r="CM118" i="3"/>
  <c r="CL118" i="3"/>
  <c r="E118" i="3"/>
  <c r="D118" i="3"/>
  <c r="C118" i="3"/>
  <c r="B118" i="3"/>
  <c r="A118" i="3"/>
  <c r="FQ117" i="3"/>
  <c r="FP117" i="3"/>
  <c r="FO117" i="3"/>
  <c r="FN117" i="3"/>
  <c r="FM117" i="3"/>
  <c r="FL117" i="3"/>
  <c r="FK117" i="3"/>
  <c r="FJ117" i="3"/>
  <c r="FI117" i="3"/>
  <c r="FH117" i="3"/>
  <c r="FG117" i="3"/>
  <c r="FF117" i="3"/>
  <c r="FE117" i="3"/>
  <c r="FD117" i="3"/>
  <c r="FC117" i="3"/>
  <c r="FB117" i="3"/>
  <c r="FA117" i="3"/>
  <c r="EZ117" i="3"/>
  <c r="EY117" i="3"/>
  <c r="EX117" i="3"/>
  <c r="EW117" i="3"/>
  <c r="EV117" i="3"/>
  <c r="EU117" i="3"/>
  <c r="ET117" i="3"/>
  <c r="ES117" i="3"/>
  <c r="ER117" i="3"/>
  <c r="EQ117" i="3"/>
  <c r="EP117" i="3"/>
  <c r="EO117" i="3"/>
  <c r="EN117" i="3"/>
  <c r="EM117" i="3"/>
  <c r="EL117" i="3"/>
  <c r="EK117" i="3"/>
  <c r="EJ117" i="3"/>
  <c r="EI117" i="3"/>
  <c r="EH117" i="3"/>
  <c r="EG117" i="3"/>
  <c r="EF117" i="3"/>
  <c r="EE117" i="3"/>
  <c r="ED117" i="3"/>
  <c r="EC117" i="3"/>
  <c r="EB117" i="3"/>
  <c r="EA117" i="3"/>
  <c r="DZ117" i="3"/>
  <c r="DY117" i="3"/>
  <c r="DX117" i="3"/>
  <c r="DW117" i="3"/>
  <c r="DV117" i="3"/>
  <c r="DU117" i="3"/>
  <c r="DT117" i="3"/>
  <c r="DS117" i="3"/>
  <c r="DR117" i="3"/>
  <c r="DQ117" i="3"/>
  <c r="DP117" i="3"/>
  <c r="DO117" i="3"/>
  <c r="DN117" i="3"/>
  <c r="DM117" i="3"/>
  <c r="DL117" i="3"/>
  <c r="DK117" i="3"/>
  <c r="DJ117" i="3"/>
  <c r="DI117" i="3"/>
  <c r="DH117" i="3"/>
  <c r="DG117" i="3"/>
  <c r="DF117" i="3"/>
  <c r="DE117" i="3"/>
  <c r="DD117" i="3"/>
  <c r="DC117" i="3"/>
  <c r="DB117" i="3"/>
  <c r="DA117" i="3"/>
  <c r="CZ117" i="3"/>
  <c r="CY117" i="3"/>
  <c r="CX117" i="3"/>
  <c r="CW117" i="3"/>
  <c r="CV117" i="3"/>
  <c r="CU117" i="3"/>
  <c r="CT117" i="3"/>
  <c r="CS117" i="3"/>
  <c r="CR117" i="3"/>
  <c r="CQ117" i="3"/>
  <c r="CP117" i="3"/>
  <c r="CO117" i="3"/>
  <c r="CN117" i="3"/>
  <c r="CM117" i="3"/>
  <c r="CL117" i="3"/>
  <c r="E117" i="3"/>
  <c r="D117" i="3"/>
  <c r="C117" i="3"/>
  <c r="B117" i="3"/>
  <c r="A117" i="3"/>
  <c r="FQ116" i="3"/>
  <c r="FP116" i="3"/>
  <c r="FO116" i="3"/>
  <c r="FN116" i="3"/>
  <c r="FM116" i="3"/>
  <c r="FL116" i="3"/>
  <c r="FK116" i="3"/>
  <c r="FJ116" i="3"/>
  <c r="FI116" i="3"/>
  <c r="FH116" i="3"/>
  <c r="FG116" i="3"/>
  <c r="FF116" i="3"/>
  <c r="FE116" i="3"/>
  <c r="FD116" i="3"/>
  <c r="FC116" i="3"/>
  <c r="FB116" i="3"/>
  <c r="FA116" i="3"/>
  <c r="EZ116" i="3"/>
  <c r="EY116" i="3"/>
  <c r="EX116" i="3"/>
  <c r="EW116" i="3"/>
  <c r="EV116" i="3"/>
  <c r="EU116" i="3"/>
  <c r="ET116" i="3"/>
  <c r="ES116" i="3"/>
  <c r="ER116" i="3"/>
  <c r="EQ116" i="3"/>
  <c r="EP116" i="3"/>
  <c r="EO116" i="3"/>
  <c r="EN116" i="3"/>
  <c r="EM116" i="3"/>
  <c r="EL116" i="3"/>
  <c r="EK116" i="3"/>
  <c r="EJ116" i="3"/>
  <c r="EI116" i="3"/>
  <c r="EH116" i="3"/>
  <c r="EG116" i="3"/>
  <c r="EF116" i="3"/>
  <c r="EE116" i="3"/>
  <c r="ED116" i="3"/>
  <c r="EC116" i="3"/>
  <c r="EB116" i="3"/>
  <c r="EA116" i="3"/>
  <c r="DZ116" i="3"/>
  <c r="DY116" i="3"/>
  <c r="DX116" i="3"/>
  <c r="DW116" i="3"/>
  <c r="DV116" i="3"/>
  <c r="DU116" i="3"/>
  <c r="DT116" i="3"/>
  <c r="DS116" i="3"/>
  <c r="DR116" i="3"/>
  <c r="DQ116" i="3"/>
  <c r="DP116" i="3"/>
  <c r="DO116" i="3"/>
  <c r="DN116" i="3"/>
  <c r="DM116" i="3"/>
  <c r="DL116" i="3"/>
  <c r="DK116" i="3"/>
  <c r="DJ116" i="3"/>
  <c r="DI116" i="3"/>
  <c r="DH116" i="3"/>
  <c r="DG116" i="3"/>
  <c r="DF116" i="3"/>
  <c r="DE116" i="3"/>
  <c r="DD116" i="3"/>
  <c r="DC116" i="3"/>
  <c r="DB116" i="3"/>
  <c r="DA116" i="3"/>
  <c r="CZ116" i="3"/>
  <c r="CY116" i="3"/>
  <c r="CX116" i="3"/>
  <c r="CW116" i="3"/>
  <c r="CV116" i="3"/>
  <c r="CU116" i="3"/>
  <c r="CT116" i="3"/>
  <c r="CS116" i="3"/>
  <c r="CR116" i="3"/>
  <c r="CQ116" i="3"/>
  <c r="CP116" i="3"/>
  <c r="CO116" i="3"/>
  <c r="CN116" i="3"/>
  <c r="CM116" i="3"/>
  <c r="CL116" i="3"/>
  <c r="E116" i="3"/>
  <c r="D116" i="3"/>
  <c r="C116" i="3"/>
  <c r="B116" i="3"/>
  <c r="A116" i="3"/>
  <c r="FQ115" i="3"/>
  <c r="FP115" i="3"/>
  <c r="FO115" i="3"/>
  <c r="FN115" i="3"/>
  <c r="FM115" i="3"/>
  <c r="FL115" i="3"/>
  <c r="FK115" i="3"/>
  <c r="FJ115" i="3"/>
  <c r="FI115" i="3"/>
  <c r="FH115" i="3"/>
  <c r="FG115" i="3"/>
  <c r="FF115" i="3"/>
  <c r="FE115" i="3"/>
  <c r="FD115" i="3"/>
  <c r="FC115" i="3"/>
  <c r="FB115" i="3"/>
  <c r="FA115" i="3"/>
  <c r="EZ115" i="3"/>
  <c r="EY115" i="3"/>
  <c r="EX115" i="3"/>
  <c r="EW115" i="3"/>
  <c r="EV115" i="3"/>
  <c r="EU115" i="3"/>
  <c r="ET115" i="3"/>
  <c r="ES115" i="3"/>
  <c r="ER115" i="3"/>
  <c r="EQ115" i="3"/>
  <c r="EP115" i="3"/>
  <c r="EO115" i="3"/>
  <c r="EN115" i="3"/>
  <c r="EM115" i="3"/>
  <c r="EL115" i="3"/>
  <c r="EK115" i="3"/>
  <c r="EJ115" i="3"/>
  <c r="EI115" i="3"/>
  <c r="EH115" i="3"/>
  <c r="EG115" i="3"/>
  <c r="EF115" i="3"/>
  <c r="EE115" i="3"/>
  <c r="ED115" i="3"/>
  <c r="EC115" i="3"/>
  <c r="EB115" i="3"/>
  <c r="EA115" i="3"/>
  <c r="DZ115" i="3"/>
  <c r="DY115" i="3"/>
  <c r="DX115" i="3"/>
  <c r="DW115" i="3"/>
  <c r="DV115" i="3"/>
  <c r="DU115" i="3"/>
  <c r="DT115" i="3"/>
  <c r="DS115" i="3"/>
  <c r="DR115" i="3"/>
  <c r="DQ115" i="3"/>
  <c r="DP115" i="3"/>
  <c r="DO115" i="3"/>
  <c r="DN115" i="3"/>
  <c r="DM115" i="3"/>
  <c r="DL115" i="3"/>
  <c r="DK115" i="3"/>
  <c r="DJ115" i="3"/>
  <c r="DI115" i="3"/>
  <c r="DH115" i="3"/>
  <c r="DG115" i="3"/>
  <c r="DF115" i="3"/>
  <c r="DE115" i="3"/>
  <c r="DD115" i="3"/>
  <c r="DC115" i="3"/>
  <c r="DB115" i="3"/>
  <c r="DA115" i="3"/>
  <c r="CZ115" i="3"/>
  <c r="CY115" i="3"/>
  <c r="CX115" i="3"/>
  <c r="CW115" i="3"/>
  <c r="CV115" i="3"/>
  <c r="CU115" i="3"/>
  <c r="CT115" i="3"/>
  <c r="CS115" i="3"/>
  <c r="CR115" i="3"/>
  <c r="CQ115" i="3"/>
  <c r="CP115" i="3"/>
  <c r="CO115" i="3"/>
  <c r="CN115" i="3"/>
  <c r="CM115" i="3"/>
  <c r="CL115" i="3"/>
  <c r="E115" i="3"/>
  <c r="D115" i="3"/>
  <c r="C115" i="3"/>
  <c r="B115" i="3"/>
  <c r="A115" i="3"/>
  <c r="FQ114" i="3"/>
  <c r="FP114" i="3"/>
  <c r="FO114" i="3"/>
  <c r="FN114" i="3"/>
  <c r="FM114" i="3"/>
  <c r="FL114" i="3"/>
  <c r="FK114" i="3"/>
  <c r="FJ114" i="3"/>
  <c r="FI114" i="3"/>
  <c r="FH114" i="3"/>
  <c r="FG114" i="3"/>
  <c r="FF114" i="3"/>
  <c r="FE114" i="3"/>
  <c r="FD114" i="3"/>
  <c r="FC114" i="3"/>
  <c r="FB114" i="3"/>
  <c r="FA114" i="3"/>
  <c r="EZ114" i="3"/>
  <c r="EY114" i="3"/>
  <c r="EX114" i="3"/>
  <c r="EW114" i="3"/>
  <c r="EV114" i="3"/>
  <c r="EU114" i="3"/>
  <c r="ET114" i="3"/>
  <c r="ES114" i="3"/>
  <c r="ER114" i="3"/>
  <c r="EQ114" i="3"/>
  <c r="EP114" i="3"/>
  <c r="EO114" i="3"/>
  <c r="EN114" i="3"/>
  <c r="EM114" i="3"/>
  <c r="EL114" i="3"/>
  <c r="EK114" i="3"/>
  <c r="EJ114" i="3"/>
  <c r="EI114" i="3"/>
  <c r="EH114" i="3"/>
  <c r="EG114" i="3"/>
  <c r="EF114" i="3"/>
  <c r="EE114" i="3"/>
  <c r="ED114" i="3"/>
  <c r="EC114" i="3"/>
  <c r="EB114" i="3"/>
  <c r="EA114" i="3"/>
  <c r="DZ114" i="3"/>
  <c r="DY114" i="3"/>
  <c r="DX114" i="3"/>
  <c r="DW114" i="3"/>
  <c r="DV114" i="3"/>
  <c r="DU114" i="3"/>
  <c r="DT114" i="3"/>
  <c r="DS114" i="3"/>
  <c r="DR114" i="3"/>
  <c r="DQ114" i="3"/>
  <c r="DP114" i="3"/>
  <c r="DO114" i="3"/>
  <c r="DN114" i="3"/>
  <c r="DM114" i="3"/>
  <c r="DL114" i="3"/>
  <c r="DK114" i="3"/>
  <c r="DJ114" i="3"/>
  <c r="DI114" i="3"/>
  <c r="DH114" i="3"/>
  <c r="DG114" i="3"/>
  <c r="DF114" i="3"/>
  <c r="DE114" i="3"/>
  <c r="DD114" i="3"/>
  <c r="DC114" i="3"/>
  <c r="DB114" i="3"/>
  <c r="DA114" i="3"/>
  <c r="CZ114" i="3"/>
  <c r="CY114" i="3"/>
  <c r="CX114" i="3"/>
  <c r="CW114" i="3"/>
  <c r="CV114" i="3"/>
  <c r="CU114" i="3"/>
  <c r="CT114" i="3"/>
  <c r="CS114" i="3"/>
  <c r="CR114" i="3"/>
  <c r="CQ114" i="3"/>
  <c r="CP114" i="3"/>
  <c r="CO114" i="3"/>
  <c r="CN114" i="3"/>
  <c r="CM114" i="3"/>
  <c r="CL114" i="3"/>
  <c r="E114" i="3"/>
  <c r="D114" i="3"/>
  <c r="C114" i="3"/>
  <c r="B114" i="3"/>
  <c r="A114" i="3"/>
  <c r="FQ113" i="3"/>
  <c r="FP113" i="3"/>
  <c r="FO113" i="3"/>
  <c r="FN113" i="3"/>
  <c r="FM113" i="3"/>
  <c r="FL113" i="3"/>
  <c r="FK113" i="3"/>
  <c r="FJ113" i="3"/>
  <c r="FI113" i="3"/>
  <c r="FH113" i="3"/>
  <c r="FG113" i="3"/>
  <c r="FF113" i="3"/>
  <c r="FE113" i="3"/>
  <c r="FD113" i="3"/>
  <c r="FC113" i="3"/>
  <c r="FB113" i="3"/>
  <c r="FA113" i="3"/>
  <c r="EZ113" i="3"/>
  <c r="EY113" i="3"/>
  <c r="EX113" i="3"/>
  <c r="EW113" i="3"/>
  <c r="EV113" i="3"/>
  <c r="EU113" i="3"/>
  <c r="ET113" i="3"/>
  <c r="ES113" i="3"/>
  <c r="ER113" i="3"/>
  <c r="EQ113" i="3"/>
  <c r="EP113" i="3"/>
  <c r="EO113" i="3"/>
  <c r="EN113" i="3"/>
  <c r="EM113" i="3"/>
  <c r="EL113" i="3"/>
  <c r="EK113" i="3"/>
  <c r="EJ113" i="3"/>
  <c r="EI113" i="3"/>
  <c r="EH113" i="3"/>
  <c r="EG113" i="3"/>
  <c r="EF113" i="3"/>
  <c r="EE113" i="3"/>
  <c r="ED113" i="3"/>
  <c r="EC113" i="3"/>
  <c r="EB113" i="3"/>
  <c r="EA113" i="3"/>
  <c r="DZ113" i="3"/>
  <c r="DY113" i="3"/>
  <c r="DX113" i="3"/>
  <c r="DW113" i="3"/>
  <c r="DV113" i="3"/>
  <c r="DU113" i="3"/>
  <c r="DT113" i="3"/>
  <c r="DS113" i="3"/>
  <c r="DR113" i="3"/>
  <c r="DQ113" i="3"/>
  <c r="DP113" i="3"/>
  <c r="DO113" i="3"/>
  <c r="DN113" i="3"/>
  <c r="DM113" i="3"/>
  <c r="DL113" i="3"/>
  <c r="DK113" i="3"/>
  <c r="DJ113" i="3"/>
  <c r="DI113" i="3"/>
  <c r="DH113" i="3"/>
  <c r="DG113" i="3"/>
  <c r="DF113" i="3"/>
  <c r="DE113" i="3"/>
  <c r="DD113" i="3"/>
  <c r="DC113" i="3"/>
  <c r="DB113" i="3"/>
  <c r="DA113" i="3"/>
  <c r="CZ113" i="3"/>
  <c r="CY113" i="3"/>
  <c r="CX113" i="3"/>
  <c r="CW113" i="3"/>
  <c r="CV113" i="3"/>
  <c r="CU113" i="3"/>
  <c r="CT113" i="3"/>
  <c r="CS113" i="3"/>
  <c r="CR113" i="3"/>
  <c r="CQ113" i="3"/>
  <c r="CP113" i="3"/>
  <c r="CO113" i="3"/>
  <c r="CN113" i="3"/>
  <c r="CM113" i="3"/>
  <c r="CL113" i="3"/>
  <c r="FQ112" i="3"/>
  <c r="FP112" i="3"/>
  <c r="FO112" i="3"/>
  <c r="FN112" i="3"/>
  <c r="FM112" i="3"/>
  <c r="FL112" i="3"/>
  <c r="FK112" i="3"/>
  <c r="FJ112" i="3"/>
  <c r="FI112" i="3"/>
  <c r="FH112" i="3"/>
  <c r="FG112" i="3"/>
  <c r="FF112" i="3"/>
  <c r="FE112" i="3"/>
  <c r="FD112" i="3"/>
  <c r="FC112" i="3"/>
  <c r="FB112" i="3"/>
  <c r="FA112" i="3"/>
  <c r="EZ112" i="3"/>
  <c r="EY112" i="3"/>
  <c r="EX112" i="3"/>
  <c r="EW112" i="3"/>
  <c r="EV112" i="3"/>
  <c r="EU112" i="3"/>
  <c r="ET112" i="3"/>
  <c r="ES112" i="3"/>
  <c r="ER112" i="3"/>
  <c r="EQ112" i="3"/>
  <c r="EP112" i="3"/>
  <c r="EO112" i="3"/>
  <c r="EN112" i="3"/>
  <c r="EM112" i="3"/>
  <c r="EL112" i="3"/>
  <c r="EK112" i="3"/>
  <c r="EJ112" i="3"/>
  <c r="EI112" i="3"/>
  <c r="EH112" i="3"/>
  <c r="EG112" i="3"/>
  <c r="EF112" i="3"/>
  <c r="EE112" i="3"/>
  <c r="ED112" i="3"/>
  <c r="EC112" i="3"/>
  <c r="EB112" i="3"/>
  <c r="EA112" i="3"/>
  <c r="DZ112" i="3"/>
  <c r="DY112" i="3"/>
  <c r="DX112" i="3"/>
  <c r="DW112" i="3"/>
  <c r="DV112" i="3"/>
  <c r="DU112" i="3"/>
  <c r="DT112" i="3"/>
  <c r="DS112" i="3"/>
  <c r="DR112" i="3"/>
  <c r="DQ112" i="3"/>
  <c r="DP112" i="3"/>
  <c r="DO112" i="3"/>
  <c r="DN112" i="3"/>
  <c r="DM112" i="3"/>
  <c r="DL112" i="3"/>
  <c r="DK112" i="3"/>
  <c r="DJ112" i="3"/>
  <c r="DI112" i="3"/>
  <c r="DH112" i="3"/>
  <c r="DG112" i="3"/>
  <c r="DF112" i="3"/>
  <c r="DE112" i="3"/>
  <c r="DD112" i="3"/>
  <c r="DC112" i="3"/>
  <c r="DB112" i="3"/>
  <c r="DA112" i="3"/>
  <c r="CZ112" i="3"/>
  <c r="CY112" i="3"/>
  <c r="CX112" i="3"/>
  <c r="CW112" i="3"/>
  <c r="CV112" i="3"/>
  <c r="CU112" i="3"/>
  <c r="CT112" i="3"/>
  <c r="CS112" i="3"/>
  <c r="CR112" i="3"/>
  <c r="CQ112" i="3"/>
  <c r="CP112" i="3"/>
  <c r="CO112" i="3"/>
  <c r="CN112" i="3"/>
  <c r="CM112" i="3"/>
  <c r="CL112" i="3"/>
  <c r="FQ111" i="3"/>
  <c r="FP111" i="3"/>
  <c r="FO111" i="3"/>
  <c r="FN111" i="3"/>
  <c r="FM111" i="3"/>
  <c r="FL111" i="3"/>
  <c r="FK111" i="3"/>
  <c r="FJ111" i="3"/>
  <c r="FI111" i="3"/>
  <c r="FH111" i="3"/>
  <c r="FG111" i="3"/>
  <c r="FF111" i="3"/>
  <c r="FE111" i="3"/>
  <c r="FD111" i="3"/>
  <c r="FC111" i="3"/>
  <c r="FB111" i="3"/>
  <c r="FA111" i="3"/>
  <c r="EZ111" i="3"/>
  <c r="EY111" i="3"/>
  <c r="EX111" i="3"/>
  <c r="EW111" i="3"/>
  <c r="EV111" i="3"/>
  <c r="EU111" i="3"/>
  <c r="ET111" i="3"/>
  <c r="ES111" i="3"/>
  <c r="ER111" i="3"/>
  <c r="EQ111" i="3"/>
  <c r="EP111" i="3"/>
  <c r="EO111" i="3"/>
  <c r="EN111" i="3"/>
  <c r="EM111" i="3"/>
  <c r="EL111" i="3"/>
  <c r="EK111" i="3"/>
  <c r="EJ111" i="3"/>
  <c r="EI111" i="3"/>
  <c r="EH111" i="3"/>
  <c r="EG111" i="3"/>
  <c r="EF111" i="3"/>
  <c r="EE111" i="3"/>
  <c r="ED111" i="3"/>
  <c r="EC111" i="3"/>
  <c r="EB111" i="3"/>
  <c r="EA111" i="3"/>
  <c r="DZ111" i="3"/>
  <c r="DY111" i="3"/>
  <c r="DX111" i="3"/>
  <c r="DW111" i="3"/>
  <c r="DV111" i="3"/>
  <c r="DU111" i="3"/>
  <c r="DT111" i="3"/>
  <c r="DS111" i="3"/>
  <c r="DR111" i="3"/>
  <c r="DQ111" i="3"/>
  <c r="DP111" i="3"/>
  <c r="DO111" i="3"/>
  <c r="DN111" i="3"/>
  <c r="DM111" i="3"/>
  <c r="DL111" i="3"/>
  <c r="DK111" i="3"/>
  <c r="DJ111" i="3"/>
  <c r="DI111" i="3"/>
  <c r="DH111" i="3"/>
  <c r="DG111" i="3"/>
  <c r="DF111" i="3"/>
  <c r="DE111" i="3"/>
  <c r="DD111" i="3"/>
  <c r="DC111" i="3"/>
  <c r="DB111" i="3"/>
  <c r="DA111" i="3"/>
  <c r="CZ111" i="3"/>
  <c r="CY111" i="3"/>
  <c r="CX111" i="3"/>
  <c r="CW111" i="3"/>
  <c r="CV111" i="3"/>
  <c r="CU111" i="3"/>
  <c r="CT111" i="3"/>
  <c r="CS111" i="3"/>
  <c r="CR111" i="3"/>
  <c r="CQ111" i="3"/>
  <c r="CP111" i="3"/>
  <c r="CO111" i="3"/>
  <c r="CN111" i="3"/>
  <c r="CM111" i="3"/>
  <c r="CL111" i="3"/>
  <c r="FQ110" i="3"/>
  <c r="FP110" i="3"/>
  <c r="FO110" i="3"/>
  <c r="FN110" i="3"/>
  <c r="FM110" i="3"/>
  <c r="FL110" i="3"/>
  <c r="FK110" i="3"/>
  <c r="FJ110" i="3"/>
  <c r="FI110" i="3"/>
  <c r="FH110" i="3"/>
  <c r="FG110" i="3"/>
  <c r="FF110" i="3"/>
  <c r="FE110" i="3"/>
  <c r="FD110" i="3"/>
  <c r="FC110" i="3"/>
  <c r="FB110" i="3"/>
  <c r="FA110" i="3"/>
  <c r="EZ110" i="3"/>
  <c r="EY110" i="3"/>
  <c r="EX110" i="3"/>
  <c r="EW110" i="3"/>
  <c r="EV110" i="3"/>
  <c r="EU110" i="3"/>
  <c r="ET110" i="3"/>
  <c r="ES110" i="3"/>
  <c r="ER110" i="3"/>
  <c r="EQ110" i="3"/>
  <c r="EP110" i="3"/>
  <c r="EO110" i="3"/>
  <c r="EN110" i="3"/>
  <c r="EM110" i="3"/>
  <c r="EL110" i="3"/>
  <c r="EK110" i="3"/>
  <c r="EJ110" i="3"/>
  <c r="EI110" i="3"/>
  <c r="EH110" i="3"/>
  <c r="EG110" i="3"/>
  <c r="EF110" i="3"/>
  <c r="EE110" i="3"/>
  <c r="ED110" i="3"/>
  <c r="EC110" i="3"/>
  <c r="EB110" i="3"/>
  <c r="EA110" i="3"/>
  <c r="DZ110" i="3"/>
  <c r="DY110" i="3"/>
  <c r="DX110" i="3"/>
  <c r="DW110" i="3"/>
  <c r="DV110" i="3"/>
  <c r="DU110" i="3"/>
  <c r="DT110" i="3"/>
  <c r="DS110" i="3"/>
  <c r="DR110" i="3"/>
  <c r="DQ110" i="3"/>
  <c r="DP110" i="3"/>
  <c r="DO110" i="3"/>
  <c r="DN110" i="3"/>
  <c r="DM110" i="3"/>
  <c r="DL110" i="3"/>
  <c r="DK110" i="3"/>
  <c r="DJ110" i="3"/>
  <c r="DI110" i="3"/>
  <c r="DH110" i="3"/>
  <c r="DG110" i="3"/>
  <c r="DF110" i="3"/>
  <c r="DE110" i="3"/>
  <c r="DD110" i="3"/>
  <c r="DC110" i="3"/>
  <c r="DB110" i="3"/>
  <c r="DA110" i="3"/>
  <c r="CZ110" i="3"/>
  <c r="CY110" i="3"/>
  <c r="CX110" i="3"/>
  <c r="CW110" i="3"/>
  <c r="CV110" i="3"/>
  <c r="CU110" i="3"/>
  <c r="CT110" i="3"/>
  <c r="CS110" i="3"/>
  <c r="CR110" i="3"/>
  <c r="CQ110" i="3"/>
  <c r="CP110" i="3"/>
  <c r="CO110" i="3"/>
  <c r="CN110" i="3"/>
  <c r="CM110" i="3"/>
  <c r="CL110" i="3"/>
  <c r="FQ109" i="3"/>
  <c r="FP109" i="3"/>
  <c r="FO109" i="3"/>
  <c r="FN109" i="3"/>
  <c r="FM109" i="3"/>
  <c r="FL109" i="3"/>
  <c r="FK109" i="3"/>
  <c r="FJ109" i="3"/>
  <c r="FI109" i="3"/>
  <c r="FH109" i="3"/>
  <c r="FG109" i="3"/>
  <c r="FF109" i="3"/>
  <c r="FE109" i="3"/>
  <c r="FD109" i="3"/>
  <c r="FC109" i="3"/>
  <c r="FB109" i="3"/>
  <c r="FA109" i="3"/>
  <c r="EZ109" i="3"/>
  <c r="EY109" i="3"/>
  <c r="EX109" i="3"/>
  <c r="EW109" i="3"/>
  <c r="EV109" i="3"/>
  <c r="EU109" i="3"/>
  <c r="ET109" i="3"/>
  <c r="ES109" i="3"/>
  <c r="ER109" i="3"/>
  <c r="EQ109" i="3"/>
  <c r="EP109" i="3"/>
  <c r="EO109" i="3"/>
  <c r="EN109" i="3"/>
  <c r="EM109" i="3"/>
  <c r="EL109" i="3"/>
  <c r="EK109" i="3"/>
  <c r="EJ109" i="3"/>
  <c r="EI109" i="3"/>
  <c r="EH109" i="3"/>
  <c r="EG109" i="3"/>
  <c r="EF109" i="3"/>
  <c r="EE109" i="3"/>
  <c r="ED109" i="3"/>
  <c r="EC109" i="3"/>
  <c r="EB109" i="3"/>
  <c r="EA109" i="3"/>
  <c r="DZ109" i="3"/>
  <c r="DY109" i="3"/>
  <c r="DX109" i="3"/>
  <c r="DW109" i="3"/>
  <c r="DV109" i="3"/>
  <c r="DU109" i="3"/>
  <c r="DT109" i="3"/>
  <c r="DS109" i="3"/>
  <c r="DR109" i="3"/>
  <c r="DQ109" i="3"/>
  <c r="DP109" i="3"/>
  <c r="DO109" i="3"/>
  <c r="DN109" i="3"/>
  <c r="DM109" i="3"/>
  <c r="DL109" i="3"/>
  <c r="DK109" i="3"/>
  <c r="DJ109" i="3"/>
  <c r="DI109" i="3"/>
  <c r="DH109" i="3"/>
  <c r="DG109" i="3"/>
  <c r="DF109" i="3"/>
  <c r="DE109" i="3"/>
  <c r="DD109" i="3"/>
  <c r="DC109" i="3"/>
  <c r="DB109" i="3"/>
  <c r="DA109" i="3"/>
  <c r="CZ109" i="3"/>
  <c r="CY109" i="3"/>
  <c r="CX109" i="3"/>
  <c r="CW109" i="3"/>
  <c r="CV109" i="3"/>
  <c r="CU109" i="3"/>
  <c r="CT109" i="3"/>
  <c r="CS109" i="3"/>
  <c r="CR109" i="3"/>
  <c r="CQ109" i="3"/>
  <c r="CP109" i="3"/>
  <c r="CO109" i="3"/>
  <c r="CN109" i="3"/>
  <c r="CM109" i="3"/>
  <c r="CL109" i="3"/>
  <c r="FQ108" i="3"/>
  <c r="FP108" i="3"/>
  <c r="FO108" i="3"/>
  <c r="FN108" i="3"/>
  <c r="FM108" i="3"/>
  <c r="FL108" i="3"/>
  <c r="FK108" i="3"/>
  <c r="FJ108" i="3"/>
  <c r="FI108" i="3"/>
  <c r="FH108" i="3"/>
  <c r="FG108" i="3"/>
  <c r="FF108" i="3"/>
  <c r="FE108" i="3"/>
  <c r="FD108" i="3"/>
  <c r="FC108" i="3"/>
  <c r="FB108" i="3"/>
  <c r="FA108" i="3"/>
  <c r="EZ108" i="3"/>
  <c r="EY108" i="3"/>
  <c r="EX108" i="3"/>
  <c r="EW108" i="3"/>
  <c r="EV108" i="3"/>
  <c r="EU108" i="3"/>
  <c r="ET108" i="3"/>
  <c r="ES108" i="3"/>
  <c r="ER108" i="3"/>
  <c r="EQ108" i="3"/>
  <c r="EP108" i="3"/>
  <c r="EO108" i="3"/>
  <c r="EN108" i="3"/>
  <c r="EM108" i="3"/>
  <c r="EL108" i="3"/>
  <c r="EK108" i="3"/>
  <c r="EJ108" i="3"/>
  <c r="EI108" i="3"/>
  <c r="EH108" i="3"/>
  <c r="EG108" i="3"/>
  <c r="EF108" i="3"/>
  <c r="EE108" i="3"/>
  <c r="ED108" i="3"/>
  <c r="EC108" i="3"/>
  <c r="EB108" i="3"/>
  <c r="EA108" i="3"/>
  <c r="DZ108" i="3"/>
  <c r="DY108" i="3"/>
  <c r="DX108" i="3"/>
  <c r="DW108" i="3"/>
  <c r="DV108" i="3"/>
  <c r="DU108" i="3"/>
  <c r="DT108" i="3"/>
  <c r="DS108" i="3"/>
  <c r="DR108" i="3"/>
  <c r="DQ108" i="3"/>
  <c r="DP108" i="3"/>
  <c r="DO108" i="3"/>
  <c r="DN108" i="3"/>
  <c r="DM108" i="3"/>
  <c r="DL108" i="3"/>
  <c r="DK108" i="3"/>
  <c r="DJ108" i="3"/>
  <c r="DI108" i="3"/>
  <c r="DH108" i="3"/>
  <c r="DG108" i="3"/>
  <c r="DF108" i="3"/>
  <c r="DE108" i="3"/>
  <c r="DD108" i="3"/>
  <c r="DC108" i="3"/>
  <c r="DB108" i="3"/>
  <c r="DA108" i="3"/>
  <c r="CZ108" i="3"/>
  <c r="CY108" i="3"/>
  <c r="CX108" i="3"/>
  <c r="CW108" i="3"/>
  <c r="CV108" i="3"/>
  <c r="CU108" i="3"/>
  <c r="CT108" i="3"/>
  <c r="CS108" i="3"/>
  <c r="CR108" i="3"/>
  <c r="CQ108" i="3"/>
  <c r="CP108" i="3"/>
  <c r="CO108" i="3"/>
  <c r="CN108" i="3"/>
  <c r="CM108" i="3"/>
  <c r="CL108" i="3"/>
  <c r="FQ107" i="3"/>
  <c r="FP107" i="3"/>
  <c r="FO107" i="3"/>
  <c r="FN107" i="3"/>
  <c r="FM107" i="3"/>
  <c r="FL107" i="3"/>
  <c r="FK107" i="3"/>
  <c r="FJ107" i="3"/>
  <c r="FI107" i="3"/>
  <c r="FH107" i="3"/>
  <c r="FG107" i="3"/>
  <c r="FF107" i="3"/>
  <c r="FE107" i="3"/>
  <c r="FD107" i="3"/>
  <c r="FC107" i="3"/>
  <c r="FB107" i="3"/>
  <c r="FA107" i="3"/>
  <c r="EZ107" i="3"/>
  <c r="EY107" i="3"/>
  <c r="EX107" i="3"/>
  <c r="EW107" i="3"/>
  <c r="EV107" i="3"/>
  <c r="EU107" i="3"/>
  <c r="ET107" i="3"/>
  <c r="ES107" i="3"/>
  <c r="ER107" i="3"/>
  <c r="EQ107" i="3"/>
  <c r="EP107" i="3"/>
  <c r="EO107" i="3"/>
  <c r="EN107" i="3"/>
  <c r="EM107" i="3"/>
  <c r="EL107" i="3"/>
  <c r="EK107" i="3"/>
  <c r="EJ107" i="3"/>
  <c r="EI107" i="3"/>
  <c r="EH107" i="3"/>
  <c r="EG107" i="3"/>
  <c r="EF107" i="3"/>
  <c r="EE107" i="3"/>
  <c r="ED107" i="3"/>
  <c r="EC107" i="3"/>
  <c r="EB107" i="3"/>
  <c r="EA107" i="3"/>
  <c r="DZ107" i="3"/>
  <c r="DY107" i="3"/>
  <c r="DX107" i="3"/>
  <c r="DW107" i="3"/>
  <c r="DV107" i="3"/>
  <c r="DU107" i="3"/>
  <c r="DT107" i="3"/>
  <c r="DS107" i="3"/>
  <c r="DR107" i="3"/>
  <c r="DQ107" i="3"/>
  <c r="DP107" i="3"/>
  <c r="DO107" i="3"/>
  <c r="DN107" i="3"/>
  <c r="DM107" i="3"/>
  <c r="DL107" i="3"/>
  <c r="DK107" i="3"/>
  <c r="DJ107" i="3"/>
  <c r="DI107" i="3"/>
  <c r="DH107" i="3"/>
  <c r="DG107" i="3"/>
  <c r="DF107" i="3"/>
  <c r="DE107" i="3"/>
  <c r="DD107" i="3"/>
  <c r="DC107" i="3"/>
  <c r="DB107" i="3"/>
  <c r="DA107" i="3"/>
  <c r="CZ107" i="3"/>
  <c r="CY107" i="3"/>
  <c r="CX107" i="3"/>
  <c r="CW107" i="3"/>
  <c r="CV107" i="3"/>
  <c r="CU107" i="3"/>
  <c r="CT107" i="3"/>
  <c r="CS107" i="3"/>
  <c r="CR107" i="3"/>
  <c r="CQ107" i="3"/>
  <c r="CP107" i="3"/>
  <c r="CO107" i="3"/>
  <c r="CN107" i="3"/>
  <c r="CM107" i="3"/>
  <c r="CL107" i="3"/>
  <c r="FQ106" i="3"/>
  <c r="FP106" i="3"/>
  <c r="FO106" i="3"/>
  <c r="FN106" i="3"/>
  <c r="FM106" i="3"/>
  <c r="FL106" i="3"/>
  <c r="FK106" i="3"/>
  <c r="FJ106" i="3"/>
  <c r="FI106" i="3"/>
  <c r="FH106" i="3"/>
  <c r="FG106" i="3"/>
  <c r="FF106" i="3"/>
  <c r="FE106" i="3"/>
  <c r="FD106" i="3"/>
  <c r="FC106" i="3"/>
  <c r="FB106" i="3"/>
  <c r="FA106" i="3"/>
  <c r="EZ106" i="3"/>
  <c r="EY106" i="3"/>
  <c r="EX106" i="3"/>
  <c r="EW106" i="3"/>
  <c r="EV106" i="3"/>
  <c r="EU106" i="3"/>
  <c r="ET106" i="3"/>
  <c r="ES106" i="3"/>
  <c r="ER106" i="3"/>
  <c r="EQ106" i="3"/>
  <c r="EP106" i="3"/>
  <c r="EO106" i="3"/>
  <c r="EN106" i="3"/>
  <c r="EM106" i="3"/>
  <c r="EL106" i="3"/>
  <c r="EK106" i="3"/>
  <c r="EJ106" i="3"/>
  <c r="EI106" i="3"/>
  <c r="EH106" i="3"/>
  <c r="EG106" i="3"/>
  <c r="EF106" i="3"/>
  <c r="EE106" i="3"/>
  <c r="ED106" i="3"/>
  <c r="EC106" i="3"/>
  <c r="EB106" i="3"/>
  <c r="EA106" i="3"/>
  <c r="DZ106" i="3"/>
  <c r="DY106" i="3"/>
  <c r="DX106" i="3"/>
  <c r="DW106" i="3"/>
  <c r="DV106" i="3"/>
  <c r="DU106" i="3"/>
  <c r="DT106" i="3"/>
  <c r="DS106" i="3"/>
  <c r="DR106" i="3"/>
  <c r="DQ106" i="3"/>
  <c r="DP106" i="3"/>
  <c r="DO106" i="3"/>
  <c r="DN106" i="3"/>
  <c r="DM106" i="3"/>
  <c r="DL106" i="3"/>
  <c r="DK106" i="3"/>
  <c r="DJ106" i="3"/>
  <c r="DI106" i="3"/>
  <c r="DH106" i="3"/>
  <c r="DG106" i="3"/>
  <c r="DF106" i="3"/>
  <c r="DE106" i="3"/>
  <c r="DD106" i="3"/>
  <c r="DC106" i="3"/>
  <c r="DB106" i="3"/>
  <c r="DA106" i="3"/>
  <c r="CZ106" i="3"/>
  <c r="CY106" i="3"/>
  <c r="CX106" i="3"/>
  <c r="CW106" i="3"/>
  <c r="CV106" i="3"/>
  <c r="CU106" i="3"/>
  <c r="CT106" i="3"/>
  <c r="CS106" i="3"/>
  <c r="CR106" i="3"/>
  <c r="CQ106" i="3"/>
  <c r="CP106" i="3"/>
  <c r="CO106" i="3"/>
  <c r="CN106" i="3"/>
  <c r="CM106" i="3"/>
  <c r="CL106" i="3"/>
  <c r="FQ105" i="3"/>
  <c r="FP105" i="3"/>
  <c r="FO105" i="3"/>
  <c r="FN105" i="3"/>
  <c r="FM105" i="3"/>
  <c r="FL105" i="3"/>
  <c r="FK105" i="3"/>
  <c r="FJ105" i="3"/>
  <c r="FI105" i="3"/>
  <c r="FH105" i="3"/>
  <c r="FG105" i="3"/>
  <c r="FF105" i="3"/>
  <c r="FE105" i="3"/>
  <c r="FD105" i="3"/>
  <c r="FC105" i="3"/>
  <c r="FB105" i="3"/>
  <c r="FA105" i="3"/>
  <c r="EZ105" i="3"/>
  <c r="EY105" i="3"/>
  <c r="EX105" i="3"/>
  <c r="EW105" i="3"/>
  <c r="EV105" i="3"/>
  <c r="EU105" i="3"/>
  <c r="ET105" i="3"/>
  <c r="ES105" i="3"/>
  <c r="ER105" i="3"/>
  <c r="EQ105" i="3"/>
  <c r="EP105" i="3"/>
  <c r="EO105" i="3"/>
  <c r="EN105" i="3"/>
  <c r="EM105" i="3"/>
  <c r="EL105" i="3"/>
  <c r="EK105" i="3"/>
  <c r="EJ105" i="3"/>
  <c r="EI105" i="3"/>
  <c r="EH105" i="3"/>
  <c r="EG105" i="3"/>
  <c r="EF105" i="3"/>
  <c r="EE105" i="3"/>
  <c r="ED105" i="3"/>
  <c r="EC105" i="3"/>
  <c r="EB105" i="3"/>
  <c r="EA105" i="3"/>
  <c r="DZ105" i="3"/>
  <c r="DY105" i="3"/>
  <c r="DX105" i="3"/>
  <c r="DW105" i="3"/>
  <c r="DV105" i="3"/>
  <c r="DU105" i="3"/>
  <c r="DT105" i="3"/>
  <c r="DS105" i="3"/>
  <c r="DR105" i="3"/>
  <c r="DQ105" i="3"/>
  <c r="DP105" i="3"/>
  <c r="DO105" i="3"/>
  <c r="DN105" i="3"/>
  <c r="DM105" i="3"/>
  <c r="DL105" i="3"/>
  <c r="DK105" i="3"/>
  <c r="DJ105" i="3"/>
  <c r="DI105" i="3"/>
  <c r="DH105" i="3"/>
  <c r="DG105" i="3"/>
  <c r="DF105" i="3"/>
  <c r="DE105" i="3"/>
  <c r="DD105" i="3"/>
  <c r="DC105" i="3"/>
  <c r="DB105" i="3"/>
  <c r="DA105" i="3"/>
  <c r="CZ105" i="3"/>
  <c r="CY105" i="3"/>
  <c r="CX105" i="3"/>
  <c r="CW105" i="3"/>
  <c r="CV105" i="3"/>
  <c r="CU105" i="3"/>
  <c r="CT105" i="3"/>
  <c r="CS105" i="3"/>
  <c r="CR105" i="3"/>
  <c r="CQ105" i="3"/>
  <c r="CP105" i="3"/>
  <c r="CO105" i="3"/>
  <c r="CN105" i="3"/>
  <c r="CM105" i="3"/>
  <c r="CL105" i="3"/>
  <c r="FQ104" i="3"/>
  <c r="FP104" i="3"/>
  <c r="FO104" i="3"/>
  <c r="FN104" i="3"/>
  <c r="FM104" i="3"/>
  <c r="FL104" i="3"/>
  <c r="FK104" i="3"/>
  <c r="FJ104" i="3"/>
  <c r="FI104" i="3"/>
  <c r="FH104" i="3"/>
  <c r="FG104" i="3"/>
  <c r="FF104" i="3"/>
  <c r="FE104" i="3"/>
  <c r="FD104" i="3"/>
  <c r="FC104" i="3"/>
  <c r="FB104" i="3"/>
  <c r="FA104" i="3"/>
  <c r="EZ104" i="3"/>
  <c r="EY104" i="3"/>
  <c r="EX104" i="3"/>
  <c r="EW104" i="3"/>
  <c r="EV104" i="3"/>
  <c r="EU104" i="3"/>
  <c r="ET104" i="3"/>
  <c r="ES104" i="3"/>
  <c r="ER104" i="3"/>
  <c r="EQ104" i="3"/>
  <c r="EP104" i="3"/>
  <c r="EO104" i="3"/>
  <c r="EN104" i="3"/>
  <c r="EM104" i="3"/>
  <c r="EL104" i="3"/>
  <c r="EK104" i="3"/>
  <c r="EJ104" i="3"/>
  <c r="EI104" i="3"/>
  <c r="EH104" i="3"/>
  <c r="EG104" i="3"/>
  <c r="EF104" i="3"/>
  <c r="EE104" i="3"/>
  <c r="ED104" i="3"/>
  <c r="EC104" i="3"/>
  <c r="EB104" i="3"/>
  <c r="EA104" i="3"/>
  <c r="DZ104" i="3"/>
  <c r="DY104" i="3"/>
  <c r="DX104" i="3"/>
  <c r="DW104" i="3"/>
  <c r="DV104" i="3"/>
  <c r="DU104" i="3"/>
  <c r="DT104" i="3"/>
  <c r="DS104" i="3"/>
  <c r="DR104" i="3"/>
  <c r="DQ104" i="3"/>
  <c r="DP104" i="3"/>
  <c r="DO104" i="3"/>
  <c r="DN104" i="3"/>
  <c r="DM104" i="3"/>
  <c r="DL104" i="3"/>
  <c r="DK104" i="3"/>
  <c r="DJ104" i="3"/>
  <c r="DI104" i="3"/>
  <c r="DH104" i="3"/>
  <c r="DG104" i="3"/>
  <c r="DF104" i="3"/>
  <c r="DE104" i="3"/>
  <c r="DD104" i="3"/>
  <c r="DC104" i="3"/>
  <c r="DB104" i="3"/>
  <c r="DA104" i="3"/>
  <c r="CZ104" i="3"/>
  <c r="CY104" i="3"/>
  <c r="CX104" i="3"/>
  <c r="CW104" i="3"/>
  <c r="CV104" i="3"/>
  <c r="CU104" i="3"/>
  <c r="CT104" i="3"/>
  <c r="CS104" i="3"/>
  <c r="CR104" i="3"/>
  <c r="CQ104" i="3"/>
  <c r="CP104" i="3"/>
  <c r="CO104" i="3"/>
  <c r="CN104" i="3"/>
  <c r="CM104" i="3"/>
  <c r="CL104" i="3"/>
  <c r="FQ103" i="3"/>
  <c r="FP103" i="3"/>
  <c r="FO103" i="3"/>
  <c r="FN103" i="3"/>
  <c r="FM103" i="3"/>
  <c r="FL103" i="3"/>
  <c r="FK103" i="3"/>
  <c r="FJ103" i="3"/>
  <c r="FI103" i="3"/>
  <c r="FH103" i="3"/>
  <c r="FG103" i="3"/>
  <c r="FF103" i="3"/>
  <c r="FE103" i="3"/>
  <c r="FD103" i="3"/>
  <c r="FC103" i="3"/>
  <c r="FB103" i="3"/>
  <c r="FA103" i="3"/>
  <c r="EZ103" i="3"/>
  <c r="EY103" i="3"/>
  <c r="EX103" i="3"/>
  <c r="EW103" i="3"/>
  <c r="EV103" i="3"/>
  <c r="EU103" i="3"/>
  <c r="ET103" i="3"/>
  <c r="ES103" i="3"/>
  <c r="ER103" i="3"/>
  <c r="EQ103" i="3"/>
  <c r="EP103" i="3"/>
  <c r="EO103" i="3"/>
  <c r="EN103" i="3"/>
  <c r="EM103" i="3"/>
  <c r="EL103" i="3"/>
  <c r="EK103" i="3"/>
  <c r="EJ103" i="3"/>
  <c r="EI103" i="3"/>
  <c r="EH103" i="3"/>
  <c r="EG103" i="3"/>
  <c r="EF103" i="3"/>
  <c r="EE103" i="3"/>
  <c r="ED103" i="3"/>
  <c r="EC103" i="3"/>
  <c r="EB103" i="3"/>
  <c r="EA103" i="3"/>
  <c r="DZ103" i="3"/>
  <c r="DY103" i="3"/>
  <c r="DX103" i="3"/>
  <c r="DW103" i="3"/>
  <c r="DV103" i="3"/>
  <c r="DU103" i="3"/>
  <c r="DT103" i="3"/>
  <c r="DS103" i="3"/>
  <c r="DR103" i="3"/>
  <c r="DQ103" i="3"/>
  <c r="DP103" i="3"/>
  <c r="DO103" i="3"/>
  <c r="DN103" i="3"/>
  <c r="DM103" i="3"/>
  <c r="DL103" i="3"/>
  <c r="DK103" i="3"/>
  <c r="DJ103" i="3"/>
  <c r="DI103" i="3"/>
  <c r="DH103" i="3"/>
  <c r="DG103" i="3"/>
  <c r="DF103" i="3"/>
  <c r="DE103" i="3"/>
  <c r="DD103" i="3"/>
  <c r="DC103" i="3"/>
  <c r="DB103" i="3"/>
  <c r="DA103" i="3"/>
  <c r="CZ103" i="3"/>
  <c r="CY103" i="3"/>
  <c r="CX103" i="3"/>
  <c r="CW103" i="3"/>
  <c r="CV103" i="3"/>
  <c r="CU103" i="3"/>
  <c r="CT103" i="3"/>
  <c r="CS103" i="3"/>
  <c r="CR103" i="3"/>
  <c r="CQ103" i="3"/>
  <c r="CP103" i="3"/>
  <c r="CO103" i="3"/>
  <c r="CN103" i="3"/>
  <c r="CM103" i="3"/>
  <c r="CL103" i="3"/>
  <c r="FQ102" i="3"/>
  <c r="FP102" i="3"/>
  <c r="FO102" i="3"/>
  <c r="FN102" i="3"/>
  <c r="FM102" i="3"/>
  <c r="FL102" i="3"/>
  <c r="FK102" i="3"/>
  <c r="FJ102" i="3"/>
  <c r="FI102" i="3"/>
  <c r="FH102" i="3"/>
  <c r="FG102" i="3"/>
  <c r="FF102" i="3"/>
  <c r="FE102" i="3"/>
  <c r="FD102" i="3"/>
  <c r="FC102" i="3"/>
  <c r="FB102" i="3"/>
  <c r="FA102" i="3"/>
  <c r="EZ102" i="3"/>
  <c r="EY102" i="3"/>
  <c r="EX102" i="3"/>
  <c r="EW102" i="3"/>
  <c r="EV102" i="3"/>
  <c r="EU102" i="3"/>
  <c r="ET102" i="3"/>
  <c r="ES102" i="3"/>
  <c r="ER102" i="3"/>
  <c r="EQ102" i="3"/>
  <c r="EP102" i="3"/>
  <c r="EO102" i="3"/>
  <c r="EN102" i="3"/>
  <c r="EM102" i="3"/>
  <c r="EL102" i="3"/>
  <c r="EK102" i="3"/>
  <c r="EJ102" i="3"/>
  <c r="EI102" i="3"/>
  <c r="EH102" i="3"/>
  <c r="EG102" i="3"/>
  <c r="EF102" i="3"/>
  <c r="EE102" i="3"/>
  <c r="ED102" i="3"/>
  <c r="EC102" i="3"/>
  <c r="EB102" i="3"/>
  <c r="EA102" i="3"/>
  <c r="DZ102" i="3"/>
  <c r="DY102" i="3"/>
  <c r="DX102" i="3"/>
  <c r="DW102" i="3"/>
  <c r="DV102" i="3"/>
  <c r="DU102" i="3"/>
  <c r="DT102" i="3"/>
  <c r="DS102" i="3"/>
  <c r="DR102" i="3"/>
  <c r="DQ102" i="3"/>
  <c r="DP102" i="3"/>
  <c r="DO102" i="3"/>
  <c r="DN102" i="3"/>
  <c r="DM102" i="3"/>
  <c r="DL102" i="3"/>
  <c r="DK102" i="3"/>
  <c r="DJ102" i="3"/>
  <c r="DI102" i="3"/>
  <c r="DH102" i="3"/>
  <c r="DG102" i="3"/>
  <c r="DF102" i="3"/>
  <c r="DE102" i="3"/>
  <c r="DD102" i="3"/>
  <c r="DC102" i="3"/>
  <c r="DB102" i="3"/>
  <c r="DA102" i="3"/>
  <c r="CZ102" i="3"/>
  <c r="CY102" i="3"/>
  <c r="CX102" i="3"/>
  <c r="CW102" i="3"/>
  <c r="CV102" i="3"/>
  <c r="CU102" i="3"/>
  <c r="CT102" i="3"/>
  <c r="CS102" i="3"/>
  <c r="CR102" i="3"/>
  <c r="CQ102" i="3"/>
  <c r="CP102" i="3"/>
  <c r="CO102" i="3"/>
  <c r="CN102" i="3"/>
  <c r="CM102" i="3"/>
  <c r="CL102" i="3"/>
  <c r="FQ101" i="3"/>
  <c r="FP101" i="3"/>
  <c r="FO101" i="3"/>
  <c r="FN101" i="3"/>
  <c r="FM101" i="3"/>
  <c r="FL101" i="3"/>
  <c r="FK101" i="3"/>
  <c r="FJ101" i="3"/>
  <c r="FI101" i="3"/>
  <c r="FH101" i="3"/>
  <c r="FG101" i="3"/>
  <c r="FF101" i="3"/>
  <c r="FE101" i="3"/>
  <c r="FD101" i="3"/>
  <c r="FC101" i="3"/>
  <c r="FB101" i="3"/>
  <c r="FA101" i="3"/>
  <c r="EZ101" i="3"/>
  <c r="EY101" i="3"/>
  <c r="EX101" i="3"/>
  <c r="EW101" i="3"/>
  <c r="EV101" i="3"/>
  <c r="EU101" i="3"/>
  <c r="ET101" i="3"/>
  <c r="ES101" i="3"/>
  <c r="ER101" i="3"/>
  <c r="EQ101" i="3"/>
  <c r="EP101" i="3"/>
  <c r="EO101" i="3"/>
  <c r="EN101" i="3"/>
  <c r="EM101" i="3"/>
  <c r="EL101" i="3"/>
  <c r="EK101" i="3"/>
  <c r="EJ101" i="3"/>
  <c r="EI101" i="3"/>
  <c r="EH101" i="3"/>
  <c r="EG101" i="3"/>
  <c r="EF101" i="3"/>
  <c r="EE101" i="3"/>
  <c r="ED101" i="3"/>
  <c r="EC101" i="3"/>
  <c r="EB101" i="3"/>
  <c r="EA101" i="3"/>
  <c r="DZ101" i="3"/>
  <c r="DY101" i="3"/>
  <c r="DX101" i="3"/>
  <c r="DW101" i="3"/>
  <c r="DV101" i="3"/>
  <c r="DU101" i="3"/>
  <c r="DT101" i="3"/>
  <c r="DS101" i="3"/>
  <c r="DR101" i="3"/>
  <c r="DQ101" i="3"/>
  <c r="DP101" i="3"/>
  <c r="DO101" i="3"/>
  <c r="DN101" i="3"/>
  <c r="DM101" i="3"/>
  <c r="DL101" i="3"/>
  <c r="DK101" i="3"/>
  <c r="DJ101" i="3"/>
  <c r="DI101" i="3"/>
  <c r="DH101" i="3"/>
  <c r="DG101" i="3"/>
  <c r="DF101" i="3"/>
  <c r="DE101" i="3"/>
  <c r="DD101" i="3"/>
  <c r="DC101" i="3"/>
  <c r="DB101" i="3"/>
  <c r="DA101" i="3"/>
  <c r="CZ101" i="3"/>
  <c r="CY101" i="3"/>
  <c r="CX101" i="3"/>
  <c r="CW101" i="3"/>
  <c r="CV101" i="3"/>
  <c r="CU101" i="3"/>
  <c r="CT101" i="3"/>
  <c r="CS101" i="3"/>
  <c r="CR101" i="3"/>
  <c r="CQ101" i="3"/>
  <c r="CP101" i="3"/>
  <c r="CO101" i="3"/>
  <c r="CN101" i="3"/>
  <c r="CM101" i="3"/>
  <c r="CL101" i="3"/>
  <c r="FQ100" i="3"/>
  <c r="FP100" i="3"/>
  <c r="FO100" i="3"/>
  <c r="FN100" i="3"/>
  <c r="FM100" i="3"/>
  <c r="FL100" i="3"/>
  <c r="FK100" i="3"/>
  <c r="FJ100" i="3"/>
  <c r="FI100" i="3"/>
  <c r="FH100" i="3"/>
  <c r="FG100" i="3"/>
  <c r="FF100" i="3"/>
  <c r="FE100" i="3"/>
  <c r="FD100" i="3"/>
  <c r="FC100" i="3"/>
  <c r="FB100" i="3"/>
  <c r="FA100" i="3"/>
  <c r="EZ100" i="3"/>
  <c r="EY100" i="3"/>
  <c r="EX100" i="3"/>
  <c r="EW100" i="3"/>
  <c r="EV100" i="3"/>
  <c r="EU100" i="3"/>
  <c r="ET100" i="3"/>
  <c r="ES100" i="3"/>
  <c r="ER100" i="3"/>
  <c r="EQ100" i="3"/>
  <c r="EP100" i="3"/>
  <c r="EO100" i="3"/>
  <c r="EN100" i="3"/>
  <c r="EM100" i="3"/>
  <c r="EL100" i="3"/>
  <c r="EK100" i="3"/>
  <c r="EJ100" i="3"/>
  <c r="EI100" i="3"/>
  <c r="EH100" i="3"/>
  <c r="EG100" i="3"/>
  <c r="EF100" i="3"/>
  <c r="EE100" i="3"/>
  <c r="ED100" i="3"/>
  <c r="EC100" i="3"/>
  <c r="EB100" i="3"/>
  <c r="EA100" i="3"/>
  <c r="DZ100" i="3"/>
  <c r="DY100" i="3"/>
  <c r="DX100" i="3"/>
  <c r="DW100" i="3"/>
  <c r="DV100" i="3"/>
  <c r="DU100" i="3"/>
  <c r="DT100" i="3"/>
  <c r="DS100" i="3"/>
  <c r="DR100" i="3"/>
  <c r="DQ100" i="3"/>
  <c r="DP100" i="3"/>
  <c r="DO100" i="3"/>
  <c r="DN100" i="3"/>
  <c r="DM100" i="3"/>
  <c r="DL100" i="3"/>
  <c r="DK100" i="3"/>
  <c r="DJ100" i="3"/>
  <c r="DI100" i="3"/>
  <c r="DH100" i="3"/>
  <c r="DG100" i="3"/>
  <c r="DF100" i="3"/>
  <c r="DE100" i="3"/>
  <c r="DD100" i="3"/>
  <c r="DC100" i="3"/>
  <c r="DB100" i="3"/>
  <c r="DA100" i="3"/>
  <c r="CZ100" i="3"/>
  <c r="CY100" i="3"/>
  <c r="CX100" i="3"/>
  <c r="CW100" i="3"/>
  <c r="CV100" i="3"/>
  <c r="CU100" i="3"/>
  <c r="CT100" i="3"/>
  <c r="CS100" i="3"/>
  <c r="CR100" i="3"/>
  <c r="CQ100" i="3"/>
  <c r="CP100" i="3"/>
  <c r="CO100" i="3"/>
  <c r="CN100" i="3"/>
  <c r="CM100" i="3"/>
  <c r="CL100" i="3"/>
  <c r="FQ99" i="3"/>
  <c r="FP99" i="3"/>
  <c r="FO99" i="3"/>
  <c r="FN99" i="3"/>
  <c r="FM99" i="3"/>
  <c r="FL99" i="3"/>
  <c r="FK99" i="3"/>
  <c r="FJ99" i="3"/>
  <c r="FI99" i="3"/>
  <c r="FH99" i="3"/>
  <c r="FG99" i="3"/>
  <c r="FF99" i="3"/>
  <c r="FE99" i="3"/>
  <c r="FD99" i="3"/>
  <c r="FC99" i="3"/>
  <c r="FB99" i="3"/>
  <c r="FA99" i="3"/>
  <c r="EZ99" i="3"/>
  <c r="EY99" i="3"/>
  <c r="EX99" i="3"/>
  <c r="EW99" i="3"/>
  <c r="EV99" i="3"/>
  <c r="EU99" i="3"/>
  <c r="ET99" i="3"/>
  <c r="ES99" i="3"/>
  <c r="ER99" i="3"/>
  <c r="EQ99" i="3"/>
  <c r="EP99" i="3"/>
  <c r="EO99" i="3"/>
  <c r="EN99" i="3"/>
  <c r="EM99" i="3"/>
  <c r="EL99" i="3"/>
  <c r="EK99" i="3"/>
  <c r="EJ99" i="3"/>
  <c r="EI99" i="3"/>
  <c r="EH99" i="3"/>
  <c r="EG99" i="3"/>
  <c r="EF99" i="3"/>
  <c r="EE99" i="3"/>
  <c r="ED99" i="3"/>
  <c r="EC99" i="3"/>
  <c r="EB99" i="3"/>
  <c r="EA99" i="3"/>
  <c r="DZ99" i="3"/>
  <c r="DY99" i="3"/>
  <c r="DX99" i="3"/>
  <c r="DW99" i="3"/>
  <c r="DV99" i="3"/>
  <c r="DU99" i="3"/>
  <c r="DT99" i="3"/>
  <c r="DS99" i="3"/>
  <c r="DR99" i="3"/>
  <c r="DQ99" i="3"/>
  <c r="DP99" i="3"/>
  <c r="DO99" i="3"/>
  <c r="DN99" i="3"/>
  <c r="DM99" i="3"/>
  <c r="DL99" i="3"/>
  <c r="DK99" i="3"/>
  <c r="DJ99" i="3"/>
  <c r="DI99" i="3"/>
  <c r="DH99" i="3"/>
  <c r="DG99" i="3"/>
  <c r="DF99" i="3"/>
  <c r="DE99" i="3"/>
  <c r="DD99" i="3"/>
  <c r="DC99" i="3"/>
  <c r="DB99" i="3"/>
  <c r="DA99" i="3"/>
  <c r="CZ99" i="3"/>
  <c r="CY99" i="3"/>
  <c r="CX99" i="3"/>
  <c r="CW99" i="3"/>
  <c r="CV99" i="3"/>
  <c r="CU99" i="3"/>
  <c r="CT99" i="3"/>
  <c r="CS99" i="3"/>
  <c r="CR99" i="3"/>
  <c r="CQ99" i="3"/>
  <c r="CP99" i="3"/>
  <c r="CO99" i="3"/>
  <c r="CN99" i="3"/>
  <c r="CM99" i="3"/>
  <c r="CL99" i="3"/>
  <c r="FQ98" i="3"/>
  <c r="FP98" i="3"/>
  <c r="FO98" i="3"/>
  <c r="FN98" i="3"/>
  <c r="FM98" i="3"/>
  <c r="FL98" i="3"/>
  <c r="FK98" i="3"/>
  <c r="FJ98" i="3"/>
  <c r="FI98" i="3"/>
  <c r="FH98" i="3"/>
  <c r="FG98" i="3"/>
  <c r="FF98" i="3"/>
  <c r="FE98" i="3"/>
  <c r="FD98" i="3"/>
  <c r="FC98" i="3"/>
  <c r="FB98" i="3"/>
  <c r="FA98" i="3"/>
  <c r="EZ98" i="3"/>
  <c r="EY98" i="3"/>
  <c r="EX98" i="3"/>
  <c r="EW98" i="3"/>
  <c r="EV98" i="3"/>
  <c r="EU98" i="3"/>
  <c r="ET98" i="3"/>
  <c r="ES98" i="3"/>
  <c r="ER98" i="3"/>
  <c r="EQ98" i="3"/>
  <c r="EP98" i="3"/>
  <c r="EO98" i="3"/>
  <c r="EN98" i="3"/>
  <c r="EM98" i="3"/>
  <c r="EL98" i="3"/>
  <c r="EK98" i="3"/>
  <c r="EJ98" i="3"/>
  <c r="EI98" i="3"/>
  <c r="EH98" i="3"/>
  <c r="EG98" i="3"/>
  <c r="EF98" i="3"/>
  <c r="EE98" i="3"/>
  <c r="ED98" i="3"/>
  <c r="EC98" i="3"/>
  <c r="EB98" i="3"/>
  <c r="EA98" i="3"/>
  <c r="DZ98" i="3"/>
  <c r="DY98" i="3"/>
  <c r="DX98" i="3"/>
  <c r="DW98" i="3"/>
  <c r="DV98" i="3"/>
  <c r="DU98" i="3"/>
  <c r="DT98" i="3"/>
  <c r="DS98" i="3"/>
  <c r="DR98" i="3"/>
  <c r="DQ98" i="3"/>
  <c r="DP98" i="3"/>
  <c r="DO98" i="3"/>
  <c r="DN98" i="3"/>
  <c r="DM98" i="3"/>
  <c r="DL98" i="3"/>
  <c r="DK98" i="3"/>
  <c r="DJ98" i="3"/>
  <c r="DI98" i="3"/>
  <c r="DH98" i="3"/>
  <c r="DG98" i="3"/>
  <c r="DF98" i="3"/>
  <c r="DE98" i="3"/>
  <c r="DD98" i="3"/>
  <c r="DC98" i="3"/>
  <c r="DB98" i="3"/>
  <c r="DA98" i="3"/>
  <c r="CZ98" i="3"/>
  <c r="CY98" i="3"/>
  <c r="CX98" i="3"/>
  <c r="CW98" i="3"/>
  <c r="CV98" i="3"/>
  <c r="CU98" i="3"/>
  <c r="CT98" i="3"/>
  <c r="CS98" i="3"/>
  <c r="CR98" i="3"/>
  <c r="CQ98" i="3"/>
  <c r="CP98" i="3"/>
  <c r="CO98" i="3"/>
  <c r="CN98" i="3"/>
  <c r="CM98" i="3"/>
  <c r="CL98" i="3"/>
  <c r="FQ97" i="3"/>
  <c r="FP97" i="3"/>
  <c r="FO97" i="3"/>
  <c r="FN97" i="3"/>
  <c r="FM97" i="3"/>
  <c r="FL97" i="3"/>
  <c r="FK97" i="3"/>
  <c r="FJ97" i="3"/>
  <c r="FI97" i="3"/>
  <c r="FH97" i="3"/>
  <c r="FG97" i="3"/>
  <c r="FF97" i="3"/>
  <c r="FE97" i="3"/>
  <c r="FD97" i="3"/>
  <c r="FC97" i="3"/>
  <c r="FB97" i="3"/>
  <c r="FA97" i="3"/>
  <c r="EZ97" i="3"/>
  <c r="EY97" i="3"/>
  <c r="EX97" i="3"/>
  <c r="EW97" i="3"/>
  <c r="EV97" i="3"/>
  <c r="EU97" i="3"/>
  <c r="ET97" i="3"/>
  <c r="ES97" i="3"/>
  <c r="ER97" i="3"/>
  <c r="EQ97" i="3"/>
  <c r="EP97" i="3"/>
  <c r="EO97" i="3"/>
  <c r="EN97" i="3"/>
  <c r="EM97" i="3"/>
  <c r="EL97" i="3"/>
  <c r="EK97" i="3"/>
  <c r="EJ97" i="3"/>
  <c r="EI97" i="3"/>
  <c r="EH97" i="3"/>
  <c r="EG97" i="3"/>
  <c r="EF97" i="3"/>
  <c r="EE97" i="3"/>
  <c r="ED97" i="3"/>
  <c r="EC97" i="3"/>
  <c r="EB97" i="3"/>
  <c r="EA97" i="3"/>
  <c r="DZ97" i="3"/>
  <c r="DY97" i="3"/>
  <c r="DX97" i="3"/>
  <c r="DW97" i="3"/>
  <c r="DV97" i="3"/>
  <c r="DU97" i="3"/>
  <c r="DT97" i="3"/>
  <c r="DS97" i="3"/>
  <c r="DR97" i="3"/>
  <c r="DQ97" i="3"/>
  <c r="DP97" i="3"/>
  <c r="DO97" i="3"/>
  <c r="DN97" i="3"/>
  <c r="DM97" i="3"/>
  <c r="DL97" i="3"/>
  <c r="DK97" i="3"/>
  <c r="DJ97" i="3"/>
  <c r="DI97" i="3"/>
  <c r="DH97" i="3"/>
  <c r="DG97" i="3"/>
  <c r="DF97" i="3"/>
  <c r="DE97" i="3"/>
  <c r="DD97" i="3"/>
  <c r="DC97" i="3"/>
  <c r="DB97" i="3"/>
  <c r="DA97" i="3"/>
  <c r="CZ97" i="3"/>
  <c r="CY97" i="3"/>
  <c r="CX97" i="3"/>
  <c r="CW97" i="3"/>
  <c r="CV97" i="3"/>
  <c r="CU97" i="3"/>
  <c r="CT97" i="3"/>
  <c r="CS97" i="3"/>
  <c r="CR97" i="3"/>
  <c r="CQ97" i="3"/>
  <c r="CP97" i="3"/>
  <c r="CO97" i="3"/>
  <c r="CN97" i="3"/>
  <c r="CM97" i="3"/>
  <c r="CL97" i="3"/>
  <c r="FQ96" i="3"/>
  <c r="FP96" i="3"/>
  <c r="FO96" i="3"/>
  <c r="FN96" i="3"/>
  <c r="FM96" i="3"/>
  <c r="FL96" i="3"/>
  <c r="FK96" i="3"/>
  <c r="FJ96" i="3"/>
  <c r="FI96" i="3"/>
  <c r="FH96" i="3"/>
  <c r="FG96" i="3"/>
  <c r="FF96" i="3"/>
  <c r="FE96" i="3"/>
  <c r="FD96" i="3"/>
  <c r="FC96" i="3"/>
  <c r="FB96" i="3"/>
  <c r="FA96" i="3"/>
  <c r="EZ96" i="3"/>
  <c r="EY96" i="3"/>
  <c r="EX96" i="3"/>
  <c r="EW96" i="3"/>
  <c r="EV96" i="3"/>
  <c r="EU96" i="3"/>
  <c r="ET96" i="3"/>
  <c r="ES96" i="3"/>
  <c r="ER96" i="3"/>
  <c r="EQ96" i="3"/>
  <c r="EP96" i="3"/>
  <c r="EO96" i="3"/>
  <c r="EN96" i="3"/>
  <c r="EM96" i="3"/>
  <c r="EL96" i="3"/>
  <c r="EK96" i="3"/>
  <c r="EJ96" i="3"/>
  <c r="EI96" i="3"/>
  <c r="EH96" i="3"/>
  <c r="EG96" i="3"/>
  <c r="EF96" i="3"/>
  <c r="EE96" i="3"/>
  <c r="ED96" i="3"/>
  <c r="EC96" i="3"/>
  <c r="EB96" i="3"/>
  <c r="EA96" i="3"/>
  <c r="DZ96" i="3"/>
  <c r="DY96" i="3"/>
  <c r="DX96" i="3"/>
  <c r="DW96" i="3"/>
  <c r="DV96" i="3"/>
  <c r="DU96" i="3"/>
  <c r="DT96" i="3"/>
  <c r="DS96" i="3"/>
  <c r="DR96" i="3"/>
  <c r="DQ96" i="3"/>
  <c r="DP96" i="3"/>
  <c r="DO96" i="3"/>
  <c r="DN96" i="3"/>
  <c r="DM96" i="3"/>
  <c r="DL96" i="3"/>
  <c r="DK96" i="3"/>
  <c r="DJ96" i="3"/>
  <c r="DI96" i="3"/>
  <c r="DH96" i="3"/>
  <c r="DG96" i="3"/>
  <c r="DF96" i="3"/>
  <c r="DE96" i="3"/>
  <c r="DD96" i="3"/>
  <c r="DC96" i="3"/>
  <c r="DB96" i="3"/>
  <c r="DA96" i="3"/>
  <c r="CZ96" i="3"/>
  <c r="CY96" i="3"/>
  <c r="CX96" i="3"/>
  <c r="CW96" i="3"/>
  <c r="CV96" i="3"/>
  <c r="CU96" i="3"/>
  <c r="CT96" i="3"/>
  <c r="CS96" i="3"/>
  <c r="CR96" i="3"/>
  <c r="CQ96" i="3"/>
  <c r="CP96" i="3"/>
  <c r="CO96" i="3"/>
  <c r="CN96" i="3"/>
  <c r="CM96" i="3"/>
  <c r="CL96" i="3"/>
  <c r="FQ95" i="3"/>
  <c r="FP95" i="3"/>
  <c r="FO95" i="3"/>
  <c r="FN95" i="3"/>
  <c r="FM95" i="3"/>
  <c r="FL95" i="3"/>
  <c r="FK95" i="3"/>
  <c r="FJ95" i="3"/>
  <c r="FI95" i="3"/>
  <c r="FH95" i="3"/>
  <c r="FG95" i="3"/>
  <c r="FF95" i="3"/>
  <c r="FE95" i="3"/>
  <c r="FD95" i="3"/>
  <c r="FC95" i="3"/>
  <c r="FB95" i="3"/>
  <c r="FA95" i="3"/>
  <c r="EZ95" i="3"/>
  <c r="EY95" i="3"/>
  <c r="EX95" i="3"/>
  <c r="EW95" i="3"/>
  <c r="EV95" i="3"/>
  <c r="EU95" i="3"/>
  <c r="ET95" i="3"/>
  <c r="ES95" i="3"/>
  <c r="ER95" i="3"/>
  <c r="EQ95" i="3"/>
  <c r="EP95" i="3"/>
  <c r="EO95" i="3"/>
  <c r="EN95" i="3"/>
  <c r="EM95" i="3"/>
  <c r="EL95" i="3"/>
  <c r="EK95" i="3"/>
  <c r="EJ95" i="3"/>
  <c r="EI95" i="3"/>
  <c r="EH95" i="3"/>
  <c r="EG95" i="3"/>
  <c r="EF95" i="3"/>
  <c r="EE95" i="3"/>
  <c r="ED95" i="3"/>
  <c r="EC95" i="3"/>
  <c r="EB95" i="3"/>
  <c r="EA95" i="3"/>
  <c r="DZ95" i="3"/>
  <c r="DY95" i="3"/>
  <c r="DX95" i="3"/>
  <c r="DW95" i="3"/>
  <c r="DV95" i="3"/>
  <c r="DU95" i="3"/>
  <c r="DT95" i="3"/>
  <c r="DS95" i="3"/>
  <c r="DR95" i="3"/>
  <c r="DQ95" i="3"/>
  <c r="DP95" i="3"/>
  <c r="DO95" i="3"/>
  <c r="DN95" i="3"/>
  <c r="DM95" i="3"/>
  <c r="DL95" i="3"/>
  <c r="DK95" i="3"/>
  <c r="DJ95" i="3"/>
  <c r="DI95" i="3"/>
  <c r="DH95" i="3"/>
  <c r="DG95" i="3"/>
  <c r="DF95" i="3"/>
  <c r="DE95" i="3"/>
  <c r="DD95" i="3"/>
  <c r="DC95" i="3"/>
  <c r="DB95" i="3"/>
  <c r="DA95" i="3"/>
  <c r="CZ95" i="3"/>
  <c r="CY95" i="3"/>
  <c r="CX95" i="3"/>
  <c r="CW95" i="3"/>
  <c r="CV95" i="3"/>
  <c r="CU95" i="3"/>
  <c r="CT95" i="3"/>
  <c r="CS95" i="3"/>
  <c r="CR95" i="3"/>
  <c r="CQ95" i="3"/>
  <c r="CP95" i="3"/>
  <c r="CO95" i="3"/>
  <c r="CN95" i="3"/>
  <c r="CM95" i="3"/>
  <c r="CL95" i="3"/>
  <c r="FQ94" i="3"/>
  <c r="FP94" i="3"/>
  <c r="FO94" i="3"/>
  <c r="FN94" i="3"/>
  <c r="FM94" i="3"/>
  <c r="FL94" i="3"/>
  <c r="FK94" i="3"/>
  <c r="FJ94" i="3"/>
  <c r="FI94" i="3"/>
  <c r="FH94" i="3"/>
  <c r="FG94" i="3"/>
  <c r="FF94" i="3"/>
  <c r="FE94" i="3"/>
  <c r="FD94" i="3"/>
  <c r="FC94" i="3"/>
  <c r="FB94" i="3"/>
  <c r="FA94" i="3"/>
  <c r="EZ94" i="3"/>
  <c r="EY94" i="3"/>
  <c r="EX94" i="3"/>
  <c r="EW94" i="3"/>
  <c r="EV94" i="3"/>
  <c r="EU94" i="3"/>
  <c r="ET94" i="3"/>
  <c r="ES94" i="3"/>
  <c r="ER94" i="3"/>
  <c r="EQ94" i="3"/>
  <c r="EP94" i="3"/>
  <c r="EO94" i="3"/>
  <c r="EN94" i="3"/>
  <c r="EM94" i="3"/>
  <c r="EL94" i="3"/>
  <c r="EK94" i="3"/>
  <c r="EJ94" i="3"/>
  <c r="EI94" i="3"/>
  <c r="EH94" i="3"/>
  <c r="EG94" i="3"/>
  <c r="EF94" i="3"/>
  <c r="EE94" i="3"/>
  <c r="ED94" i="3"/>
  <c r="EC94" i="3"/>
  <c r="EB94" i="3"/>
  <c r="EA94" i="3"/>
  <c r="DZ94" i="3"/>
  <c r="DY94" i="3"/>
  <c r="DX94" i="3"/>
  <c r="DW94" i="3"/>
  <c r="DV94" i="3"/>
  <c r="DU94" i="3"/>
  <c r="DT94" i="3"/>
  <c r="DS94" i="3"/>
  <c r="DR94" i="3"/>
  <c r="DQ94" i="3"/>
  <c r="DP94" i="3"/>
  <c r="DO94" i="3"/>
  <c r="DN94" i="3"/>
  <c r="DM94" i="3"/>
  <c r="DL94" i="3"/>
  <c r="DK94" i="3"/>
  <c r="DJ94" i="3"/>
  <c r="DI94" i="3"/>
  <c r="DH94" i="3"/>
  <c r="DG94" i="3"/>
  <c r="DF94" i="3"/>
  <c r="DE94" i="3"/>
  <c r="DD94" i="3"/>
  <c r="DC94" i="3"/>
  <c r="DB94" i="3"/>
  <c r="DA94" i="3"/>
  <c r="CZ94" i="3"/>
  <c r="CY94" i="3"/>
  <c r="CX94" i="3"/>
  <c r="CW94" i="3"/>
  <c r="CV94" i="3"/>
  <c r="CU94" i="3"/>
  <c r="CT94" i="3"/>
  <c r="CS94" i="3"/>
  <c r="CR94" i="3"/>
  <c r="CQ94" i="3"/>
  <c r="CP94" i="3"/>
  <c r="CO94" i="3"/>
  <c r="CN94" i="3"/>
  <c r="CM94" i="3"/>
  <c r="CL94" i="3"/>
  <c r="FQ93" i="3"/>
  <c r="FP93" i="3"/>
  <c r="FO93" i="3"/>
  <c r="FN93" i="3"/>
  <c r="FM93" i="3"/>
  <c r="FL93" i="3"/>
  <c r="FK93" i="3"/>
  <c r="FJ93" i="3"/>
  <c r="FI93" i="3"/>
  <c r="FH93" i="3"/>
  <c r="FG93" i="3"/>
  <c r="FF93" i="3"/>
  <c r="FE93" i="3"/>
  <c r="FD93" i="3"/>
  <c r="FC93" i="3"/>
  <c r="FB93" i="3"/>
  <c r="FA93" i="3"/>
  <c r="EZ93" i="3"/>
  <c r="EY93" i="3"/>
  <c r="EX93" i="3"/>
  <c r="EW93" i="3"/>
  <c r="EV93" i="3"/>
  <c r="EU93" i="3"/>
  <c r="ET93" i="3"/>
  <c r="ES93" i="3"/>
  <c r="ER93" i="3"/>
  <c r="EQ93" i="3"/>
  <c r="EP93" i="3"/>
  <c r="EO93" i="3"/>
  <c r="EN93" i="3"/>
  <c r="EM93" i="3"/>
  <c r="EL93" i="3"/>
  <c r="EK93" i="3"/>
  <c r="EJ93" i="3"/>
  <c r="EI93" i="3"/>
  <c r="EH93" i="3"/>
  <c r="EG93" i="3"/>
  <c r="EF93" i="3"/>
  <c r="EE93" i="3"/>
  <c r="ED93" i="3"/>
  <c r="EC93" i="3"/>
  <c r="EB93" i="3"/>
  <c r="EA93" i="3"/>
  <c r="DZ93" i="3"/>
  <c r="DY93" i="3"/>
  <c r="DX93" i="3"/>
  <c r="DW93" i="3"/>
  <c r="DV93" i="3"/>
  <c r="DU93" i="3"/>
  <c r="DT93" i="3"/>
  <c r="DS93" i="3"/>
  <c r="DR93" i="3"/>
  <c r="DQ93" i="3"/>
  <c r="DP93" i="3"/>
  <c r="DO93" i="3"/>
  <c r="DN93" i="3"/>
  <c r="DM93" i="3"/>
  <c r="DL93" i="3"/>
  <c r="DK93" i="3"/>
  <c r="DJ93" i="3"/>
  <c r="DI93" i="3"/>
  <c r="DH93" i="3"/>
  <c r="DG93" i="3"/>
  <c r="DF93" i="3"/>
  <c r="DE93" i="3"/>
  <c r="DD93" i="3"/>
  <c r="DC93" i="3"/>
  <c r="DB93" i="3"/>
  <c r="DA93" i="3"/>
  <c r="CZ93" i="3"/>
  <c r="CY93" i="3"/>
  <c r="CX93" i="3"/>
  <c r="CW93" i="3"/>
  <c r="CV93" i="3"/>
  <c r="CU93" i="3"/>
  <c r="CT93" i="3"/>
  <c r="CS93" i="3"/>
  <c r="CR93" i="3"/>
  <c r="CQ93" i="3"/>
  <c r="CP93" i="3"/>
  <c r="CO93" i="3"/>
  <c r="CN93" i="3"/>
  <c r="CM93" i="3"/>
  <c r="CL93" i="3"/>
  <c r="FQ92" i="3"/>
  <c r="FP92" i="3"/>
  <c r="FO92" i="3"/>
  <c r="FN92" i="3"/>
  <c r="FM92" i="3"/>
  <c r="FL92" i="3"/>
  <c r="FK92" i="3"/>
  <c r="FJ92" i="3"/>
  <c r="FI92" i="3"/>
  <c r="FH92" i="3"/>
  <c r="FG92" i="3"/>
  <c r="FF92" i="3"/>
  <c r="FE92" i="3"/>
  <c r="FD92" i="3"/>
  <c r="FC92" i="3"/>
  <c r="FB92" i="3"/>
  <c r="FA92" i="3"/>
  <c r="EZ92" i="3"/>
  <c r="EY92" i="3"/>
  <c r="EX92" i="3"/>
  <c r="EW92" i="3"/>
  <c r="EV92" i="3"/>
  <c r="EU92" i="3"/>
  <c r="ET92" i="3"/>
  <c r="ES92" i="3"/>
  <c r="ER92" i="3"/>
  <c r="EQ92" i="3"/>
  <c r="EP92" i="3"/>
  <c r="EO92" i="3"/>
  <c r="EN92" i="3"/>
  <c r="EM92" i="3"/>
  <c r="EL92" i="3"/>
  <c r="EK92" i="3"/>
  <c r="EJ92" i="3"/>
  <c r="EI92" i="3"/>
  <c r="EH92" i="3"/>
  <c r="EG92" i="3"/>
  <c r="EF92" i="3"/>
  <c r="EE92" i="3"/>
  <c r="ED92" i="3"/>
  <c r="EC92" i="3"/>
  <c r="EB92" i="3"/>
  <c r="EA92" i="3"/>
  <c r="DZ92" i="3"/>
  <c r="DY92" i="3"/>
  <c r="DX92" i="3"/>
  <c r="DW92" i="3"/>
  <c r="DV92" i="3"/>
  <c r="DU92" i="3"/>
  <c r="DT92" i="3"/>
  <c r="DS92" i="3"/>
  <c r="DR92" i="3"/>
  <c r="DQ92" i="3"/>
  <c r="DP92" i="3"/>
  <c r="DO92" i="3"/>
  <c r="DN92" i="3"/>
  <c r="DM92" i="3"/>
  <c r="DL92" i="3"/>
  <c r="DK92" i="3"/>
  <c r="DJ92" i="3"/>
  <c r="DI92" i="3"/>
  <c r="DH92" i="3"/>
  <c r="DG92" i="3"/>
  <c r="DF92" i="3"/>
  <c r="DE92" i="3"/>
  <c r="DD92" i="3"/>
  <c r="DC92" i="3"/>
  <c r="DB92" i="3"/>
  <c r="DA92" i="3"/>
  <c r="CZ92" i="3"/>
  <c r="CY92" i="3"/>
  <c r="CX92" i="3"/>
  <c r="CW92" i="3"/>
  <c r="CV92" i="3"/>
  <c r="CU92" i="3"/>
  <c r="CT92" i="3"/>
  <c r="CS92" i="3"/>
  <c r="CR92" i="3"/>
  <c r="CQ92" i="3"/>
  <c r="CP92" i="3"/>
  <c r="CO92" i="3"/>
  <c r="CN92" i="3"/>
  <c r="CM92" i="3"/>
  <c r="CL92" i="3"/>
  <c r="FQ91" i="3"/>
  <c r="FP91" i="3"/>
  <c r="FO91" i="3"/>
  <c r="FN91" i="3"/>
  <c r="FM91" i="3"/>
  <c r="FL91" i="3"/>
  <c r="FK91" i="3"/>
  <c r="FJ91" i="3"/>
  <c r="FI91" i="3"/>
  <c r="FH91" i="3"/>
  <c r="FG91" i="3"/>
  <c r="FF91" i="3"/>
  <c r="FE91" i="3"/>
  <c r="FD91" i="3"/>
  <c r="FC91" i="3"/>
  <c r="FB91" i="3"/>
  <c r="FA91" i="3"/>
  <c r="EZ91" i="3"/>
  <c r="EY91" i="3"/>
  <c r="EX91" i="3"/>
  <c r="EW91" i="3"/>
  <c r="EV91" i="3"/>
  <c r="EU91" i="3"/>
  <c r="ET91" i="3"/>
  <c r="ES91" i="3"/>
  <c r="ER91" i="3"/>
  <c r="EQ91" i="3"/>
  <c r="EP91" i="3"/>
  <c r="EO91" i="3"/>
  <c r="EN91" i="3"/>
  <c r="EM91" i="3"/>
  <c r="EL91" i="3"/>
  <c r="EK91" i="3"/>
  <c r="EJ91" i="3"/>
  <c r="EI91" i="3"/>
  <c r="EH91" i="3"/>
  <c r="EG91" i="3"/>
  <c r="EF91" i="3"/>
  <c r="EE91" i="3"/>
  <c r="ED91" i="3"/>
  <c r="EC91" i="3"/>
  <c r="EB91" i="3"/>
  <c r="EA91" i="3"/>
  <c r="DZ91" i="3"/>
  <c r="DY91" i="3"/>
  <c r="DX91" i="3"/>
  <c r="DW91" i="3"/>
  <c r="DV91" i="3"/>
  <c r="DU91" i="3"/>
  <c r="DT91" i="3"/>
  <c r="DS91" i="3"/>
  <c r="DR91" i="3"/>
  <c r="DQ91" i="3"/>
  <c r="DP91" i="3"/>
  <c r="DO91" i="3"/>
  <c r="DN91" i="3"/>
  <c r="DM91" i="3"/>
  <c r="DL91" i="3"/>
  <c r="DK91" i="3"/>
  <c r="DJ91" i="3"/>
  <c r="DI91" i="3"/>
  <c r="DH91" i="3"/>
  <c r="DG91" i="3"/>
  <c r="DF91" i="3"/>
  <c r="DE91" i="3"/>
  <c r="DD91" i="3"/>
  <c r="DC91" i="3"/>
  <c r="DB91" i="3"/>
  <c r="DA91" i="3"/>
  <c r="CZ91" i="3"/>
  <c r="CY91" i="3"/>
  <c r="CX91" i="3"/>
  <c r="CW91" i="3"/>
  <c r="CV91" i="3"/>
  <c r="CU91" i="3"/>
  <c r="CT91" i="3"/>
  <c r="CS91" i="3"/>
  <c r="CR91" i="3"/>
  <c r="CQ91" i="3"/>
  <c r="CP91" i="3"/>
  <c r="CO91" i="3"/>
  <c r="CN91" i="3"/>
  <c r="CM91" i="3"/>
  <c r="CL91" i="3"/>
  <c r="FQ90" i="3"/>
  <c r="FP90" i="3"/>
  <c r="FO90" i="3"/>
  <c r="FN90" i="3"/>
  <c r="FM90" i="3"/>
  <c r="FL90" i="3"/>
  <c r="FK90" i="3"/>
  <c r="FJ90" i="3"/>
  <c r="FI90" i="3"/>
  <c r="FH90" i="3"/>
  <c r="FG90" i="3"/>
  <c r="FF90" i="3"/>
  <c r="FE90" i="3"/>
  <c r="FD90" i="3"/>
  <c r="FC90" i="3"/>
  <c r="FB90" i="3"/>
  <c r="FA90" i="3"/>
  <c r="EZ90" i="3"/>
  <c r="EY90" i="3"/>
  <c r="EX90" i="3"/>
  <c r="EW90" i="3"/>
  <c r="EV90" i="3"/>
  <c r="EU90" i="3"/>
  <c r="ET90" i="3"/>
  <c r="ES90" i="3"/>
  <c r="ER90" i="3"/>
  <c r="EQ90" i="3"/>
  <c r="EP90" i="3"/>
  <c r="EO90" i="3"/>
  <c r="EN90" i="3"/>
  <c r="EM90" i="3"/>
  <c r="EL90" i="3"/>
  <c r="EK90" i="3"/>
  <c r="EJ90" i="3"/>
  <c r="EI90" i="3"/>
  <c r="EH90" i="3"/>
  <c r="EG90" i="3"/>
  <c r="EF90" i="3"/>
  <c r="EE90" i="3"/>
  <c r="ED90" i="3"/>
  <c r="EC90" i="3"/>
  <c r="EB90" i="3"/>
  <c r="EA90" i="3"/>
  <c r="DZ90" i="3"/>
  <c r="DY90" i="3"/>
  <c r="DX90" i="3"/>
  <c r="DW90" i="3"/>
  <c r="DV90" i="3"/>
  <c r="DU90" i="3"/>
  <c r="DT90" i="3"/>
  <c r="DS90" i="3"/>
  <c r="DR90" i="3"/>
  <c r="DQ90" i="3"/>
  <c r="DP90" i="3"/>
  <c r="DO90" i="3"/>
  <c r="DN90" i="3"/>
  <c r="DM90" i="3"/>
  <c r="DL90" i="3"/>
  <c r="DK90" i="3"/>
  <c r="DJ90" i="3"/>
  <c r="DI90" i="3"/>
  <c r="DH90" i="3"/>
  <c r="DG90" i="3"/>
  <c r="DF90" i="3"/>
  <c r="DE90" i="3"/>
  <c r="DD90" i="3"/>
  <c r="DC90" i="3"/>
  <c r="DB90" i="3"/>
  <c r="DA90" i="3"/>
  <c r="CZ90" i="3"/>
  <c r="CY90" i="3"/>
  <c r="CX90" i="3"/>
  <c r="CW90" i="3"/>
  <c r="CV90" i="3"/>
  <c r="CU90" i="3"/>
  <c r="CT90" i="3"/>
  <c r="CS90" i="3"/>
  <c r="CR90" i="3"/>
  <c r="CQ90" i="3"/>
  <c r="CP90" i="3"/>
  <c r="CO90" i="3"/>
  <c r="CN90" i="3"/>
  <c r="CM90" i="3"/>
  <c r="CL90" i="3"/>
  <c r="FQ89" i="3"/>
  <c r="FP89" i="3"/>
  <c r="FO89" i="3"/>
  <c r="FN89" i="3"/>
  <c r="FM89" i="3"/>
  <c r="FL89" i="3"/>
  <c r="FK89" i="3"/>
  <c r="FJ89" i="3"/>
  <c r="FI89" i="3"/>
  <c r="FH89" i="3"/>
  <c r="FG89" i="3"/>
  <c r="FF89" i="3"/>
  <c r="FE89" i="3"/>
  <c r="FD89" i="3"/>
  <c r="FC89" i="3"/>
  <c r="FB89" i="3"/>
  <c r="FA89" i="3"/>
  <c r="EZ89" i="3"/>
  <c r="EY89" i="3"/>
  <c r="EX89" i="3"/>
  <c r="EW89" i="3"/>
  <c r="EV89" i="3"/>
  <c r="EU89" i="3"/>
  <c r="ET89" i="3"/>
  <c r="ES89" i="3"/>
  <c r="ER89" i="3"/>
  <c r="EQ89" i="3"/>
  <c r="EP89" i="3"/>
  <c r="EO89" i="3"/>
  <c r="EN89" i="3"/>
  <c r="EM89" i="3"/>
  <c r="EL89" i="3"/>
  <c r="EK89" i="3"/>
  <c r="EJ89" i="3"/>
  <c r="EI89" i="3"/>
  <c r="EH89" i="3"/>
  <c r="EG89" i="3"/>
  <c r="EF89" i="3"/>
  <c r="EE89" i="3"/>
  <c r="ED89" i="3"/>
  <c r="EC89" i="3"/>
  <c r="EB89" i="3"/>
  <c r="EA89" i="3"/>
  <c r="DZ89" i="3"/>
  <c r="DY89" i="3"/>
  <c r="DX89" i="3"/>
  <c r="DW89" i="3"/>
  <c r="DV89" i="3"/>
  <c r="DU89" i="3"/>
  <c r="DT89" i="3"/>
  <c r="DS89" i="3"/>
  <c r="DR89" i="3"/>
  <c r="DQ89" i="3"/>
  <c r="DP89" i="3"/>
  <c r="DO89" i="3"/>
  <c r="DN89" i="3"/>
  <c r="DM89" i="3"/>
  <c r="DL89" i="3"/>
  <c r="DK89" i="3"/>
  <c r="DJ89" i="3"/>
  <c r="DI89" i="3"/>
  <c r="DH89" i="3"/>
  <c r="DG89" i="3"/>
  <c r="DF89" i="3"/>
  <c r="DE89" i="3"/>
  <c r="DD89" i="3"/>
  <c r="DC89" i="3"/>
  <c r="DB89" i="3"/>
  <c r="DA89" i="3"/>
  <c r="CZ89" i="3"/>
  <c r="CY89" i="3"/>
  <c r="CX89" i="3"/>
  <c r="CW89" i="3"/>
  <c r="CV89" i="3"/>
  <c r="CU89" i="3"/>
  <c r="CT89" i="3"/>
  <c r="CS89" i="3"/>
  <c r="CR89" i="3"/>
  <c r="CQ89" i="3"/>
  <c r="CP89" i="3"/>
  <c r="CO89" i="3"/>
  <c r="CN89" i="3"/>
  <c r="CM89" i="3"/>
  <c r="CL89" i="3"/>
  <c r="FQ88" i="3"/>
  <c r="FP88" i="3"/>
  <c r="FO88" i="3"/>
  <c r="FN88" i="3"/>
  <c r="FM88" i="3"/>
  <c r="FL88" i="3"/>
  <c r="FK88" i="3"/>
  <c r="FJ88" i="3"/>
  <c r="FI88" i="3"/>
  <c r="FH88" i="3"/>
  <c r="FG88" i="3"/>
  <c r="FF88" i="3"/>
  <c r="FE88" i="3"/>
  <c r="FD88" i="3"/>
  <c r="FC88" i="3"/>
  <c r="FB88" i="3"/>
  <c r="FA88" i="3"/>
  <c r="EZ88" i="3"/>
  <c r="EY88" i="3"/>
  <c r="EX88" i="3"/>
  <c r="EW88" i="3"/>
  <c r="EV88" i="3"/>
  <c r="EU88" i="3"/>
  <c r="ET88" i="3"/>
  <c r="ES88" i="3"/>
  <c r="ER88" i="3"/>
  <c r="EQ88" i="3"/>
  <c r="EP88" i="3"/>
  <c r="EO88" i="3"/>
  <c r="EN88" i="3"/>
  <c r="EM88" i="3"/>
  <c r="EL88" i="3"/>
  <c r="EK88" i="3"/>
  <c r="EJ88" i="3"/>
  <c r="EI88" i="3"/>
  <c r="EH88" i="3"/>
  <c r="EG88" i="3"/>
  <c r="EF88" i="3"/>
  <c r="EE88" i="3"/>
  <c r="ED88" i="3"/>
  <c r="EC88" i="3"/>
  <c r="EB88" i="3"/>
  <c r="EA88" i="3"/>
  <c r="DZ88" i="3"/>
  <c r="DY88" i="3"/>
  <c r="DX88" i="3"/>
  <c r="DW88" i="3"/>
  <c r="DV88" i="3"/>
  <c r="DU88" i="3"/>
  <c r="DT88" i="3"/>
  <c r="DS88" i="3"/>
  <c r="DR88" i="3"/>
  <c r="DQ88" i="3"/>
  <c r="DP88" i="3"/>
  <c r="DO88" i="3"/>
  <c r="DN88" i="3"/>
  <c r="DM88" i="3"/>
  <c r="DL88" i="3"/>
  <c r="DK88" i="3"/>
  <c r="DJ88" i="3"/>
  <c r="DI88" i="3"/>
  <c r="DH88" i="3"/>
  <c r="DG88" i="3"/>
  <c r="DF88" i="3"/>
  <c r="DE88" i="3"/>
  <c r="DD88" i="3"/>
  <c r="DC88" i="3"/>
  <c r="DB88" i="3"/>
  <c r="DA88" i="3"/>
  <c r="CZ88" i="3"/>
  <c r="CY88" i="3"/>
  <c r="CX88" i="3"/>
  <c r="CW88" i="3"/>
  <c r="CV88" i="3"/>
  <c r="CU88" i="3"/>
  <c r="CT88" i="3"/>
  <c r="CS88" i="3"/>
  <c r="CR88" i="3"/>
  <c r="CQ88" i="3"/>
  <c r="CP88" i="3"/>
  <c r="CO88" i="3"/>
  <c r="CN88" i="3"/>
  <c r="CM88" i="3"/>
  <c r="CL88" i="3"/>
  <c r="FQ87" i="3"/>
  <c r="FP87" i="3"/>
  <c r="FO87" i="3"/>
  <c r="FN87" i="3"/>
  <c r="FM87" i="3"/>
  <c r="FL87" i="3"/>
  <c r="FK87" i="3"/>
  <c r="FJ87" i="3"/>
  <c r="FI87" i="3"/>
  <c r="FH87" i="3"/>
  <c r="FG87" i="3"/>
  <c r="FF87" i="3"/>
  <c r="FE87" i="3"/>
  <c r="FD87" i="3"/>
  <c r="FC87" i="3"/>
  <c r="FB87" i="3"/>
  <c r="FA87" i="3"/>
  <c r="EZ87" i="3"/>
  <c r="EY87" i="3"/>
  <c r="EX87" i="3"/>
  <c r="EW87" i="3"/>
  <c r="EV87" i="3"/>
  <c r="EU87" i="3"/>
  <c r="ET87" i="3"/>
  <c r="ES87" i="3"/>
  <c r="ER87" i="3"/>
  <c r="EQ87" i="3"/>
  <c r="EP87" i="3"/>
  <c r="EO87" i="3"/>
  <c r="EN87" i="3"/>
  <c r="EM87" i="3"/>
  <c r="EL87" i="3"/>
  <c r="EK87" i="3"/>
  <c r="EJ87" i="3"/>
  <c r="EI87" i="3"/>
  <c r="EH87" i="3"/>
  <c r="EG87" i="3"/>
  <c r="EF87" i="3"/>
  <c r="EE87" i="3"/>
  <c r="ED87" i="3"/>
  <c r="EC87" i="3"/>
  <c r="EB87" i="3"/>
  <c r="EA87" i="3"/>
  <c r="DZ87" i="3"/>
  <c r="DY87" i="3"/>
  <c r="DX87" i="3"/>
  <c r="DW87" i="3"/>
  <c r="DV87" i="3"/>
  <c r="DU87" i="3"/>
  <c r="DT87" i="3"/>
  <c r="DS87" i="3"/>
  <c r="DR87" i="3"/>
  <c r="DQ87" i="3"/>
  <c r="DP87" i="3"/>
  <c r="DO87" i="3"/>
  <c r="DN87" i="3"/>
  <c r="DM87" i="3"/>
  <c r="DL87" i="3"/>
  <c r="DK87" i="3"/>
  <c r="DJ87" i="3"/>
  <c r="DI87" i="3"/>
  <c r="DH87" i="3"/>
  <c r="DG87" i="3"/>
  <c r="DF87" i="3"/>
  <c r="DE87" i="3"/>
  <c r="DD87" i="3"/>
  <c r="DC87" i="3"/>
  <c r="DB87" i="3"/>
  <c r="DA87" i="3"/>
  <c r="CZ87" i="3"/>
  <c r="CY87" i="3"/>
  <c r="CX87" i="3"/>
  <c r="CW87" i="3"/>
  <c r="CV87" i="3"/>
  <c r="CU87" i="3"/>
  <c r="CT87" i="3"/>
  <c r="CS87" i="3"/>
  <c r="CR87" i="3"/>
  <c r="CQ87" i="3"/>
  <c r="CP87" i="3"/>
  <c r="CO87" i="3"/>
  <c r="CN87" i="3"/>
  <c r="CM87" i="3"/>
  <c r="CL87" i="3"/>
  <c r="FQ86" i="3"/>
  <c r="FP86" i="3"/>
  <c r="FO86" i="3"/>
  <c r="FN86" i="3"/>
  <c r="FM86" i="3"/>
  <c r="FL86" i="3"/>
  <c r="FK86" i="3"/>
  <c r="FJ86" i="3"/>
  <c r="FI86" i="3"/>
  <c r="FH86" i="3"/>
  <c r="FG86" i="3"/>
  <c r="FF86" i="3"/>
  <c r="FE86" i="3"/>
  <c r="FD86" i="3"/>
  <c r="FC86" i="3"/>
  <c r="FB86" i="3"/>
  <c r="FA86" i="3"/>
  <c r="EZ86" i="3"/>
  <c r="EY86" i="3"/>
  <c r="EX86" i="3"/>
  <c r="EW86" i="3"/>
  <c r="EV86" i="3"/>
  <c r="EU86" i="3"/>
  <c r="ET86" i="3"/>
  <c r="ES86" i="3"/>
  <c r="ER86" i="3"/>
  <c r="EQ86" i="3"/>
  <c r="EP86" i="3"/>
  <c r="EO86" i="3"/>
  <c r="EN86" i="3"/>
  <c r="EM86" i="3"/>
  <c r="EL86" i="3"/>
  <c r="EK86" i="3"/>
  <c r="EJ86" i="3"/>
  <c r="EI86" i="3"/>
  <c r="EH86" i="3"/>
  <c r="EG86" i="3"/>
  <c r="EF86" i="3"/>
  <c r="EE86" i="3"/>
  <c r="ED86" i="3"/>
  <c r="EC86" i="3"/>
  <c r="EB86" i="3"/>
  <c r="EA86" i="3"/>
  <c r="DZ86" i="3"/>
  <c r="DY86" i="3"/>
  <c r="DX86" i="3"/>
  <c r="DW86" i="3"/>
  <c r="DV86" i="3"/>
  <c r="DU86" i="3"/>
  <c r="DT86" i="3"/>
  <c r="DS86" i="3"/>
  <c r="DR86" i="3"/>
  <c r="DQ86" i="3"/>
  <c r="DP86" i="3"/>
  <c r="DO86" i="3"/>
  <c r="DN86" i="3"/>
  <c r="DM86" i="3"/>
  <c r="DL86" i="3"/>
  <c r="DK86" i="3"/>
  <c r="DJ86" i="3"/>
  <c r="DI86" i="3"/>
  <c r="DH86" i="3"/>
  <c r="DG86" i="3"/>
  <c r="DF86" i="3"/>
  <c r="DE86" i="3"/>
  <c r="DD86" i="3"/>
  <c r="DC86" i="3"/>
  <c r="DB86" i="3"/>
  <c r="DA86" i="3"/>
  <c r="CZ86" i="3"/>
  <c r="CY86" i="3"/>
  <c r="CX86" i="3"/>
  <c r="CW86" i="3"/>
  <c r="CV86" i="3"/>
  <c r="CU86" i="3"/>
  <c r="CT86" i="3"/>
  <c r="CS86" i="3"/>
  <c r="CR86" i="3"/>
  <c r="CQ86" i="3"/>
  <c r="CP86" i="3"/>
  <c r="CO86" i="3"/>
  <c r="CN86" i="3"/>
  <c r="CM86" i="3"/>
  <c r="CL86" i="3"/>
  <c r="FQ85" i="3"/>
  <c r="FP85" i="3"/>
  <c r="FO85" i="3"/>
  <c r="FN85" i="3"/>
  <c r="FM85" i="3"/>
  <c r="FL85" i="3"/>
  <c r="FK85" i="3"/>
  <c r="FJ85" i="3"/>
  <c r="FI85" i="3"/>
  <c r="FH85" i="3"/>
  <c r="FG85" i="3"/>
  <c r="FF85" i="3"/>
  <c r="FE85" i="3"/>
  <c r="FD85" i="3"/>
  <c r="FC85" i="3"/>
  <c r="FB85" i="3"/>
  <c r="FA85" i="3"/>
  <c r="EZ85" i="3"/>
  <c r="EY85" i="3"/>
  <c r="EX85" i="3"/>
  <c r="EW85" i="3"/>
  <c r="EV85" i="3"/>
  <c r="EU85" i="3"/>
  <c r="ET85" i="3"/>
  <c r="ES85" i="3"/>
  <c r="ER85" i="3"/>
  <c r="EQ85" i="3"/>
  <c r="EP85" i="3"/>
  <c r="EO85" i="3"/>
  <c r="EN85" i="3"/>
  <c r="EM85" i="3"/>
  <c r="EL85" i="3"/>
  <c r="EK85" i="3"/>
  <c r="EJ85" i="3"/>
  <c r="EI85" i="3"/>
  <c r="EH85" i="3"/>
  <c r="EG85" i="3"/>
  <c r="EF85" i="3"/>
  <c r="EE85" i="3"/>
  <c r="ED85" i="3"/>
  <c r="EC85" i="3"/>
  <c r="EB85" i="3"/>
  <c r="EA85" i="3"/>
  <c r="DZ85" i="3"/>
  <c r="DY85" i="3"/>
  <c r="DX85" i="3"/>
  <c r="DW85" i="3"/>
  <c r="DV85" i="3"/>
  <c r="DU85" i="3"/>
  <c r="DT85" i="3"/>
  <c r="DS85" i="3"/>
  <c r="DR85" i="3"/>
  <c r="DQ85" i="3"/>
  <c r="DP85" i="3"/>
  <c r="DO85" i="3"/>
  <c r="DN85" i="3"/>
  <c r="DM85" i="3"/>
  <c r="DL85" i="3"/>
  <c r="DK85" i="3"/>
  <c r="DJ85" i="3"/>
  <c r="DI85" i="3"/>
  <c r="DH85" i="3"/>
  <c r="DG85" i="3"/>
  <c r="DF85" i="3"/>
  <c r="DE85" i="3"/>
  <c r="DD85" i="3"/>
  <c r="DC85" i="3"/>
  <c r="DB85" i="3"/>
  <c r="DA85" i="3"/>
  <c r="CZ85" i="3"/>
  <c r="CY85" i="3"/>
  <c r="CX85" i="3"/>
  <c r="CW85" i="3"/>
  <c r="CV85" i="3"/>
  <c r="CU85" i="3"/>
  <c r="CT85" i="3"/>
  <c r="CS85" i="3"/>
  <c r="CR85" i="3"/>
  <c r="CQ85" i="3"/>
  <c r="CP85" i="3"/>
  <c r="CO85" i="3"/>
  <c r="CN85" i="3"/>
  <c r="CM85" i="3"/>
  <c r="CL85" i="3"/>
  <c r="FQ84" i="3"/>
  <c r="FP84" i="3"/>
  <c r="FO84" i="3"/>
  <c r="FN84" i="3"/>
  <c r="FM84" i="3"/>
  <c r="FL84" i="3"/>
  <c r="FK84" i="3"/>
  <c r="FJ84" i="3"/>
  <c r="FI84" i="3"/>
  <c r="FH84" i="3"/>
  <c r="FG84" i="3"/>
  <c r="FF84" i="3"/>
  <c r="FE84" i="3"/>
  <c r="FD84" i="3"/>
  <c r="FC84" i="3"/>
  <c r="FB84" i="3"/>
  <c r="FA84" i="3"/>
  <c r="EZ84" i="3"/>
  <c r="EY84" i="3"/>
  <c r="EX84" i="3"/>
  <c r="EW84" i="3"/>
  <c r="EV84" i="3"/>
  <c r="EU84" i="3"/>
  <c r="ET84" i="3"/>
  <c r="ES84" i="3"/>
  <c r="ER84" i="3"/>
  <c r="EQ84" i="3"/>
  <c r="EP84" i="3"/>
  <c r="EO84" i="3"/>
  <c r="EN84" i="3"/>
  <c r="EM84" i="3"/>
  <c r="EL84" i="3"/>
  <c r="EK84" i="3"/>
  <c r="EJ84" i="3"/>
  <c r="EI84" i="3"/>
  <c r="EH84" i="3"/>
  <c r="EG84" i="3"/>
  <c r="EF84" i="3"/>
  <c r="EE84" i="3"/>
  <c r="ED84" i="3"/>
  <c r="EC84" i="3"/>
  <c r="EB84" i="3"/>
  <c r="EA84" i="3"/>
  <c r="DZ84" i="3"/>
  <c r="DY84" i="3"/>
  <c r="DX84" i="3"/>
  <c r="DW84" i="3"/>
  <c r="DV84" i="3"/>
  <c r="DU84" i="3"/>
  <c r="DT84" i="3"/>
  <c r="DS84" i="3"/>
  <c r="DR84" i="3"/>
  <c r="DQ84" i="3"/>
  <c r="DP84" i="3"/>
  <c r="DO84" i="3"/>
  <c r="DN84" i="3"/>
  <c r="DM84" i="3"/>
  <c r="DL84" i="3"/>
  <c r="DK84" i="3"/>
  <c r="DJ84" i="3"/>
  <c r="DI84" i="3"/>
  <c r="DH84" i="3"/>
  <c r="DG84" i="3"/>
  <c r="DF84" i="3"/>
  <c r="DE84" i="3"/>
  <c r="DD84" i="3"/>
  <c r="DC84" i="3"/>
  <c r="DB84" i="3"/>
  <c r="DA84" i="3"/>
  <c r="CZ84" i="3"/>
  <c r="CY84" i="3"/>
  <c r="CX84" i="3"/>
  <c r="CW84" i="3"/>
  <c r="CV84" i="3"/>
  <c r="CU84" i="3"/>
  <c r="CT84" i="3"/>
  <c r="CS84" i="3"/>
  <c r="CR84" i="3"/>
  <c r="CQ84" i="3"/>
  <c r="CP84" i="3"/>
  <c r="CO84" i="3"/>
  <c r="CN84" i="3"/>
  <c r="CM84" i="3"/>
  <c r="CL84" i="3"/>
  <c r="FQ83" i="3"/>
  <c r="FP83" i="3"/>
  <c r="FO83" i="3"/>
  <c r="FN83" i="3"/>
  <c r="FM83" i="3"/>
  <c r="FL83" i="3"/>
  <c r="FK83" i="3"/>
  <c r="FJ83" i="3"/>
  <c r="FI83" i="3"/>
  <c r="FH83" i="3"/>
  <c r="FG83" i="3"/>
  <c r="FF83" i="3"/>
  <c r="FE83" i="3"/>
  <c r="FD83" i="3"/>
  <c r="FC83" i="3"/>
  <c r="FB83" i="3"/>
  <c r="FA83" i="3"/>
  <c r="EZ83" i="3"/>
  <c r="EY83" i="3"/>
  <c r="EX83" i="3"/>
  <c r="EW83" i="3"/>
  <c r="EV83" i="3"/>
  <c r="EU83" i="3"/>
  <c r="ET83" i="3"/>
  <c r="ES83" i="3"/>
  <c r="ER83" i="3"/>
  <c r="EQ83" i="3"/>
  <c r="EP83" i="3"/>
  <c r="EO83" i="3"/>
  <c r="EN83" i="3"/>
  <c r="EM83" i="3"/>
  <c r="EL83" i="3"/>
  <c r="EK83" i="3"/>
  <c r="EJ83" i="3"/>
  <c r="EI83" i="3"/>
  <c r="EH83" i="3"/>
  <c r="EG83" i="3"/>
  <c r="EF83" i="3"/>
  <c r="EE83" i="3"/>
  <c r="ED83" i="3"/>
  <c r="EC83" i="3"/>
  <c r="EB83" i="3"/>
  <c r="EA83" i="3"/>
  <c r="DZ83" i="3"/>
  <c r="DY83" i="3"/>
  <c r="DX83" i="3"/>
  <c r="DW83" i="3"/>
  <c r="DV83" i="3"/>
  <c r="DU83" i="3"/>
  <c r="DT83" i="3"/>
  <c r="DS83" i="3"/>
  <c r="DR83" i="3"/>
  <c r="DQ83" i="3"/>
  <c r="DP83" i="3"/>
  <c r="DO83" i="3"/>
  <c r="DN83" i="3"/>
  <c r="DM83" i="3"/>
  <c r="DL83" i="3"/>
  <c r="DK83" i="3"/>
  <c r="DJ83" i="3"/>
  <c r="DI83" i="3"/>
  <c r="DH83" i="3"/>
  <c r="DG83" i="3"/>
  <c r="DF83" i="3"/>
  <c r="DE83" i="3"/>
  <c r="DD83" i="3"/>
  <c r="DC83" i="3"/>
  <c r="DB83" i="3"/>
  <c r="DA83" i="3"/>
  <c r="CZ83" i="3"/>
  <c r="CY83" i="3"/>
  <c r="CX83" i="3"/>
  <c r="CW83" i="3"/>
  <c r="CV83" i="3"/>
  <c r="CU83" i="3"/>
  <c r="CT83" i="3"/>
  <c r="CS83" i="3"/>
  <c r="CR83" i="3"/>
  <c r="CQ83" i="3"/>
  <c r="CP83" i="3"/>
  <c r="CO83" i="3"/>
  <c r="CN83" i="3"/>
  <c r="CM83" i="3"/>
  <c r="CL83" i="3"/>
  <c r="FQ82" i="3"/>
  <c r="FP82" i="3"/>
  <c r="FO82" i="3"/>
  <c r="FN82" i="3"/>
  <c r="FM82" i="3"/>
  <c r="FL82" i="3"/>
  <c r="FK82" i="3"/>
  <c r="FJ82" i="3"/>
  <c r="FI82" i="3"/>
  <c r="FH82" i="3"/>
  <c r="FG82" i="3"/>
  <c r="FF82" i="3"/>
  <c r="FE82" i="3"/>
  <c r="FD82" i="3"/>
  <c r="FC82" i="3"/>
  <c r="FB82" i="3"/>
  <c r="FA82" i="3"/>
  <c r="EZ82" i="3"/>
  <c r="EY82" i="3"/>
  <c r="EX82" i="3"/>
  <c r="EW82" i="3"/>
  <c r="EV82" i="3"/>
  <c r="EU82" i="3"/>
  <c r="ET82" i="3"/>
  <c r="ES82" i="3"/>
  <c r="ER82" i="3"/>
  <c r="EQ82" i="3"/>
  <c r="EP82" i="3"/>
  <c r="EO82" i="3"/>
  <c r="EN82" i="3"/>
  <c r="EM82" i="3"/>
  <c r="EL82" i="3"/>
  <c r="EK82" i="3"/>
  <c r="EJ82" i="3"/>
  <c r="EI82" i="3"/>
  <c r="EH82" i="3"/>
  <c r="EG82" i="3"/>
  <c r="EF82" i="3"/>
  <c r="EE82" i="3"/>
  <c r="ED82" i="3"/>
  <c r="EC82" i="3"/>
  <c r="EB82" i="3"/>
  <c r="EA82" i="3"/>
  <c r="DZ82" i="3"/>
  <c r="DY82" i="3"/>
  <c r="DX82" i="3"/>
  <c r="DW82" i="3"/>
  <c r="DV82" i="3"/>
  <c r="DU82" i="3"/>
  <c r="DT82" i="3"/>
  <c r="DS82" i="3"/>
  <c r="DR82" i="3"/>
  <c r="DQ82" i="3"/>
  <c r="DP82" i="3"/>
  <c r="DO82" i="3"/>
  <c r="DN82" i="3"/>
  <c r="DM82" i="3"/>
  <c r="DL82" i="3"/>
  <c r="DK82" i="3"/>
  <c r="DJ82" i="3"/>
  <c r="DI82" i="3"/>
  <c r="DH82" i="3"/>
  <c r="DG82" i="3"/>
  <c r="DF82" i="3"/>
  <c r="DE82" i="3"/>
  <c r="DD82" i="3"/>
  <c r="DC82" i="3"/>
  <c r="DB82" i="3"/>
  <c r="DA82" i="3"/>
  <c r="CZ82" i="3"/>
  <c r="CY82" i="3"/>
  <c r="CX82" i="3"/>
  <c r="CW82" i="3"/>
  <c r="CV82" i="3"/>
  <c r="CU82" i="3"/>
  <c r="CT82" i="3"/>
  <c r="CS82" i="3"/>
  <c r="CR82" i="3"/>
  <c r="CQ82" i="3"/>
  <c r="CP82" i="3"/>
  <c r="CO82" i="3"/>
  <c r="CN82" i="3"/>
  <c r="CM82" i="3"/>
  <c r="CL82" i="3"/>
  <c r="FQ81" i="3"/>
  <c r="FP81" i="3"/>
  <c r="FO81" i="3"/>
  <c r="FN81" i="3"/>
  <c r="FM81" i="3"/>
  <c r="FL81" i="3"/>
  <c r="FK81" i="3"/>
  <c r="FJ81" i="3"/>
  <c r="FI81" i="3"/>
  <c r="FH81" i="3"/>
  <c r="FG81" i="3"/>
  <c r="FF81" i="3"/>
  <c r="FE81" i="3"/>
  <c r="FD81" i="3"/>
  <c r="FC81" i="3"/>
  <c r="FB81" i="3"/>
  <c r="FA81" i="3"/>
  <c r="EZ81" i="3"/>
  <c r="EY81" i="3"/>
  <c r="EX81" i="3"/>
  <c r="EW81" i="3"/>
  <c r="EV81" i="3"/>
  <c r="EU81" i="3"/>
  <c r="ET81" i="3"/>
  <c r="ES81" i="3"/>
  <c r="ER81" i="3"/>
  <c r="EQ81" i="3"/>
  <c r="EP81" i="3"/>
  <c r="EO81" i="3"/>
  <c r="EN81" i="3"/>
  <c r="EM81" i="3"/>
  <c r="EL81" i="3"/>
  <c r="EK81" i="3"/>
  <c r="EJ81" i="3"/>
  <c r="EI81" i="3"/>
  <c r="EH81" i="3"/>
  <c r="EG81" i="3"/>
  <c r="EF81" i="3"/>
  <c r="EE81" i="3"/>
  <c r="ED81" i="3"/>
  <c r="EC81" i="3"/>
  <c r="EB81" i="3"/>
  <c r="EA81" i="3"/>
  <c r="DZ81" i="3"/>
  <c r="DY81" i="3"/>
  <c r="DX81" i="3"/>
  <c r="DW81" i="3"/>
  <c r="DV81" i="3"/>
  <c r="DU81" i="3"/>
  <c r="DT81" i="3"/>
  <c r="DS81" i="3"/>
  <c r="DR81" i="3"/>
  <c r="DQ81" i="3"/>
  <c r="DP81" i="3"/>
  <c r="DO81" i="3"/>
  <c r="DN81" i="3"/>
  <c r="DM81" i="3"/>
  <c r="DL81" i="3"/>
  <c r="DK81" i="3"/>
  <c r="DJ81" i="3"/>
  <c r="DI81" i="3"/>
  <c r="DH81" i="3"/>
  <c r="DG81" i="3"/>
  <c r="DF81" i="3"/>
  <c r="DE81" i="3"/>
  <c r="DD81" i="3"/>
  <c r="DC81" i="3"/>
  <c r="DB81" i="3"/>
  <c r="DA81" i="3"/>
  <c r="CZ81" i="3"/>
  <c r="CY81" i="3"/>
  <c r="CX81" i="3"/>
  <c r="CW81" i="3"/>
  <c r="CV81" i="3"/>
  <c r="CU81" i="3"/>
  <c r="CT81" i="3"/>
  <c r="CS81" i="3"/>
  <c r="CR81" i="3"/>
  <c r="CQ81" i="3"/>
  <c r="CP81" i="3"/>
  <c r="CO81" i="3"/>
  <c r="CN81" i="3"/>
  <c r="CM81" i="3"/>
  <c r="CL81" i="3"/>
  <c r="FQ80" i="3"/>
  <c r="FP80" i="3"/>
  <c r="FO80" i="3"/>
  <c r="FN80" i="3"/>
  <c r="FM80" i="3"/>
  <c r="FL80" i="3"/>
  <c r="FK80" i="3"/>
  <c r="FJ80" i="3"/>
  <c r="FI80" i="3"/>
  <c r="FH80" i="3"/>
  <c r="FG80" i="3"/>
  <c r="FF80" i="3"/>
  <c r="FE80" i="3"/>
  <c r="FD80" i="3"/>
  <c r="FC80" i="3"/>
  <c r="FB80" i="3"/>
  <c r="FA80" i="3"/>
  <c r="EZ80" i="3"/>
  <c r="EY80" i="3"/>
  <c r="EX80" i="3"/>
  <c r="EW80" i="3"/>
  <c r="EV80" i="3"/>
  <c r="EU80" i="3"/>
  <c r="ET80" i="3"/>
  <c r="ES80" i="3"/>
  <c r="ER80" i="3"/>
  <c r="EQ80" i="3"/>
  <c r="EP80" i="3"/>
  <c r="EO80" i="3"/>
  <c r="EN80" i="3"/>
  <c r="EM80" i="3"/>
  <c r="EL80" i="3"/>
  <c r="EK80" i="3"/>
  <c r="EJ80" i="3"/>
  <c r="EI80" i="3"/>
  <c r="EH80" i="3"/>
  <c r="EG80" i="3"/>
  <c r="EF80" i="3"/>
  <c r="EE80" i="3"/>
  <c r="ED80" i="3"/>
  <c r="EC80" i="3"/>
  <c r="EB80" i="3"/>
  <c r="EA80" i="3"/>
  <c r="DZ80" i="3"/>
  <c r="DY80" i="3"/>
  <c r="DX80" i="3"/>
  <c r="DW80" i="3"/>
  <c r="DV80" i="3"/>
  <c r="DU80" i="3"/>
  <c r="DT80" i="3"/>
  <c r="DS80" i="3"/>
  <c r="DR80" i="3"/>
  <c r="DQ80" i="3"/>
  <c r="DP80" i="3"/>
  <c r="DO80" i="3"/>
  <c r="DN80" i="3"/>
  <c r="DM80" i="3"/>
  <c r="DL80" i="3"/>
  <c r="DK80" i="3"/>
  <c r="DJ80" i="3"/>
  <c r="DI80" i="3"/>
  <c r="DH80" i="3"/>
  <c r="DG80" i="3"/>
  <c r="DF80" i="3"/>
  <c r="DE80" i="3"/>
  <c r="DD80" i="3"/>
  <c r="DC80" i="3"/>
  <c r="DB80" i="3"/>
  <c r="DA80" i="3"/>
  <c r="CZ80" i="3"/>
  <c r="CY80" i="3"/>
  <c r="CX80" i="3"/>
  <c r="CW80" i="3"/>
  <c r="CV80" i="3"/>
  <c r="CU80" i="3"/>
  <c r="CT80" i="3"/>
  <c r="CS80" i="3"/>
  <c r="CR80" i="3"/>
  <c r="CQ80" i="3"/>
  <c r="CP80" i="3"/>
  <c r="CO80" i="3"/>
  <c r="CN80" i="3"/>
  <c r="CM80" i="3"/>
  <c r="CL80" i="3"/>
  <c r="FQ79" i="3"/>
  <c r="FP79" i="3"/>
  <c r="FO79" i="3"/>
  <c r="FN79" i="3"/>
  <c r="FM79" i="3"/>
  <c r="FL79" i="3"/>
  <c r="FK79" i="3"/>
  <c r="FJ79" i="3"/>
  <c r="FI79" i="3"/>
  <c r="FH79" i="3"/>
  <c r="FG79" i="3"/>
  <c r="FF79" i="3"/>
  <c r="FE79" i="3"/>
  <c r="FD79" i="3"/>
  <c r="FC79" i="3"/>
  <c r="FB79" i="3"/>
  <c r="FA79" i="3"/>
  <c r="EZ79" i="3"/>
  <c r="EY79" i="3"/>
  <c r="EX79" i="3"/>
  <c r="EW79" i="3"/>
  <c r="EV79" i="3"/>
  <c r="EU79" i="3"/>
  <c r="ET79" i="3"/>
  <c r="ES79" i="3"/>
  <c r="ER79" i="3"/>
  <c r="EQ79" i="3"/>
  <c r="EP79" i="3"/>
  <c r="EO79" i="3"/>
  <c r="EN79" i="3"/>
  <c r="EM79" i="3"/>
  <c r="EL79" i="3"/>
  <c r="EK79" i="3"/>
  <c r="EJ79" i="3"/>
  <c r="EI79" i="3"/>
  <c r="EH79" i="3"/>
  <c r="EG79" i="3"/>
  <c r="EF79" i="3"/>
  <c r="EE79" i="3"/>
  <c r="ED79" i="3"/>
  <c r="EC79" i="3"/>
  <c r="EB79" i="3"/>
  <c r="EA79" i="3"/>
  <c r="DZ79" i="3"/>
  <c r="DY79" i="3"/>
  <c r="DX79" i="3"/>
  <c r="DW79" i="3"/>
  <c r="DV79" i="3"/>
  <c r="DU79" i="3"/>
  <c r="DT79" i="3"/>
  <c r="DS79" i="3"/>
  <c r="DR79" i="3"/>
  <c r="DQ79" i="3"/>
  <c r="DP79" i="3"/>
  <c r="DO79" i="3"/>
  <c r="DN79" i="3"/>
  <c r="DM79" i="3"/>
  <c r="DL79" i="3"/>
  <c r="DK79" i="3"/>
  <c r="DJ79" i="3"/>
  <c r="DI79" i="3"/>
  <c r="DH79" i="3"/>
  <c r="DG79" i="3"/>
  <c r="DF79" i="3"/>
  <c r="DE79" i="3"/>
  <c r="DD79" i="3"/>
  <c r="DC79" i="3"/>
  <c r="DB79" i="3"/>
  <c r="DA79" i="3"/>
  <c r="CZ79" i="3"/>
  <c r="CY79" i="3"/>
  <c r="CX79" i="3"/>
  <c r="CW79" i="3"/>
  <c r="CV79" i="3"/>
  <c r="CU79" i="3"/>
  <c r="CT79" i="3"/>
  <c r="CS79" i="3"/>
  <c r="CR79" i="3"/>
  <c r="CQ79" i="3"/>
  <c r="CP79" i="3"/>
  <c r="CO79" i="3"/>
  <c r="CN79" i="3"/>
  <c r="CM79" i="3"/>
  <c r="CL79" i="3"/>
  <c r="FQ78" i="3"/>
  <c r="FP78" i="3"/>
  <c r="FO78" i="3"/>
  <c r="FN78" i="3"/>
  <c r="FM78" i="3"/>
  <c r="FL78" i="3"/>
  <c r="FK78" i="3"/>
  <c r="FJ78" i="3"/>
  <c r="FI78" i="3"/>
  <c r="FH78" i="3"/>
  <c r="FG78" i="3"/>
  <c r="FF78" i="3"/>
  <c r="FE78" i="3"/>
  <c r="FD78" i="3"/>
  <c r="FC78" i="3"/>
  <c r="FB78" i="3"/>
  <c r="FA78" i="3"/>
  <c r="EZ78" i="3"/>
  <c r="EY78" i="3"/>
  <c r="EX78" i="3"/>
  <c r="EW78" i="3"/>
  <c r="EV78" i="3"/>
  <c r="EU78" i="3"/>
  <c r="ET78" i="3"/>
  <c r="ES78" i="3"/>
  <c r="ER78" i="3"/>
  <c r="EQ78" i="3"/>
  <c r="EP78" i="3"/>
  <c r="EO78" i="3"/>
  <c r="EN78" i="3"/>
  <c r="EM78" i="3"/>
  <c r="EL78" i="3"/>
  <c r="EK78" i="3"/>
  <c r="EJ78" i="3"/>
  <c r="EI78" i="3"/>
  <c r="EH78" i="3"/>
  <c r="EG78" i="3"/>
  <c r="EF78" i="3"/>
  <c r="EE78" i="3"/>
  <c r="ED78" i="3"/>
  <c r="EC78" i="3"/>
  <c r="EB78" i="3"/>
  <c r="EA78" i="3"/>
  <c r="DZ78" i="3"/>
  <c r="DY78" i="3"/>
  <c r="DX78" i="3"/>
  <c r="DW78" i="3"/>
  <c r="DV78" i="3"/>
  <c r="DU78" i="3"/>
  <c r="DT78" i="3"/>
  <c r="DS78" i="3"/>
  <c r="DR78" i="3"/>
  <c r="DQ78" i="3"/>
  <c r="DP78" i="3"/>
  <c r="DO78" i="3"/>
  <c r="DN78" i="3"/>
  <c r="DM78" i="3"/>
  <c r="DL78" i="3"/>
  <c r="DK78" i="3"/>
  <c r="DJ78" i="3"/>
  <c r="DI78" i="3"/>
  <c r="DH78" i="3"/>
  <c r="DG78" i="3"/>
  <c r="DF78" i="3"/>
  <c r="DE78" i="3"/>
  <c r="DD78" i="3"/>
  <c r="DC78" i="3"/>
  <c r="DB78" i="3"/>
  <c r="DA78" i="3"/>
  <c r="CZ78" i="3"/>
  <c r="CY78" i="3"/>
  <c r="CX78" i="3"/>
  <c r="CW78" i="3"/>
  <c r="CV78" i="3"/>
  <c r="CU78" i="3"/>
  <c r="CT78" i="3"/>
  <c r="CS78" i="3"/>
  <c r="CR78" i="3"/>
  <c r="CQ78" i="3"/>
  <c r="CP78" i="3"/>
  <c r="CO78" i="3"/>
  <c r="CN78" i="3"/>
  <c r="CM78" i="3"/>
  <c r="CL78" i="3"/>
  <c r="FQ77" i="3"/>
  <c r="FP77" i="3"/>
  <c r="FO77" i="3"/>
  <c r="FN77" i="3"/>
  <c r="FM77" i="3"/>
  <c r="FL77" i="3"/>
  <c r="FK77" i="3"/>
  <c r="FJ77" i="3"/>
  <c r="FI77" i="3"/>
  <c r="FH77" i="3"/>
  <c r="FG77" i="3"/>
  <c r="FF77" i="3"/>
  <c r="FE77" i="3"/>
  <c r="FD77" i="3"/>
  <c r="FC77" i="3"/>
  <c r="FB77" i="3"/>
  <c r="FA77" i="3"/>
  <c r="EZ77" i="3"/>
  <c r="EY77" i="3"/>
  <c r="EX77" i="3"/>
  <c r="EW77" i="3"/>
  <c r="EV77" i="3"/>
  <c r="EU77" i="3"/>
  <c r="ET77" i="3"/>
  <c r="ES77" i="3"/>
  <c r="ER77" i="3"/>
  <c r="EQ77" i="3"/>
  <c r="EP77" i="3"/>
  <c r="EO77" i="3"/>
  <c r="EN77" i="3"/>
  <c r="EM77" i="3"/>
  <c r="EL77" i="3"/>
  <c r="EK77" i="3"/>
  <c r="EJ77" i="3"/>
  <c r="EI77" i="3"/>
  <c r="EH77" i="3"/>
  <c r="EG77" i="3"/>
  <c r="EF77" i="3"/>
  <c r="EE77" i="3"/>
  <c r="ED77" i="3"/>
  <c r="EC77" i="3"/>
  <c r="EB77" i="3"/>
  <c r="EA77" i="3"/>
  <c r="DZ77" i="3"/>
  <c r="DY77" i="3"/>
  <c r="DX77" i="3"/>
  <c r="DW77" i="3"/>
  <c r="DV77" i="3"/>
  <c r="DU77" i="3"/>
  <c r="DT77" i="3"/>
  <c r="DS77" i="3"/>
  <c r="DR77" i="3"/>
  <c r="DQ77" i="3"/>
  <c r="DP77" i="3"/>
  <c r="DO77" i="3"/>
  <c r="DN77" i="3"/>
  <c r="DM77" i="3"/>
  <c r="DL77" i="3"/>
  <c r="DK77" i="3"/>
  <c r="DJ77" i="3"/>
  <c r="DI77" i="3"/>
  <c r="DH77" i="3"/>
  <c r="DG77" i="3"/>
  <c r="DF77" i="3"/>
  <c r="DE77" i="3"/>
  <c r="DD77" i="3"/>
  <c r="DC77" i="3"/>
  <c r="DB77" i="3"/>
  <c r="DA77" i="3"/>
  <c r="CZ77" i="3"/>
  <c r="CY77" i="3"/>
  <c r="CX77" i="3"/>
  <c r="CW77" i="3"/>
  <c r="CV77" i="3"/>
  <c r="CU77" i="3"/>
  <c r="CT77" i="3"/>
  <c r="CS77" i="3"/>
  <c r="CR77" i="3"/>
  <c r="CQ77" i="3"/>
  <c r="CP77" i="3"/>
  <c r="CO77" i="3"/>
  <c r="CN77" i="3"/>
  <c r="CM77" i="3"/>
  <c r="CL77" i="3"/>
  <c r="FQ76" i="3"/>
  <c r="FP76" i="3"/>
  <c r="FO76" i="3"/>
  <c r="FN76" i="3"/>
  <c r="FM76" i="3"/>
  <c r="FL76" i="3"/>
  <c r="FK76" i="3"/>
  <c r="FJ76" i="3"/>
  <c r="FI76" i="3"/>
  <c r="FH76" i="3"/>
  <c r="FG76" i="3"/>
  <c r="FF76" i="3"/>
  <c r="FE76" i="3"/>
  <c r="FD76" i="3"/>
  <c r="FC76" i="3"/>
  <c r="FB76" i="3"/>
  <c r="FA76" i="3"/>
  <c r="EZ76" i="3"/>
  <c r="EY76" i="3"/>
  <c r="EX76" i="3"/>
  <c r="EW76" i="3"/>
  <c r="EV76" i="3"/>
  <c r="EU76" i="3"/>
  <c r="ET76" i="3"/>
  <c r="ES76" i="3"/>
  <c r="ER76" i="3"/>
  <c r="EQ76" i="3"/>
  <c r="EP76" i="3"/>
  <c r="EO76" i="3"/>
  <c r="EN76" i="3"/>
  <c r="EM76" i="3"/>
  <c r="EL76" i="3"/>
  <c r="EK76" i="3"/>
  <c r="EJ76" i="3"/>
  <c r="EI76" i="3"/>
  <c r="EH76" i="3"/>
  <c r="EG76" i="3"/>
  <c r="EF76" i="3"/>
  <c r="EE76" i="3"/>
  <c r="ED76" i="3"/>
  <c r="EC76" i="3"/>
  <c r="EB76" i="3"/>
  <c r="EA76" i="3"/>
  <c r="DZ76" i="3"/>
  <c r="DY76" i="3"/>
  <c r="DX76" i="3"/>
  <c r="DW76" i="3"/>
  <c r="DV76" i="3"/>
  <c r="DU76" i="3"/>
  <c r="DT76" i="3"/>
  <c r="DS76" i="3"/>
  <c r="DR76" i="3"/>
  <c r="DQ76" i="3"/>
  <c r="DP76" i="3"/>
  <c r="DO76" i="3"/>
  <c r="DN76" i="3"/>
  <c r="DM76" i="3"/>
  <c r="DL76" i="3"/>
  <c r="DK76" i="3"/>
  <c r="DJ76" i="3"/>
  <c r="DI76" i="3"/>
  <c r="DH76" i="3"/>
  <c r="DG76" i="3"/>
  <c r="DF76" i="3"/>
  <c r="DE76" i="3"/>
  <c r="DD76" i="3"/>
  <c r="DC76" i="3"/>
  <c r="DB76" i="3"/>
  <c r="DA76" i="3"/>
  <c r="CZ76" i="3"/>
  <c r="CY76" i="3"/>
  <c r="CX76" i="3"/>
  <c r="CW76" i="3"/>
  <c r="CV76" i="3"/>
  <c r="CU76" i="3"/>
  <c r="CT76" i="3"/>
  <c r="CS76" i="3"/>
  <c r="CR76" i="3"/>
  <c r="CQ76" i="3"/>
  <c r="CP76" i="3"/>
  <c r="CO76" i="3"/>
  <c r="CN76" i="3"/>
  <c r="CM76" i="3"/>
  <c r="CL76" i="3"/>
  <c r="E76" i="3"/>
  <c r="D76" i="3"/>
  <c r="C76" i="3"/>
  <c r="B76" i="3"/>
  <c r="FQ75" i="3"/>
  <c r="FP75" i="3"/>
  <c r="FO75" i="3"/>
  <c r="FN75" i="3"/>
  <c r="FM75" i="3"/>
  <c r="FL75" i="3"/>
  <c r="FK75" i="3"/>
  <c r="FJ75" i="3"/>
  <c r="FI75" i="3"/>
  <c r="FH75" i="3"/>
  <c r="FG75" i="3"/>
  <c r="FF75" i="3"/>
  <c r="FE75" i="3"/>
  <c r="FD75" i="3"/>
  <c r="FC75" i="3"/>
  <c r="FB75" i="3"/>
  <c r="FA75" i="3"/>
  <c r="EZ75" i="3"/>
  <c r="EY75" i="3"/>
  <c r="EX75" i="3"/>
  <c r="EW75" i="3"/>
  <c r="EV75" i="3"/>
  <c r="EU75" i="3"/>
  <c r="ET75" i="3"/>
  <c r="ES75" i="3"/>
  <c r="ER75" i="3"/>
  <c r="EQ75" i="3"/>
  <c r="EP75" i="3"/>
  <c r="EO75" i="3"/>
  <c r="EN75" i="3"/>
  <c r="EM75" i="3"/>
  <c r="EL75" i="3"/>
  <c r="EK75" i="3"/>
  <c r="EJ75" i="3"/>
  <c r="EI75" i="3"/>
  <c r="EH75" i="3"/>
  <c r="EG75" i="3"/>
  <c r="EF75" i="3"/>
  <c r="EE75" i="3"/>
  <c r="ED75" i="3"/>
  <c r="EC75" i="3"/>
  <c r="EB75" i="3"/>
  <c r="EA75" i="3"/>
  <c r="DZ75" i="3"/>
  <c r="DY75" i="3"/>
  <c r="DX75" i="3"/>
  <c r="DW75" i="3"/>
  <c r="DV75" i="3"/>
  <c r="DU75" i="3"/>
  <c r="DT75" i="3"/>
  <c r="DS75" i="3"/>
  <c r="DR75" i="3"/>
  <c r="DQ75" i="3"/>
  <c r="DP75" i="3"/>
  <c r="DO75" i="3"/>
  <c r="DN75" i="3"/>
  <c r="DM75" i="3"/>
  <c r="DL75" i="3"/>
  <c r="DK75" i="3"/>
  <c r="DJ75" i="3"/>
  <c r="DI75" i="3"/>
  <c r="DH75" i="3"/>
  <c r="DG75" i="3"/>
  <c r="DF75" i="3"/>
  <c r="DE75" i="3"/>
  <c r="DD75" i="3"/>
  <c r="DC75" i="3"/>
  <c r="DB75" i="3"/>
  <c r="DA75" i="3"/>
  <c r="CZ75" i="3"/>
  <c r="CY75" i="3"/>
  <c r="CX75" i="3"/>
  <c r="CW75" i="3"/>
  <c r="CV75" i="3"/>
  <c r="CU75" i="3"/>
  <c r="CT75" i="3"/>
  <c r="CS75" i="3"/>
  <c r="CR75" i="3"/>
  <c r="CQ75" i="3"/>
  <c r="CP75" i="3"/>
  <c r="CO75" i="3"/>
  <c r="CN75" i="3"/>
  <c r="CM75" i="3"/>
  <c r="CL75" i="3"/>
  <c r="E75" i="3"/>
  <c r="D75" i="3"/>
  <c r="C75" i="3"/>
  <c r="B75" i="3"/>
  <c r="FQ74" i="3"/>
  <c r="FP74" i="3"/>
  <c r="FO74" i="3"/>
  <c r="FN74" i="3"/>
  <c r="FM74" i="3"/>
  <c r="FL74" i="3"/>
  <c r="FK74" i="3"/>
  <c r="FJ74" i="3"/>
  <c r="FI74" i="3"/>
  <c r="FH74" i="3"/>
  <c r="FG74" i="3"/>
  <c r="FF74" i="3"/>
  <c r="FE74" i="3"/>
  <c r="FD74" i="3"/>
  <c r="FC74" i="3"/>
  <c r="FB74" i="3"/>
  <c r="FA74" i="3"/>
  <c r="EZ74" i="3"/>
  <c r="EY74" i="3"/>
  <c r="EX74" i="3"/>
  <c r="EW74" i="3"/>
  <c r="EV74" i="3"/>
  <c r="EU74" i="3"/>
  <c r="ET74" i="3"/>
  <c r="ES74" i="3"/>
  <c r="ER74" i="3"/>
  <c r="EQ74" i="3"/>
  <c r="EP74" i="3"/>
  <c r="EO74" i="3"/>
  <c r="EN74" i="3"/>
  <c r="EM74" i="3"/>
  <c r="EL74" i="3"/>
  <c r="EK74" i="3"/>
  <c r="EJ74" i="3"/>
  <c r="EI74" i="3"/>
  <c r="EH74" i="3"/>
  <c r="EG74" i="3"/>
  <c r="EF74" i="3"/>
  <c r="EE74" i="3"/>
  <c r="ED74" i="3"/>
  <c r="EC74" i="3"/>
  <c r="EB74" i="3"/>
  <c r="EA74" i="3"/>
  <c r="DZ74" i="3"/>
  <c r="DY74" i="3"/>
  <c r="DX74" i="3"/>
  <c r="DW74" i="3"/>
  <c r="DV74" i="3"/>
  <c r="DU74" i="3"/>
  <c r="DT74" i="3"/>
  <c r="DS74" i="3"/>
  <c r="DR74" i="3"/>
  <c r="DQ74" i="3"/>
  <c r="DP74" i="3"/>
  <c r="DO74" i="3"/>
  <c r="DN74" i="3"/>
  <c r="DM74" i="3"/>
  <c r="DL74" i="3"/>
  <c r="DK74" i="3"/>
  <c r="DJ74" i="3"/>
  <c r="DI74" i="3"/>
  <c r="DH74" i="3"/>
  <c r="DG74" i="3"/>
  <c r="DF74" i="3"/>
  <c r="DE74" i="3"/>
  <c r="DD74" i="3"/>
  <c r="DC74" i="3"/>
  <c r="DB74" i="3"/>
  <c r="DA74" i="3"/>
  <c r="CZ74" i="3"/>
  <c r="CY74" i="3"/>
  <c r="CX74" i="3"/>
  <c r="CW74" i="3"/>
  <c r="CV74" i="3"/>
  <c r="CU74" i="3"/>
  <c r="CT74" i="3"/>
  <c r="CS74" i="3"/>
  <c r="CR74" i="3"/>
  <c r="CQ74" i="3"/>
  <c r="CP74" i="3"/>
  <c r="CO74" i="3"/>
  <c r="CN74" i="3"/>
  <c r="CM74" i="3"/>
  <c r="CL74" i="3"/>
  <c r="E74" i="3"/>
  <c r="D74" i="3"/>
  <c r="C74" i="3"/>
  <c r="B74" i="3"/>
  <c r="FQ73" i="3"/>
  <c r="FP73" i="3"/>
  <c r="FO73" i="3"/>
  <c r="FN73" i="3"/>
  <c r="FM73" i="3"/>
  <c r="FL73" i="3"/>
  <c r="FK73" i="3"/>
  <c r="FJ73" i="3"/>
  <c r="FI73" i="3"/>
  <c r="FH73" i="3"/>
  <c r="FG73" i="3"/>
  <c r="FF73" i="3"/>
  <c r="FE73" i="3"/>
  <c r="FD73" i="3"/>
  <c r="FC73" i="3"/>
  <c r="FB73" i="3"/>
  <c r="FA73" i="3"/>
  <c r="EZ73" i="3"/>
  <c r="EY73" i="3"/>
  <c r="EX73" i="3"/>
  <c r="EW73" i="3"/>
  <c r="EV73" i="3"/>
  <c r="EU73" i="3"/>
  <c r="ET73" i="3"/>
  <c r="ES73" i="3"/>
  <c r="ER73" i="3"/>
  <c r="EQ73" i="3"/>
  <c r="EP73" i="3"/>
  <c r="EO73" i="3"/>
  <c r="EN73" i="3"/>
  <c r="EM73" i="3"/>
  <c r="EL73" i="3"/>
  <c r="EK73" i="3"/>
  <c r="EJ73" i="3"/>
  <c r="EI73" i="3"/>
  <c r="EH73" i="3"/>
  <c r="EG73" i="3"/>
  <c r="EF73" i="3"/>
  <c r="EE73" i="3"/>
  <c r="ED73" i="3"/>
  <c r="EC73" i="3"/>
  <c r="EB73" i="3"/>
  <c r="EA73" i="3"/>
  <c r="DZ73" i="3"/>
  <c r="DY73" i="3"/>
  <c r="DX73" i="3"/>
  <c r="DW73" i="3"/>
  <c r="DV73" i="3"/>
  <c r="DU73" i="3"/>
  <c r="DT73" i="3"/>
  <c r="DS73" i="3"/>
  <c r="DR73" i="3"/>
  <c r="DQ73" i="3"/>
  <c r="DP73" i="3"/>
  <c r="DO73" i="3"/>
  <c r="DN73" i="3"/>
  <c r="DM73" i="3"/>
  <c r="DL73" i="3"/>
  <c r="DK73" i="3"/>
  <c r="DJ73" i="3"/>
  <c r="DI73" i="3"/>
  <c r="DH73" i="3"/>
  <c r="DG73" i="3"/>
  <c r="DF73" i="3"/>
  <c r="DE73" i="3"/>
  <c r="DD73" i="3"/>
  <c r="DC73" i="3"/>
  <c r="DB73" i="3"/>
  <c r="DA73" i="3"/>
  <c r="CZ73" i="3"/>
  <c r="CY73" i="3"/>
  <c r="CX73" i="3"/>
  <c r="CW73" i="3"/>
  <c r="CV73" i="3"/>
  <c r="CU73" i="3"/>
  <c r="CT73" i="3"/>
  <c r="CS73" i="3"/>
  <c r="CR73" i="3"/>
  <c r="CQ73" i="3"/>
  <c r="CP73" i="3"/>
  <c r="CO73" i="3"/>
  <c r="CN73" i="3"/>
  <c r="CM73" i="3"/>
  <c r="CL73" i="3"/>
  <c r="E73" i="3"/>
  <c r="D73" i="3"/>
  <c r="C73" i="3"/>
  <c r="B73" i="3"/>
  <c r="FQ72" i="3"/>
  <c r="FP72" i="3"/>
  <c r="FO72" i="3"/>
  <c r="FN72" i="3"/>
  <c r="FM72" i="3"/>
  <c r="FL72" i="3"/>
  <c r="FK72" i="3"/>
  <c r="FJ72" i="3"/>
  <c r="FI72" i="3"/>
  <c r="FH72" i="3"/>
  <c r="FG72" i="3"/>
  <c r="FF72" i="3"/>
  <c r="FE72" i="3"/>
  <c r="FD72" i="3"/>
  <c r="FC72" i="3"/>
  <c r="FB72" i="3"/>
  <c r="FA72" i="3"/>
  <c r="EZ72" i="3"/>
  <c r="EY72" i="3"/>
  <c r="EX72" i="3"/>
  <c r="EW72" i="3"/>
  <c r="EV72" i="3"/>
  <c r="EU72" i="3"/>
  <c r="ET72" i="3"/>
  <c r="ES72" i="3"/>
  <c r="ER72" i="3"/>
  <c r="EQ72" i="3"/>
  <c r="EP72" i="3"/>
  <c r="EO72" i="3"/>
  <c r="EN72" i="3"/>
  <c r="EM72" i="3"/>
  <c r="EL72" i="3"/>
  <c r="EK72" i="3"/>
  <c r="EJ72" i="3"/>
  <c r="EI72" i="3"/>
  <c r="EH72" i="3"/>
  <c r="EG72" i="3"/>
  <c r="EF72" i="3"/>
  <c r="EE72" i="3"/>
  <c r="ED72" i="3"/>
  <c r="EC72" i="3"/>
  <c r="EB72" i="3"/>
  <c r="EA72" i="3"/>
  <c r="DZ72" i="3"/>
  <c r="DY72" i="3"/>
  <c r="DX72" i="3"/>
  <c r="DW72" i="3"/>
  <c r="DV72" i="3"/>
  <c r="DU72" i="3"/>
  <c r="DT72" i="3"/>
  <c r="DS72" i="3"/>
  <c r="DR72" i="3"/>
  <c r="DQ72" i="3"/>
  <c r="DP72" i="3"/>
  <c r="DO72" i="3"/>
  <c r="DN72" i="3"/>
  <c r="DM72" i="3"/>
  <c r="DL72" i="3"/>
  <c r="DK72" i="3"/>
  <c r="DJ72" i="3"/>
  <c r="DI72" i="3"/>
  <c r="DH72" i="3"/>
  <c r="DG72" i="3"/>
  <c r="DF72" i="3"/>
  <c r="DE72" i="3"/>
  <c r="DD72" i="3"/>
  <c r="DC72" i="3"/>
  <c r="DB72" i="3"/>
  <c r="DA72" i="3"/>
  <c r="CZ72" i="3"/>
  <c r="CY72" i="3"/>
  <c r="CX72" i="3"/>
  <c r="CW72" i="3"/>
  <c r="CV72" i="3"/>
  <c r="CU72" i="3"/>
  <c r="CT72" i="3"/>
  <c r="CS72" i="3"/>
  <c r="CR72" i="3"/>
  <c r="CQ72" i="3"/>
  <c r="CP72" i="3"/>
  <c r="CO72" i="3"/>
  <c r="CN72" i="3"/>
  <c r="CM72" i="3"/>
  <c r="CL72" i="3"/>
  <c r="E72" i="3"/>
  <c r="D72" i="3"/>
  <c r="C72" i="3"/>
  <c r="A72" i="3"/>
  <c r="FQ71" i="3"/>
  <c r="FP71" i="3"/>
  <c r="FO71" i="3"/>
  <c r="FN71" i="3"/>
  <c r="FM71" i="3"/>
  <c r="FL71" i="3"/>
  <c r="FK71" i="3"/>
  <c r="FJ71" i="3"/>
  <c r="FI71" i="3"/>
  <c r="FH71" i="3"/>
  <c r="FG71" i="3"/>
  <c r="FF71" i="3"/>
  <c r="FE71" i="3"/>
  <c r="FD71" i="3"/>
  <c r="FC71" i="3"/>
  <c r="FB71" i="3"/>
  <c r="FA71" i="3"/>
  <c r="EZ71" i="3"/>
  <c r="EY71" i="3"/>
  <c r="EX71" i="3"/>
  <c r="EW71" i="3"/>
  <c r="EV71" i="3"/>
  <c r="EU71" i="3"/>
  <c r="ET71" i="3"/>
  <c r="ES71" i="3"/>
  <c r="ER71" i="3"/>
  <c r="EQ71" i="3"/>
  <c r="EP71" i="3"/>
  <c r="EO71" i="3"/>
  <c r="EN71" i="3"/>
  <c r="EM71" i="3"/>
  <c r="EL71" i="3"/>
  <c r="EK71" i="3"/>
  <c r="EJ71" i="3"/>
  <c r="EI71" i="3"/>
  <c r="EH71" i="3"/>
  <c r="EG71" i="3"/>
  <c r="EF71" i="3"/>
  <c r="EE71" i="3"/>
  <c r="ED71" i="3"/>
  <c r="EC71" i="3"/>
  <c r="EB71" i="3"/>
  <c r="EA71" i="3"/>
  <c r="DZ71" i="3"/>
  <c r="DY71" i="3"/>
  <c r="DX71" i="3"/>
  <c r="DW71" i="3"/>
  <c r="DV71" i="3"/>
  <c r="DU71" i="3"/>
  <c r="DT71" i="3"/>
  <c r="DS71" i="3"/>
  <c r="DR71" i="3"/>
  <c r="DQ71" i="3"/>
  <c r="DP71" i="3"/>
  <c r="DO71" i="3"/>
  <c r="DN71" i="3"/>
  <c r="DM71" i="3"/>
  <c r="DL71" i="3"/>
  <c r="DK71" i="3"/>
  <c r="DJ71" i="3"/>
  <c r="DI71" i="3"/>
  <c r="DH71" i="3"/>
  <c r="DG71" i="3"/>
  <c r="DF71" i="3"/>
  <c r="DE71" i="3"/>
  <c r="DD71" i="3"/>
  <c r="DC71" i="3"/>
  <c r="DB71" i="3"/>
  <c r="DA71" i="3"/>
  <c r="CZ71" i="3"/>
  <c r="CY71" i="3"/>
  <c r="CX71" i="3"/>
  <c r="CW71" i="3"/>
  <c r="CV71" i="3"/>
  <c r="CU71" i="3"/>
  <c r="CT71" i="3"/>
  <c r="CS71" i="3"/>
  <c r="CR71" i="3"/>
  <c r="CQ71" i="3"/>
  <c r="CP71" i="3"/>
  <c r="CO71" i="3"/>
  <c r="CN71" i="3"/>
  <c r="CM71" i="3"/>
  <c r="CL71" i="3"/>
  <c r="E71" i="3"/>
  <c r="D71" i="3"/>
  <c r="C71" i="3"/>
  <c r="A71" i="3"/>
  <c r="FQ70" i="3"/>
  <c r="FP70" i="3"/>
  <c r="FO70" i="3"/>
  <c r="FN70" i="3"/>
  <c r="FM70" i="3"/>
  <c r="FL70" i="3"/>
  <c r="FK70" i="3"/>
  <c r="FJ70" i="3"/>
  <c r="FI70" i="3"/>
  <c r="FH70" i="3"/>
  <c r="FG70" i="3"/>
  <c r="FF70" i="3"/>
  <c r="FE70" i="3"/>
  <c r="FD70" i="3"/>
  <c r="FC70" i="3"/>
  <c r="FB70" i="3"/>
  <c r="FA70" i="3"/>
  <c r="EZ70" i="3"/>
  <c r="EY70" i="3"/>
  <c r="EX70" i="3"/>
  <c r="EW70" i="3"/>
  <c r="EV70" i="3"/>
  <c r="EU70" i="3"/>
  <c r="ET70" i="3"/>
  <c r="ES70" i="3"/>
  <c r="ER70" i="3"/>
  <c r="EQ70" i="3"/>
  <c r="EP70" i="3"/>
  <c r="EO70" i="3"/>
  <c r="EN70" i="3"/>
  <c r="EM70" i="3"/>
  <c r="EL70" i="3"/>
  <c r="EK70" i="3"/>
  <c r="EJ70" i="3"/>
  <c r="EI70" i="3"/>
  <c r="EH70" i="3"/>
  <c r="EG70" i="3"/>
  <c r="EF70" i="3"/>
  <c r="EE70" i="3"/>
  <c r="ED70" i="3"/>
  <c r="EC70" i="3"/>
  <c r="EB70" i="3"/>
  <c r="EA70" i="3"/>
  <c r="DZ70" i="3"/>
  <c r="DY70" i="3"/>
  <c r="DX70" i="3"/>
  <c r="DW70" i="3"/>
  <c r="DV70" i="3"/>
  <c r="DU70" i="3"/>
  <c r="DT70" i="3"/>
  <c r="DS70" i="3"/>
  <c r="DR70" i="3"/>
  <c r="DQ70" i="3"/>
  <c r="DP70" i="3"/>
  <c r="DO70" i="3"/>
  <c r="DN70" i="3"/>
  <c r="DM70" i="3"/>
  <c r="DL70" i="3"/>
  <c r="DK70" i="3"/>
  <c r="DJ70" i="3"/>
  <c r="DI70" i="3"/>
  <c r="DH70" i="3"/>
  <c r="DG70" i="3"/>
  <c r="DF70" i="3"/>
  <c r="DE70" i="3"/>
  <c r="DD70" i="3"/>
  <c r="DC70" i="3"/>
  <c r="DB70" i="3"/>
  <c r="DA70" i="3"/>
  <c r="CZ70" i="3"/>
  <c r="CY70" i="3"/>
  <c r="CX70" i="3"/>
  <c r="CW70" i="3"/>
  <c r="CV70" i="3"/>
  <c r="CU70" i="3"/>
  <c r="CT70" i="3"/>
  <c r="CS70" i="3"/>
  <c r="CR70" i="3"/>
  <c r="CQ70" i="3"/>
  <c r="CP70" i="3"/>
  <c r="CO70" i="3"/>
  <c r="CN70" i="3"/>
  <c r="CM70" i="3"/>
  <c r="CL70" i="3"/>
  <c r="FQ69" i="3"/>
  <c r="FP69" i="3"/>
  <c r="FO69" i="3"/>
  <c r="FN69" i="3"/>
  <c r="FM69" i="3"/>
  <c r="FL69" i="3"/>
  <c r="FK69" i="3"/>
  <c r="FJ69" i="3"/>
  <c r="FI69" i="3"/>
  <c r="FH69" i="3"/>
  <c r="FG69" i="3"/>
  <c r="FF69" i="3"/>
  <c r="FE69" i="3"/>
  <c r="FD69" i="3"/>
  <c r="FC69" i="3"/>
  <c r="FB69" i="3"/>
  <c r="FA69" i="3"/>
  <c r="EZ69" i="3"/>
  <c r="EY69" i="3"/>
  <c r="EX69" i="3"/>
  <c r="EW69" i="3"/>
  <c r="EV69" i="3"/>
  <c r="EU69" i="3"/>
  <c r="ET69" i="3"/>
  <c r="ES69" i="3"/>
  <c r="ER69" i="3"/>
  <c r="EQ69" i="3"/>
  <c r="EP69" i="3"/>
  <c r="EO69" i="3"/>
  <c r="EN69" i="3"/>
  <c r="EM69" i="3"/>
  <c r="EL69" i="3"/>
  <c r="EK69" i="3"/>
  <c r="EJ69" i="3"/>
  <c r="EI69" i="3"/>
  <c r="EH69" i="3"/>
  <c r="EG69" i="3"/>
  <c r="EF69" i="3"/>
  <c r="EE69" i="3"/>
  <c r="ED69" i="3"/>
  <c r="EC69" i="3"/>
  <c r="EB69" i="3"/>
  <c r="EA69" i="3"/>
  <c r="DZ69" i="3"/>
  <c r="DY69" i="3"/>
  <c r="DX69" i="3"/>
  <c r="DW69" i="3"/>
  <c r="DV69" i="3"/>
  <c r="DU69" i="3"/>
  <c r="DT69" i="3"/>
  <c r="DS69" i="3"/>
  <c r="DR69" i="3"/>
  <c r="DQ69" i="3"/>
  <c r="DP69" i="3"/>
  <c r="DO69" i="3"/>
  <c r="DN69" i="3"/>
  <c r="DM69" i="3"/>
  <c r="DL69" i="3"/>
  <c r="DK69" i="3"/>
  <c r="DJ69" i="3"/>
  <c r="DI69" i="3"/>
  <c r="DH69" i="3"/>
  <c r="DG69" i="3"/>
  <c r="DF69" i="3"/>
  <c r="DE69" i="3"/>
  <c r="DD69" i="3"/>
  <c r="DC69" i="3"/>
  <c r="DB69" i="3"/>
  <c r="DA69" i="3"/>
  <c r="CZ69" i="3"/>
  <c r="CY69" i="3"/>
  <c r="CX69" i="3"/>
  <c r="CW69" i="3"/>
  <c r="CV69" i="3"/>
  <c r="CU69" i="3"/>
  <c r="CT69" i="3"/>
  <c r="CS69" i="3"/>
  <c r="CR69" i="3"/>
  <c r="CQ69" i="3"/>
  <c r="CP69" i="3"/>
  <c r="CO69" i="3"/>
  <c r="CN69" i="3"/>
  <c r="CM69" i="3"/>
  <c r="CL69" i="3"/>
  <c r="A69" i="3"/>
  <c r="FQ68" i="3"/>
  <c r="FP68" i="3"/>
  <c r="FO68" i="3"/>
  <c r="FN68" i="3"/>
  <c r="FM68" i="3"/>
  <c r="FL68" i="3"/>
  <c r="FK68" i="3"/>
  <c r="FJ68" i="3"/>
  <c r="FI68" i="3"/>
  <c r="FH68" i="3"/>
  <c r="FG68" i="3"/>
  <c r="FF68" i="3"/>
  <c r="FE68" i="3"/>
  <c r="FD68" i="3"/>
  <c r="FC68" i="3"/>
  <c r="FB68" i="3"/>
  <c r="FA68" i="3"/>
  <c r="EZ68" i="3"/>
  <c r="EY68" i="3"/>
  <c r="EX68" i="3"/>
  <c r="EW68" i="3"/>
  <c r="EV68" i="3"/>
  <c r="EU68" i="3"/>
  <c r="ET68" i="3"/>
  <c r="ES68" i="3"/>
  <c r="ER68" i="3"/>
  <c r="EQ68" i="3"/>
  <c r="EP68" i="3"/>
  <c r="EO68" i="3"/>
  <c r="EN68" i="3"/>
  <c r="EM68" i="3"/>
  <c r="EL68" i="3"/>
  <c r="EK68" i="3"/>
  <c r="EJ68" i="3"/>
  <c r="EI68" i="3"/>
  <c r="EH68" i="3"/>
  <c r="EG68" i="3"/>
  <c r="EF68" i="3"/>
  <c r="EE68" i="3"/>
  <c r="ED68" i="3"/>
  <c r="EC68" i="3"/>
  <c r="EB68" i="3"/>
  <c r="EA68" i="3"/>
  <c r="DZ68" i="3"/>
  <c r="DY68" i="3"/>
  <c r="DX68" i="3"/>
  <c r="DW68" i="3"/>
  <c r="DV68" i="3"/>
  <c r="DU68" i="3"/>
  <c r="DT68" i="3"/>
  <c r="DS68" i="3"/>
  <c r="DR68" i="3"/>
  <c r="DQ68" i="3"/>
  <c r="DP68" i="3"/>
  <c r="DO68" i="3"/>
  <c r="DN68" i="3"/>
  <c r="DM68" i="3"/>
  <c r="DL68" i="3"/>
  <c r="DK68" i="3"/>
  <c r="DJ68" i="3"/>
  <c r="DI68" i="3"/>
  <c r="DH68" i="3"/>
  <c r="DG68" i="3"/>
  <c r="DF68" i="3"/>
  <c r="DE68" i="3"/>
  <c r="DD68" i="3"/>
  <c r="DC68" i="3"/>
  <c r="DB68" i="3"/>
  <c r="DA68" i="3"/>
  <c r="CZ68" i="3"/>
  <c r="CY68" i="3"/>
  <c r="CX68" i="3"/>
  <c r="CW68" i="3"/>
  <c r="CV68" i="3"/>
  <c r="CU68" i="3"/>
  <c r="CT68" i="3"/>
  <c r="CS68" i="3"/>
  <c r="CR68" i="3"/>
  <c r="CQ68" i="3"/>
  <c r="CP68" i="3"/>
  <c r="CO68" i="3"/>
  <c r="CN68" i="3"/>
  <c r="CM68" i="3"/>
  <c r="CL68" i="3"/>
  <c r="B68" i="3"/>
  <c r="A68" i="3"/>
  <c r="FQ67" i="3"/>
  <c r="FP67" i="3"/>
  <c r="FO67" i="3"/>
  <c r="FN67" i="3"/>
  <c r="FM67" i="3"/>
  <c r="FL67" i="3"/>
  <c r="FK67" i="3"/>
  <c r="FJ67" i="3"/>
  <c r="FI67" i="3"/>
  <c r="FH67" i="3"/>
  <c r="FG67" i="3"/>
  <c r="FF67" i="3"/>
  <c r="FE67" i="3"/>
  <c r="FD67" i="3"/>
  <c r="FC67" i="3"/>
  <c r="FB67" i="3"/>
  <c r="FA67" i="3"/>
  <c r="EZ67" i="3"/>
  <c r="EY67" i="3"/>
  <c r="EX67" i="3"/>
  <c r="EW67" i="3"/>
  <c r="EV67" i="3"/>
  <c r="EU67" i="3"/>
  <c r="ET67" i="3"/>
  <c r="ES67" i="3"/>
  <c r="ER67" i="3"/>
  <c r="EQ67" i="3"/>
  <c r="EP67" i="3"/>
  <c r="EO67" i="3"/>
  <c r="EN67" i="3"/>
  <c r="EM67" i="3"/>
  <c r="EL67" i="3"/>
  <c r="EK67" i="3"/>
  <c r="EJ67" i="3"/>
  <c r="EI67" i="3"/>
  <c r="EH67" i="3"/>
  <c r="EG67" i="3"/>
  <c r="EF67" i="3"/>
  <c r="EE67" i="3"/>
  <c r="ED67" i="3"/>
  <c r="EC67" i="3"/>
  <c r="EB67" i="3"/>
  <c r="EA67" i="3"/>
  <c r="DZ67" i="3"/>
  <c r="DY67" i="3"/>
  <c r="DX67" i="3"/>
  <c r="DW67" i="3"/>
  <c r="DV67" i="3"/>
  <c r="DU67" i="3"/>
  <c r="DT67" i="3"/>
  <c r="DS67" i="3"/>
  <c r="DR67" i="3"/>
  <c r="DQ67" i="3"/>
  <c r="DP67" i="3"/>
  <c r="DO67" i="3"/>
  <c r="DN67" i="3"/>
  <c r="DM67" i="3"/>
  <c r="DL67" i="3"/>
  <c r="DK67" i="3"/>
  <c r="DJ67" i="3"/>
  <c r="DI67" i="3"/>
  <c r="DH67" i="3"/>
  <c r="DG67" i="3"/>
  <c r="DF67" i="3"/>
  <c r="DE67" i="3"/>
  <c r="DD67" i="3"/>
  <c r="DC67" i="3"/>
  <c r="DB67" i="3"/>
  <c r="DA67" i="3"/>
  <c r="CZ67" i="3"/>
  <c r="CY67" i="3"/>
  <c r="CX67" i="3"/>
  <c r="CW67" i="3"/>
  <c r="CV67" i="3"/>
  <c r="CU67" i="3"/>
  <c r="CT67" i="3"/>
  <c r="CS67" i="3"/>
  <c r="CR67" i="3"/>
  <c r="CQ67" i="3"/>
  <c r="CP67" i="3"/>
  <c r="CO67" i="3"/>
  <c r="CN67" i="3"/>
  <c r="CM67" i="3"/>
  <c r="CL67" i="3"/>
  <c r="A67" i="3"/>
  <c r="FQ66" i="3"/>
  <c r="FP66" i="3"/>
  <c r="FO66" i="3"/>
  <c r="FN66" i="3"/>
  <c r="FM66" i="3"/>
  <c r="FL66" i="3"/>
  <c r="FK66" i="3"/>
  <c r="FJ66" i="3"/>
  <c r="FI66" i="3"/>
  <c r="FH66" i="3"/>
  <c r="FG66" i="3"/>
  <c r="FF66" i="3"/>
  <c r="FE66" i="3"/>
  <c r="FD66" i="3"/>
  <c r="FC66" i="3"/>
  <c r="FB66" i="3"/>
  <c r="FA66" i="3"/>
  <c r="EZ66" i="3"/>
  <c r="EY66" i="3"/>
  <c r="EX66" i="3"/>
  <c r="EW66" i="3"/>
  <c r="EV66" i="3"/>
  <c r="EU66" i="3"/>
  <c r="ET66" i="3"/>
  <c r="ES66" i="3"/>
  <c r="ER66" i="3"/>
  <c r="EQ66" i="3"/>
  <c r="EP66" i="3"/>
  <c r="EO66" i="3"/>
  <c r="EN66" i="3"/>
  <c r="EM66" i="3"/>
  <c r="EL66" i="3"/>
  <c r="EK66" i="3"/>
  <c r="EJ66" i="3"/>
  <c r="EI66" i="3"/>
  <c r="EH66" i="3"/>
  <c r="EG66" i="3"/>
  <c r="EF66" i="3"/>
  <c r="EE66" i="3"/>
  <c r="ED66" i="3"/>
  <c r="EC66" i="3"/>
  <c r="EB66" i="3"/>
  <c r="EA66" i="3"/>
  <c r="DZ66" i="3"/>
  <c r="DY66" i="3"/>
  <c r="DX66" i="3"/>
  <c r="DW66" i="3"/>
  <c r="DV66" i="3"/>
  <c r="DU66" i="3"/>
  <c r="DT66" i="3"/>
  <c r="DS66" i="3"/>
  <c r="DR66" i="3"/>
  <c r="DQ66" i="3"/>
  <c r="DP66" i="3"/>
  <c r="DO66" i="3"/>
  <c r="DN66" i="3"/>
  <c r="DM66" i="3"/>
  <c r="DL66" i="3"/>
  <c r="DK66" i="3"/>
  <c r="DJ66" i="3"/>
  <c r="DI66" i="3"/>
  <c r="DH66" i="3"/>
  <c r="DG66" i="3"/>
  <c r="DF66" i="3"/>
  <c r="DE66" i="3"/>
  <c r="DD66" i="3"/>
  <c r="DC66" i="3"/>
  <c r="DB66" i="3"/>
  <c r="DA66" i="3"/>
  <c r="CZ66" i="3"/>
  <c r="CY66" i="3"/>
  <c r="CX66" i="3"/>
  <c r="CW66" i="3"/>
  <c r="CV66" i="3"/>
  <c r="CU66" i="3"/>
  <c r="CT66" i="3"/>
  <c r="CS66" i="3"/>
  <c r="CR66" i="3"/>
  <c r="CQ66" i="3"/>
  <c r="CP66" i="3"/>
  <c r="CO66" i="3"/>
  <c r="CN66" i="3"/>
  <c r="CM66" i="3"/>
  <c r="CL66" i="3"/>
  <c r="B66" i="3"/>
  <c r="C67" i="3" s="1"/>
  <c r="A66" i="3"/>
  <c r="FQ65" i="3"/>
  <c r="FP65" i="3"/>
  <c r="FO65" i="3"/>
  <c r="FN65" i="3"/>
  <c r="FM65" i="3"/>
  <c r="FL65" i="3"/>
  <c r="FK65" i="3"/>
  <c r="FJ65" i="3"/>
  <c r="FI65" i="3"/>
  <c r="FH65" i="3"/>
  <c r="FG65" i="3"/>
  <c r="FF65" i="3"/>
  <c r="FE65" i="3"/>
  <c r="FD65" i="3"/>
  <c r="FC65" i="3"/>
  <c r="FB65" i="3"/>
  <c r="FA65" i="3"/>
  <c r="EZ65" i="3"/>
  <c r="EY65" i="3"/>
  <c r="EX65" i="3"/>
  <c r="EW65" i="3"/>
  <c r="EV65" i="3"/>
  <c r="EU65" i="3"/>
  <c r="ET65" i="3"/>
  <c r="ES65" i="3"/>
  <c r="ER65" i="3"/>
  <c r="EQ65" i="3"/>
  <c r="EP65" i="3"/>
  <c r="EO65" i="3"/>
  <c r="EN65" i="3"/>
  <c r="EM65" i="3"/>
  <c r="EL65" i="3"/>
  <c r="EK65" i="3"/>
  <c r="EJ65" i="3"/>
  <c r="EI65" i="3"/>
  <c r="EH65" i="3"/>
  <c r="EG65" i="3"/>
  <c r="EF65" i="3"/>
  <c r="EE65" i="3"/>
  <c r="ED65" i="3"/>
  <c r="EC65" i="3"/>
  <c r="EB65" i="3"/>
  <c r="EA65" i="3"/>
  <c r="DZ65" i="3"/>
  <c r="DY65" i="3"/>
  <c r="DX65" i="3"/>
  <c r="DW65" i="3"/>
  <c r="DV65" i="3"/>
  <c r="DU65" i="3"/>
  <c r="DT65" i="3"/>
  <c r="DS65" i="3"/>
  <c r="DR65" i="3"/>
  <c r="DQ65" i="3"/>
  <c r="DP65" i="3"/>
  <c r="DO65" i="3"/>
  <c r="DN65" i="3"/>
  <c r="DM65" i="3"/>
  <c r="DL65" i="3"/>
  <c r="DK65" i="3"/>
  <c r="DJ65" i="3"/>
  <c r="DI65" i="3"/>
  <c r="DH65" i="3"/>
  <c r="DG65" i="3"/>
  <c r="DF65" i="3"/>
  <c r="DE65" i="3"/>
  <c r="DD65" i="3"/>
  <c r="DC65" i="3"/>
  <c r="DB65" i="3"/>
  <c r="DA65" i="3"/>
  <c r="CZ65" i="3"/>
  <c r="CY65" i="3"/>
  <c r="CX65" i="3"/>
  <c r="CW65" i="3"/>
  <c r="CV65" i="3"/>
  <c r="CU65" i="3"/>
  <c r="CT65" i="3"/>
  <c r="CS65" i="3"/>
  <c r="CR65" i="3"/>
  <c r="CQ65" i="3"/>
  <c r="CP65" i="3"/>
  <c r="CO65" i="3"/>
  <c r="CN65" i="3"/>
  <c r="CM65" i="3"/>
  <c r="CL65" i="3"/>
  <c r="C65" i="3"/>
  <c r="B65" i="3"/>
  <c r="A65" i="3"/>
  <c r="FQ64" i="3"/>
  <c r="FP64" i="3"/>
  <c r="FO64" i="3"/>
  <c r="FN64" i="3"/>
  <c r="FM64" i="3"/>
  <c r="FL64" i="3"/>
  <c r="FK64" i="3"/>
  <c r="FJ64" i="3"/>
  <c r="FI64" i="3"/>
  <c r="FH64" i="3"/>
  <c r="FG64" i="3"/>
  <c r="FF64" i="3"/>
  <c r="FE64" i="3"/>
  <c r="FD64" i="3"/>
  <c r="FC64" i="3"/>
  <c r="FB64" i="3"/>
  <c r="FA64" i="3"/>
  <c r="EZ64" i="3"/>
  <c r="EY64" i="3"/>
  <c r="EX64" i="3"/>
  <c r="EW64" i="3"/>
  <c r="EV64" i="3"/>
  <c r="EU64" i="3"/>
  <c r="ET64" i="3"/>
  <c r="ES64" i="3"/>
  <c r="ER64" i="3"/>
  <c r="EQ64" i="3"/>
  <c r="EP64" i="3"/>
  <c r="EO64" i="3"/>
  <c r="EN64" i="3"/>
  <c r="EM64" i="3"/>
  <c r="EL64" i="3"/>
  <c r="EK64" i="3"/>
  <c r="EJ64" i="3"/>
  <c r="EI64" i="3"/>
  <c r="EH64" i="3"/>
  <c r="EG64" i="3"/>
  <c r="EF64" i="3"/>
  <c r="EE64" i="3"/>
  <c r="ED64" i="3"/>
  <c r="EC64" i="3"/>
  <c r="EB64" i="3"/>
  <c r="EA64" i="3"/>
  <c r="DZ64" i="3"/>
  <c r="DY64" i="3"/>
  <c r="DX64" i="3"/>
  <c r="DW64" i="3"/>
  <c r="DV64" i="3"/>
  <c r="DU64" i="3"/>
  <c r="DT64" i="3"/>
  <c r="DS64" i="3"/>
  <c r="DR64" i="3"/>
  <c r="DQ64" i="3"/>
  <c r="DP64" i="3"/>
  <c r="DO64" i="3"/>
  <c r="DN64" i="3"/>
  <c r="DM64" i="3"/>
  <c r="DL64" i="3"/>
  <c r="DK64" i="3"/>
  <c r="DJ64" i="3"/>
  <c r="DI64" i="3"/>
  <c r="DH64" i="3"/>
  <c r="DG64" i="3"/>
  <c r="DF64" i="3"/>
  <c r="DE64" i="3"/>
  <c r="DD64" i="3"/>
  <c r="DC64" i="3"/>
  <c r="DB64" i="3"/>
  <c r="DA64" i="3"/>
  <c r="CZ64" i="3"/>
  <c r="CY64" i="3"/>
  <c r="CX64" i="3"/>
  <c r="CW64" i="3"/>
  <c r="CV64" i="3"/>
  <c r="CU64" i="3"/>
  <c r="CT64" i="3"/>
  <c r="CS64" i="3"/>
  <c r="CR64" i="3"/>
  <c r="CQ64" i="3"/>
  <c r="CP64" i="3"/>
  <c r="CO64" i="3"/>
  <c r="CN64" i="3"/>
  <c r="CM64" i="3"/>
  <c r="CL64" i="3"/>
  <c r="B64" i="3"/>
  <c r="A64" i="3"/>
  <c r="FQ63" i="3"/>
  <c r="FP63" i="3"/>
  <c r="FO63" i="3"/>
  <c r="FN63" i="3"/>
  <c r="FM63" i="3"/>
  <c r="FL63" i="3"/>
  <c r="FK63" i="3"/>
  <c r="FJ63" i="3"/>
  <c r="FI63" i="3"/>
  <c r="FH63" i="3"/>
  <c r="FG63" i="3"/>
  <c r="FF63" i="3"/>
  <c r="FE63" i="3"/>
  <c r="FD63" i="3"/>
  <c r="FC63" i="3"/>
  <c r="FB63" i="3"/>
  <c r="FA63" i="3"/>
  <c r="EZ63" i="3"/>
  <c r="EY63" i="3"/>
  <c r="EX63" i="3"/>
  <c r="EW63" i="3"/>
  <c r="EV63" i="3"/>
  <c r="EU63" i="3"/>
  <c r="ET63" i="3"/>
  <c r="ES63" i="3"/>
  <c r="ER63" i="3"/>
  <c r="EQ63" i="3"/>
  <c r="EP63" i="3"/>
  <c r="EO63" i="3"/>
  <c r="EN63" i="3"/>
  <c r="EM63" i="3"/>
  <c r="EL63" i="3"/>
  <c r="EK63" i="3"/>
  <c r="EJ63" i="3"/>
  <c r="EI63" i="3"/>
  <c r="EH63" i="3"/>
  <c r="EG63" i="3"/>
  <c r="EF63" i="3"/>
  <c r="EE63" i="3"/>
  <c r="ED63" i="3"/>
  <c r="EC63" i="3"/>
  <c r="EB63" i="3"/>
  <c r="EA63" i="3"/>
  <c r="DZ63" i="3"/>
  <c r="DY63" i="3"/>
  <c r="DX63" i="3"/>
  <c r="DW63" i="3"/>
  <c r="DV63" i="3"/>
  <c r="DU63" i="3"/>
  <c r="DT63" i="3"/>
  <c r="DS63" i="3"/>
  <c r="DR63" i="3"/>
  <c r="DQ63" i="3"/>
  <c r="DP63" i="3"/>
  <c r="DO63" i="3"/>
  <c r="DN63" i="3"/>
  <c r="DM63" i="3"/>
  <c r="DL63" i="3"/>
  <c r="DK63" i="3"/>
  <c r="DJ63" i="3"/>
  <c r="DI63" i="3"/>
  <c r="DH63" i="3"/>
  <c r="DG63" i="3"/>
  <c r="DF63" i="3"/>
  <c r="DE63" i="3"/>
  <c r="DD63" i="3"/>
  <c r="DC63" i="3"/>
  <c r="DB63" i="3"/>
  <c r="DA63" i="3"/>
  <c r="CZ63" i="3"/>
  <c r="CY63" i="3"/>
  <c r="CX63" i="3"/>
  <c r="CW63" i="3"/>
  <c r="CV63" i="3"/>
  <c r="CU63" i="3"/>
  <c r="CT63" i="3"/>
  <c r="CS63" i="3"/>
  <c r="CR63" i="3"/>
  <c r="CQ63" i="3"/>
  <c r="CP63" i="3"/>
  <c r="CO63" i="3"/>
  <c r="CN63" i="3"/>
  <c r="CM63" i="3"/>
  <c r="CL63" i="3"/>
  <c r="FQ62" i="3"/>
  <c r="FP62" i="3"/>
  <c r="FO62" i="3"/>
  <c r="FN62" i="3"/>
  <c r="FM62" i="3"/>
  <c r="FL62" i="3"/>
  <c r="FK62" i="3"/>
  <c r="FJ62" i="3"/>
  <c r="FI62" i="3"/>
  <c r="FH62" i="3"/>
  <c r="FG62" i="3"/>
  <c r="FF62" i="3"/>
  <c r="FE62" i="3"/>
  <c r="FD62" i="3"/>
  <c r="FC62" i="3"/>
  <c r="FB62" i="3"/>
  <c r="FA62" i="3"/>
  <c r="EZ62" i="3"/>
  <c r="EY62" i="3"/>
  <c r="EX62" i="3"/>
  <c r="EW62" i="3"/>
  <c r="EV62" i="3"/>
  <c r="EU62" i="3"/>
  <c r="ET62" i="3"/>
  <c r="ES62" i="3"/>
  <c r="ER62" i="3"/>
  <c r="EQ62" i="3"/>
  <c r="EP62" i="3"/>
  <c r="EO62" i="3"/>
  <c r="EN62" i="3"/>
  <c r="EM62" i="3"/>
  <c r="EL62" i="3"/>
  <c r="EK62" i="3"/>
  <c r="EJ62" i="3"/>
  <c r="EI62" i="3"/>
  <c r="EH62" i="3"/>
  <c r="EG62" i="3"/>
  <c r="EF62" i="3"/>
  <c r="EE62" i="3"/>
  <c r="ED62" i="3"/>
  <c r="EC62" i="3"/>
  <c r="EB62" i="3"/>
  <c r="EA62" i="3"/>
  <c r="DZ62" i="3"/>
  <c r="DY62" i="3"/>
  <c r="DX62" i="3"/>
  <c r="DW62" i="3"/>
  <c r="DV62" i="3"/>
  <c r="DU62" i="3"/>
  <c r="DT62" i="3"/>
  <c r="DS62" i="3"/>
  <c r="DR62" i="3"/>
  <c r="DQ62" i="3"/>
  <c r="DP62" i="3"/>
  <c r="DO62" i="3"/>
  <c r="DN62" i="3"/>
  <c r="DM62" i="3"/>
  <c r="DL62" i="3"/>
  <c r="DK62" i="3"/>
  <c r="DJ62" i="3"/>
  <c r="DI62" i="3"/>
  <c r="DH62" i="3"/>
  <c r="DG62" i="3"/>
  <c r="DF62" i="3"/>
  <c r="DE62" i="3"/>
  <c r="DD62" i="3"/>
  <c r="DC62" i="3"/>
  <c r="DB62" i="3"/>
  <c r="DA62" i="3"/>
  <c r="CZ62" i="3"/>
  <c r="CY62" i="3"/>
  <c r="CX62" i="3"/>
  <c r="CW62" i="3"/>
  <c r="CV62" i="3"/>
  <c r="CU62" i="3"/>
  <c r="CT62" i="3"/>
  <c r="CS62" i="3"/>
  <c r="CR62" i="3"/>
  <c r="CQ62" i="3"/>
  <c r="CP62" i="3"/>
  <c r="CO62" i="3"/>
  <c r="CN62" i="3"/>
  <c r="CM62" i="3"/>
  <c r="CL62" i="3"/>
  <c r="A62" i="3"/>
  <c r="FQ61" i="3"/>
  <c r="FP61" i="3"/>
  <c r="FO61" i="3"/>
  <c r="FN61" i="3"/>
  <c r="FM61" i="3"/>
  <c r="FL61" i="3"/>
  <c r="FK61" i="3"/>
  <c r="FJ61" i="3"/>
  <c r="FI61" i="3"/>
  <c r="FH61" i="3"/>
  <c r="FG61" i="3"/>
  <c r="FF61" i="3"/>
  <c r="FE61" i="3"/>
  <c r="FD61" i="3"/>
  <c r="FC61" i="3"/>
  <c r="FB61" i="3"/>
  <c r="FA61" i="3"/>
  <c r="EZ61" i="3"/>
  <c r="EY61" i="3"/>
  <c r="EX61" i="3"/>
  <c r="EW61" i="3"/>
  <c r="EV61" i="3"/>
  <c r="EU61" i="3"/>
  <c r="ET61" i="3"/>
  <c r="ES61" i="3"/>
  <c r="ER61" i="3"/>
  <c r="EQ61" i="3"/>
  <c r="EP61" i="3"/>
  <c r="EO61" i="3"/>
  <c r="EN61" i="3"/>
  <c r="EM61" i="3"/>
  <c r="EL61" i="3"/>
  <c r="EK61" i="3"/>
  <c r="EJ61" i="3"/>
  <c r="EI61" i="3"/>
  <c r="EH61" i="3"/>
  <c r="EG61" i="3"/>
  <c r="EF61" i="3"/>
  <c r="EE61" i="3"/>
  <c r="ED61" i="3"/>
  <c r="EC61" i="3"/>
  <c r="EB61" i="3"/>
  <c r="EA61" i="3"/>
  <c r="DZ61" i="3"/>
  <c r="DY61" i="3"/>
  <c r="DX61" i="3"/>
  <c r="DW61" i="3"/>
  <c r="DV61" i="3"/>
  <c r="DU61" i="3"/>
  <c r="DT61" i="3"/>
  <c r="DS61" i="3"/>
  <c r="DR61" i="3"/>
  <c r="DQ61" i="3"/>
  <c r="DP61" i="3"/>
  <c r="DO61" i="3"/>
  <c r="DN61" i="3"/>
  <c r="DM61" i="3"/>
  <c r="DL61" i="3"/>
  <c r="DK61" i="3"/>
  <c r="DJ61" i="3"/>
  <c r="DI61" i="3"/>
  <c r="DH61" i="3"/>
  <c r="DG61" i="3"/>
  <c r="DF61" i="3"/>
  <c r="DE61" i="3"/>
  <c r="DD61" i="3"/>
  <c r="DC61" i="3"/>
  <c r="DB61" i="3"/>
  <c r="DA61" i="3"/>
  <c r="CZ61" i="3"/>
  <c r="CY61" i="3"/>
  <c r="CX61" i="3"/>
  <c r="CW61" i="3"/>
  <c r="CV61" i="3"/>
  <c r="CU61" i="3"/>
  <c r="CT61" i="3"/>
  <c r="CS61" i="3"/>
  <c r="CR61" i="3"/>
  <c r="CQ61" i="3"/>
  <c r="CP61" i="3"/>
  <c r="CO61" i="3"/>
  <c r="CN61" i="3"/>
  <c r="CM61" i="3"/>
  <c r="CL61" i="3"/>
  <c r="CK61" i="3"/>
  <c r="CJ61" i="3"/>
  <c r="CI61" i="3"/>
  <c r="CH61" i="3"/>
  <c r="CG61" i="3"/>
  <c r="CF61" i="3"/>
  <c r="CE61" i="3"/>
  <c r="CD61" i="3"/>
  <c r="CC61" i="3"/>
  <c r="CB61" i="3"/>
  <c r="CA61" i="3"/>
  <c r="BZ61" i="3"/>
  <c r="BY61" i="3"/>
  <c r="BX61" i="3"/>
  <c r="BW61" i="3"/>
  <c r="BV61" i="3"/>
  <c r="BU61" i="3"/>
  <c r="BT61" i="3"/>
  <c r="BS61" i="3"/>
  <c r="BR61" i="3"/>
  <c r="BQ61" i="3"/>
  <c r="BP61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A61" i="3"/>
  <c r="FQ60" i="3"/>
  <c r="FP60" i="3"/>
  <c r="FO60" i="3"/>
  <c r="FN60" i="3"/>
  <c r="FM60" i="3"/>
  <c r="FL60" i="3"/>
  <c r="FK60" i="3"/>
  <c r="FJ60" i="3"/>
  <c r="FI60" i="3"/>
  <c r="FH60" i="3"/>
  <c r="FG60" i="3"/>
  <c r="FF60" i="3"/>
  <c r="FE60" i="3"/>
  <c r="FD60" i="3"/>
  <c r="FC60" i="3"/>
  <c r="FB60" i="3"/>
  <c r="FA60" i="3"/>
  <c r="EZ60" i="3"/>
  <c r="EY60" i="3"/>
  <c r="EX60" i="3"/>
  <c r="EW60" i="3"/>
  <c r="EV60" i="3"/>
  <c r="EU60" i="3"/>
  <c r="ET60" i="3"/>
  <c r="ES60" i="3"/>
  <c r="ER60" i="3"/>
  <c r="EQ60" i="3"/>
  <c r="EP60" i="3"/>
  <c r="EO60" i="3"/>
  <c r="EN60" i="3"/>
  <c r="EM60" i="3"/>
  <c r="EL60" i="3"/>
  <c r="EK60" i="3"/>
  <c r="EJ60" i="3"/>
  <c r="EI60" i="3"/>
  <c r="EH60" i="3"/>
  <c r="EG60" i="3"/>
  <c r="EF60" i="3"/>
  <c r="EE60" i="3"/>
  <c r="ED60" i="3"/>
  <c r="EC60" i="3"/>
  <c r="EB60" i="3"/>
  <c r="EA60" i="3"/>
  <c r="DZ60" i="3"/>
  <c r="DY60" i="3"/>
  <c r="DX60" i="3"/>
  <c r="DW60" i="3"/>
  <c r="DV60" i="3"/>
  <c r="DU60" i="3"/>
  <c r="DT60" i="3"/>
  <c r="DS60" i="3"/>
  <c r="DR60" i="3"/>
  <c r="DQ60" i="3"/>
  <c r="DP60" i="3"/>
  <c r="DO60" i="3"/>
  <c r="DN60" i="3"/>
  <c r="DM60" i="3"/>
  <c r="DL60" i="3"/>
  <c r="DK60" i="3"/>
  <c r="DJ60" i="3"/>
  <c r="DI60" i="3"/>
  <c r="DH60" i="3"/>
  <c r="DG60" i="3"/>
  <c r="DF60" i="3"/>
  <c r="DE60" i="3"/>
  <c r="DD60" i="3"/>
  <c r="DC60" i="3"/>
  <c r="DB60" i="3"/>
  <c r="DA60" i="3"/>
  <c r="CZ60" i="3"/>
  <c r="CY60" i="3"/>
  <c r="CX60" i="3"/>
  <c r="CW60" i="3"/>
  <c r="CV60" i="3"/>
  <c r="CU60" i="3"/>
  <c r="CT60" i="3"/>
  <c r="CS60" i="3"/>
  <c r="CR60" i="3"/>
  <c r="CQ60" i="3"/>
  <c r="CP60" i="3"/>
  <c r="CO60" i="3"/>
  <c r="CN60" i="3"/>
  <c r="CM60" i="3"/>
  <c r="CL60" i="3"/>
  <c r="FQ59" i="3"/>
  <c r="FP59" i="3"/>
  <c r="FO59" i="3"/>
  <c r="FN59" i="3"/>
  <c r="FM59" i="3"/>
  <c r="FL59" i="3"/>
  <c r="FK59" i="3"/>
  <c r="FJ59" i="3"/>
  <c r="FI59" i="3"/>
  <c r="FH59" i="3"/>
  <c r="FG59" i="3"/>
  <c r="FF59" i="3"/>
  <c r="FE59" i="3"/>
  <c r="FD59" i="3"/>
  <c r="FC59" i="3"/>
  <c r="FB59" i="3"/>
  <c r="FA59" i="3"/>
  <c r="EZ59" i="3"/>
  <c r="EY59" i="3"/>
  <c r="EX59" i="3"/>
  <c r="EW59" i="3"/>
  <c r="EV59" i="3"/>
  <c r="EU59" i="3"/>
  <c r="ET59" i="3"/>
  <c r="ES59" i="3"/>
  <c r="ER59" i="3"/>
  <c r="EQ59" i="3"/>
  <c r="EP59" i="3"/>
  <c r="EO59" i="3"/>
  <c r="EN59" i="3"/>
  <c r="EM59" i="3"/>
  <c r="EL59" i="3"/>
  <c r="EK59" i="3"/>
  <c r="EJ59" i="3"/>
  <c r="EI59" i="3"/>
  <c r="EH59" i="3"/>
  <c r="EG59" i="3"/>
  <c r="EF59" i="3"/>
  <c r="EE59" i="3"/>
  <c r="ED59" i="3"/>
  <c r="EC59" i="3"/>
  <c r="EB59" i="3"/>
  <c r="EA59" i="3"/>
  <c r="DZ59" i="3"/>
  <c r="DY59" i="3"/>
  <c r="DX59" i="3"/>
  <c r="DW59" i="3"/>
  <c r="DV59" i="3"/>
  <c r="DU59" i="3"/>
  <c r="DT59" i="3"/>
  <c r="DS59" i="3"/>
  <c r="DR59" i="3"/>
  <c r="DQ59" i="3"/>
  <c r="DP59" i="3"/>
  <c r="DO59" i="3"/>
  <c r="DN59" i="3"/>
  <c r="DM59" i="3"/>
  <c r="DL59" i="3"/>
  <c r="DK59" i="3"/>
  <c r="DJ59" i="3"/>
  <c r="DI59" i="3"/>
  <c r="DH59" i="3"/>
  <c r="DG59" i="3"/>
  <c r="DF59" i="3"/>
  <c r="DE59" i="3"/>
  <c r="DD59" i="3"/>
  <c r="DC59" i="3"/>
  <c r="DB59" i="3"/>
  <c r="DA59" i="3"/>
  <c r="CZ59" i="3"/>
  <c r="CY59" i="3"/>
  <c r="CX59" i="3"/>
  <c r="CW59" i="3"/>
  <c r="CV59" i="3"/>
  <c r="CU59" i="3"/>
  <c r="CT59" i="3"/>
  <c r="CS59" i="3"/>
  <c r="CR59" i="3"/>
  <c r="CQ59" i="3"/>
  <c r="CP59" i="3"/>
  <c r="CO59" i="3"/>
  <c r="CN59" i="3"/>
  <c r="CM59" i="3"/>
  <c r="CL59" i="3"/>
  <c r="FQ58" i="3"/>
  <c r="FP58" i="3"/>
  <c r="FO58" i="3"/>
  <c r="FN58" i="3"/>
  <c r="FM58" i="3"/>
  <c r="FL58" i="3"/>
  <c r="FK58" i="3"/>
  <c r="FJ58" i="3"/>
  <c r="FI58" i="3"/>
  <c r="FH58" i="3"/>
  <c r="FG58" i="3"/>
  <c r="FF58" i="3"/>
  <c r="FE58" i="3"/>
  <c r="FD58" i="3"/>
  <c r="FC58" i="3"/>
  <c r="FB58" i="3"/>
  <c r="FA58" i="3"/>
  <c r="EZ58" i="3"/>
  <c r="EY58" i="3"/>
  <c r="EX58" i="3"/>
  <c r="EW58" i="3"/>
  <c r="EV58" i="3"/>
  <c r="EU58" i="3"/>
  <c r="ET58" i="3"/>
  <c r="ES58" i="3"/>
  <c r="ER58" i="3"/>
  <c r="EQ58" i="3"/>
  <c r="EP58" i="3"/>
  <c r="EO58" i="3"/>
  <c r="EN58" i="3"/>
  <c r="EM58" i="3"/>
  <c r="EL58" i="3"/>
  <c r="EK58" i="3"/>
  <c r="EJ58" i="3"/>
  <c r="EI58" i="3"/>
  <c r="EH58" i="3"/>
  <c r="EG58" i="3"/>
  <c r="EF58" i="3"/>
  <c r="EE58" i="3"/>
  <c r="ED58" i="3"/>
  <c r="EC58" i="3"/>
  <c r="EB58" i="3"/>
  <c r="EA58" i="3"/>
  <c r="DZ58" i="3"/>
  <c r="DY58" i="3"/>
  <c r="DX58" i="3"/>
  <c r="DW58" i="3"/>
  <c r="DV58" i="3"/>
  <c r="DU58" i="3"/>
  <c r="DT58" i="3"/>
  <c r="DS58" i="3"/>
  <c r="DR58" i="3"/>
  <c r="DQ58" i="3"/>
  <c r="DP58" i="3"/>
  <c r="DO58" i="3"/>
  <c r="DN58" i="3"/>
  <c r="DM58" i="3"/>
  <c r="DL58" i="3"/>
  <c r="DK58" i="3"/>
  <c r="DJ58" i="3"/>
  <c r="DI58" i="3"/>
  <c r="DH58" i="3"/>
  <c r="DG58" i="3"/>
  <c r="DF58" i="3"/>
  <c r="DE58" i="3"/>
  <c r="DD58" i="3"/>
  <c r="DC58" i="3"/>
  <c r="DB58" i="3"/>
  <c r="DA58" i="3"/>
  <c r="CZ58" i="3"/>
  <c r="CY58" i="3"/>
  <c r="CX58" i="3"/>
  <c r="CW58" i="3"/>
  <c r="CV58" i="3"/>
  <c r="CU58" i="3"/>
  <c r="CT58" i="3"/>
  <c r="CS58" i="3"/>
  <c r="CR58" i="3"/>
  <c r="CQ58" i="3"/>
  <c r="CP58" i="3"/>
  <c r="CO58" i="3"/>
  <c r="CN58" i="3"/>
  <c r="CM58" i="3"/>
  <c r="CL58" i="3"/>
  <c r="FQ57" i="3"/>
  <c r="FP57" i="3"/>
  <c r="FO57" i="3"/>
  <c r="FN57" i="3"/>
  <c r="FM57" i="3"/>
  <c r="FL57" i="3"/>
  <c r="FK57" i="3"/>
  <c r="FJ57" i="3"/>
  <c r="FI57" i="3"/>
  <c r="FH57" i="3"/>
  <c r="FG57" i="3"/>
  <c r="FF57" i="3"/>
  <c r="FE57" i="3"/>
  <c r="FD57" i="3"/>
  <c r="FC57" i="3"/>
  <c r="FB57" i="3"/>
  <c r="FA57" i="3"/>
  <c r="EZ57" i="3"/>
  <c r="EY57" i="3"/>
  <c r="EX57" i="3"/>
  <c r="EW57" i="3"/>
  <c r="EV57" i="3"/>
  <c r="EU57" i="3"/>
  <c r="ET57" i="3"/>
  <c r="ES57" i="3"/>
  <c r="ER57" i="3"/>
  <c r="EQ57" i="3"/>
  <c r="EP57" i="3"/>
  <c r="EO57" i="3"/>
  <c r="EN57" i="3"/>
  <c r="EM57" i="3"/>
  <c r="EL57" i="3"/>
  <c r="EK57" i="3"/>
  <c r="EJ57" i="3"/>
  <c r="EI57" i="3"/>
  <c r="EH57" i="3"/>
  <c r="EG57" i="3"/>
  <c r="EF57" i="3"/>
  <c r="EE57" i="3"/>
  <c r="ED57" i="3"/>
  <c r="EC57" i="3"/>
  <c r="EB57" i="3"/>
  <c r="EA57" i="3"/>
  <c r="DZ57" i="3"/>
  <c r="DY57" i="3"/>
  <c r="DX57" i="3"/>
  <c r="DW57" i="3"/>
  <c r="DV57" i="3"/>
  <c r="DU57" i="3"/>
  <c r="DT57" i="3"/>
  <c r="DS57" i="3"/>
  <c r="DR57" i="3"/>
  <c r="DQ57" i="3"/>
  <c r="DP57" i="3"/>
  <c r="DO57" i="3"/>
  <c r="DN57" i="3"/>
  <c r="DM57" i="3"/>
  <c r="DL57" i="3"/>
  <c r="DK57" i="3"/>
  <c r="DJ57" i="3"/>
  <c r="DI57" i="3"/>
  <c r="DH57" i="3"/>
  <c r="DG57" i="3"/>
  <c r="DF57" i="3"/>
  <c r="DE57" i="3"/>
  <c r="DD57" i="3"/>
  <c r="DC57" i="3"/>
  <c r="DB57" i="3"/>
  <c r="DA57" i="3"/>
  <c r="CZ57" i="3"/>
  <c r="CY57" i="3"/>
  <c r="CX57" i="3"/>
  <c r="CW57" i="3"/>
  <c r="CV57" i="3"/>
  <c r="CU57" i="3"/>
  <c r="CT57" i="3"/>
  <c r="CS57" i="3"/>
  <c r="CR57" i="3"/>
  <c r="CQ57" i="3"/>
  <c r="CP57" i="3"/>
  <c r="CO57" i="3"/>
  <c r="CN57" i="3"/>
  <c r="CM57" i="3"/>
  <c r="CL57" i="3"/>
  <c r="FQ56" i="3"/>
  <c r="FP56" i="3"/>
  <c r="FO56" i="3"/>
  <c r="FN56" i="3"/>
  <c r="FM56" i="3"/>
  <c r="FL56" i="3"/>
  <c r="FK56" i="3"/>
  <c r="FJ56" i="3"/>
  <c r="FI56" i="3"/>
  <c r="FH56" i="3"/>
  <c r="FG56" i="3"/>
  <c r="FF56" i="3"/>
  <c r="FE56" i="3"/>
  <c r="FD56" i="3"/>
  <c r="FC56" i="3"/>
  <c r="FB56" i="3"/>
  <c r="FA56" i="3"/>
  <c r="EZ56" i="3"/>
  <c r="EY56" i="3"/>
  <c r="EX56" i="3"/>
  <c r="EW56" i="3"/>
  <c r="EV56" i="3"/>
  <c r="EU56" i="3"/>
  <c r="ET56" i="3"/>
  <c r="ES56" i="3"/>
  <c r="ER56" i="3"/>
  <c r="EQ56" i="3"/>
  <c r="EP56" i="3"/>
  <c r="EO56" i="3"/>
  <c r="EN56" i="3"/>
  <c r="EM56" i="3"/>
  <c r="EL56" i="3"/>
  <c r="EK56" i="3"/>
  <c r="EJ56" i="3"/>
  <c r="EI56" i="3"/>
  <c r="EH56" i="3"/>
  <c r="EG56" i="3"/>
  <c r="EF56" i="3"/>
  <c r="EE56" i="3"/>
  <c r="ED56" i="3"/>
  <c r="EC56" i="3"/>
  <c r="EB56" i="3"/>
  <c r="EA56" i="3"/>
  <c r="DZ56" i="3"/>
  <c r="DY56" i="3"/>
  <c r="DX56" i="3"/>
  <c r="DW56" i="3"/>
  <c r="DV56" i="3"/>
  <c r="DU56" i="3"/>
  <c r="DT56" i="3"/>
  <c r="DS56" i="3"/>
  <c r="DR56" i="3"/>
  <c r="DQ56" i="3"/>
  <c r="DP56" i="3"/>
  <c r="DO56" i="3"/>
  <c r="DN56" i="3"/>
  <c r="DM56" i="3"/>
  <c r="DL56" i="3"/>
  <c r="DK56" i="3"/>
  <c r="DJ56" i="3"/>
  <c r="DI56" i="3"/>
  <c r="DH56" i="3"/>
  <c r="DG56" i="3"/>
  <c r="DF56" i="3"/>
  <c r="DE56" i="3"/>
  <c r="DD56" i="3"/>
  <c r="DC56" i="3"/>
  <c r="DB56" i="3"/>
  <c r="DA56" i="3"/>
  <c r="CZ56" i="3"/>
  <c r="CY56" i="3"/>
  <c r="CX56" i="3"/>
  <c r="CW56" i="3"/>
  <c r="CV56" i="3"/>
  <c r="CU56" i="3"/>
  <c r="CT56" i="3"/>
  <c r="CS56" i="3"/>
  <c r="CR56" i="3"/>
  <c r="CQ56" i="3"/>
  <c r="CP56" i="3"/>
  <c r="CO56" i="3"/>
  <c r="CN56" i="3"/>
  <c r="CM56" i="3"/>
  <c r="CL56" i="3"/>
  <c r="FQ55" i="3"/>
  <c r="FP55" i="3"/>
  <c r="FO55" i="3"/>
  <c r="FN55" i="3"/>
  <c r="FM55" i="3"/>
  <c r="FL55" i="3"/>
  <c r="FK55" i="3"/>
  <c r="FJ55" i="3"/>
  <c r="FI55" i="3"/>
  <c r="FH55" i="3"/>
  <c r="FG55" i="3"/>
  <c r="FF55" i="3"/>
  <c r="FE55" i="3"/>
  <c r="FD55" i="3"/>
  <c r="FC55" i="3"/>
  <c r="FB55" i="3"/>
  <c r="FA55" i="3"/>
  <c r="EZ55" i="3"/>
  <c r="EY55" i="3"/>
  <c r="EX55" i="3"/>
  <c r="EW55" i="3"/>
  <c r="EV55" i="3"/>
  <c r="EU55" i="3"/>
  <c r="ET55" i="3"/>
  <c r="ES55" i="3"/>
  <c r="ER55" i="3"/>
  <c r="EQ55" i="3"/>
  <c r="EP55" i="3"/>
  <c r="EO55" i="3"/>
  <c r="EN55" i="3"/>
  <c r="EM55" i="3"/>
  <c r="EL55" i="3"/>
  <c r="EK55" i="3"/>
  <c r="EJ55" i="3"/>
  <c r="EI55" i="3"/>
  <c r="EH55" i="3"/>
  <c r="EG55" i="3"/>
  <c r="EF55" i="3"/>
  <c r="EE55" i="3"/>
  <c r="ED55" i="3"/>
  <c r="EC55" i="3"/>
  <c r="EB55" i="3"/>
  <c r="EA55" i="3"/>
  <c r="DZ55" i="3"/>
  <c r="DY55" i="3"/>
  <c r="DX55" i="3"/>
  <c r="DW55" i="3"/>
  <c r="DV55" i="3"/>
  <c r="DU55" i="3"/>
  <c r="DT55" i="3"/>
  <c r="DS55" i="3"/>
  <c r="DR55" i="3"/>
  <c r="DQ55" i="3"/>
  <c r="DP55" i="3"/>
  <c r="DO55" i="3"/>
  <c r="DN55" i="3"/>
  <c r="DM55" i="3"/>
  <c r="DL55" i="3"/>
  <c r="DK55" i="3"/>
  <c r="DJ55" i="3"/>
  <c r="DI55" i="3"/>
  <c r="DH55" i="3"/>
  <c r="DG55" i="3"/>
  <c r="DF55" i="3"/>
  <c r="DE55" i="3"/>
  <c r="DD55" i="3"/>
  <c r="DC55" i="3"/>
  <c r="DB55" i="3"/>
  <c r="DA55" i="3"/>
  <c r="CZ55" i="3"/>
  <c r="CY55" i="3"/>
  <c r="CX55" i="3"/>
  <c r="CW55" i="3"/>
  <c r="CV55" i="3"/>
  <c r="CU55" i="3"/>
  <c r="CT55" i="3"/>
  <c r="CS55" i="3"/>
  <c r="CR55" i="3"/>
  <c r="CQ55" i="3"/>
  <c r="CP55" i="3"/>
  <c r="CO55" i="3"/>
  <c r="CN55" i="3"/>
  <c r="CM55" i="3"/>
  <c r="CL55" i="3"/>
  <c r="FQ54" i="3"/>
  <c r="FP54" i="3"/>
  <c r="FO54" i="3"/>
  <c r="FN54" i="3"/>
  <c r="FM54" i="3"/>
  <c r="FL54" i="3"/>
  <c r="FK54" i="3"/>
  <c r="FJ54" i="3"/>
  <c r="FI54" i="3"/>
  <c r="FH54" i="3"/>
  <c r="FG54" i="3"/>
  <c r="FF54" i="3"/>
  <c r="FE54" i="3"/>
  <c r="FD54" i="3"/>
  <c r="FC54" i="3"/>
  <c r="FB54" i="3"/>
  <c r="FA54" i="3"/>
  <c r="EZ54" i="3"/>
  <c r="EY54" i="3"/>
  <c r="EX54" i="3"/>
  <c r="EW54" i="3"/>
  <c r="EV54" i="3"/>
  <c r="EU54" i="3"/>
  <c r="ET54" i="3"/>
  <c r="ES54" i="3"/>
  <c r="ER54" i="3"/>
  <c r="EQ54" i="3"/>
  <c r="EP54" i="3"/>
  <c r="EO54" i="3"/>
  <c r="EN54" i="3"/>
  <c r="EM54" i="3"/>
  <c r="EL54" i="3"/>
  <c r="EK54" i="3"/>
  <c r="EJ54" i="3"/>
  <c r="EI54" i="3"/>
  <c r="EH54" i="3"/>
  <c r="EG54" i="3"/>
  <c r="EF54" i="3"/>
  <c r="EE54" i="3"/>
  <c r="ED54" i="3"/>
  <c r="EC54" i="3"/>
  <c r="EB54" i="3"/>
  <c r="EA54" i="3"/>
  <c r="DZ54" i="3"/>
  <c r="DY54" i="3"/>
  <c r="DX54" i="3"/>
  <c r="DW54" i="3"/>
  <c r="DV54" i="3"/>
  <c r="DU54" i="3"/>
  <c r="DT54" i="3"/>
  <c r="DS54" i="3"/>
  <c r="DR54" i="3"/>
  <c r="DQ54" i="3"/>
  <c r="DP54" i="3"/>
  <c r="DO54" i="3"/>
  <c r="DN54" i="3"/>
  <c r="DM54" i="3"/>
  <c r="DL54" i="3"/>
  <c r="DK54" i="3"/>
  <c r="DJ54" i="3"/>
  <c r="DI54" i="3"/>
  <c r="DH54" i="3"/>
  <c r="DG54" i="3"/>
  <c r="DF54" i="3"/>
  <c r="DE54" i="3"/>
  <c r="DD54" i="3"/>
  <c r="DC54" i="3"/>
  <c r="DB54" i="3"/>
  <c r="DA54" i="3"/>
  <c r="CZ54" i="3"/>
  <c r="CY54" i="3"/>
  <c r="CX54" i="3"/>
  <c r="CW54" i="3"/>
  <c r="CV54" i="3"/>
  <c r="CU54" i="3"/>
  <c r="CT54" i="3"/>
  <c r="CS54" i="3"/>
  <c r="CR54" i="3"/>
  <c r="CQ54" i="3"/>
  <c r="CP54" i="3"/>
  <c r="CO54" i="3"/>
  <c r="CN54" i="3"/>
  <c r="CM54" i="3"/>
  <c r="CL54" i="3"/>
  <c r="FQ53" i="3"/>
  <c r="FP53" i="3"/>
  <c r="FO53" i="3"/>
  <c r="FN53" i="3"/>
  <c r="FM53" i="3"/>
  <c r="FL53" i="3"/>
  <c r="FK53" i="3"/>
  <c r="FJ53" i="3"/>
  <c r="FI53" i="3"/>
  <c r="FH53" i="3"/>
  <c r="FG53" i="3"/>
  <c r="FF53" i="3"/>
  <c r="FE53" i="3"/>
  <c r="FD53" i="3"/>
  <c r="FC53" i="3"/>
  <c r="FB53" i="3"/>
  <c r="FA53" i="3"/>
  <c r="EZ53" i="3"/>
  <c r="EY53" i="3"/>
  <c r="EX53" i="3"/>
  <c r="EW53" i="3"/>
  <c r="EV53" i="3"/>
  <c r="EU53" i="3"/>
  <c r="ET53" i="3"/>
  <c r="ES53" i="3"/>
  <c r="ER53" i="3"/>
  <c r="EQ53" i="3"/>
  <c r="EP53" i="3"/>
  <c r="EO53" i="3"/>
  <c r="EN53" i="3"/>
  <c r="EM53" i="3"/>
  <c r="EL53" i="3"/>
  <c r="EK53" i="3"/>
  <c r="EJ53" i="3"/>
  <c r="EI53" i="3"/>
  <c r="EH53" i="3"/>
  <c r="EG53" i="3"/>
  <c r="EF53" i="3"/>
  <c r="EE53" i="3"/>
  <c r="ED53" i="3"/>
  <c r="EC53" i="3"/>
  <c r="EB53" i="3"/>
  <c r="EA53" i="3"/>
  <c r="DZ53" i="3"/>
  <c r="DY53" i="3"/>
  <c r="DX53" i="3"/>
  <c r="DW53" i="3"/>
  <c r="DV53" i="3"/>
  <c r="DU53" i="3"/>
  <c r="DT53" i="3"/>
  <c r="DS53" i="3"/>
  <c r="DR53" i="3"/>
  <c r="DQ53" i="3"/>
  <c r="DP53" i="3"/>
  <c r="DO53" i="3"/>
  <c r="DN53" i="3"/>
  <c r="DM53" i="3"/>
  <c r="DL53" i="3"/>
  <c r="DK53" i="3"/>
  <c r="DJ53" i="3"/>
  <c r="DI53" i="3"/>
  <c r="DH53" i="3"/>
  <c r="DG53" i="3"/>
  <c r="DF53" i="3"/>
  <c r="DE53" i="3"/>
  <c r="DD53" i="3"/>
  <c r="DC53" i="3"/>
  <c r="DB53" i="3"/>
  <c r="DA53" i="3"/>
  <c r="CZ53" i="3"/>
  <c r="CY53" i="3"/>
  <c r="CX53" i="3"/>
  <c r="CW53" i="3"/>
  <c r="CV53" i="3"/>
  <c r="CU53" i="3"/>
  <c r="CT53" i="3"/>
  <c r="CS53" i="3"/>
  <c r="CR53" i="3"/>
  <c r="CQ53" i="3"/>
  <c r="CP53" i="3"/>
  <c r="CO53" i="3"/>
  <c r="CN53" i="3"/>
  <c r="CM53" i="3"/>
  <c r="CL53" i="3"/>
  <c r="E53" i="3"/>
  <c r="E113" i="3" s="1"/>
  <c r="D53" i="3"/>
  <c r="D113" i="3" s="1"/>
  <c r="C53" i="3"/>
  <c r="C113" i="3" s="1"/>
  <c r="B53" i="3"/>
  <c r="B113" i="3" s="1"/>
  <c r="A53" i="3"/>
  <c r="A113" i="3" s="1"/>
  <c r="FQ52" i="3"/>
  <c r="FP52" i="3"/>
  <c r="FO52" i="3"/>
  <c r="FN52" i="3"/>
  <c r="FM52" i="3"/>
  <c r="FL52" i="3"/>
  <c r="FK52" i="3"/>
  <c r="FJ52" i="3"/>
  <c r="FI52" i="3"/>
  <c r="FH52" i="3"/>
  <c r="FG52" i="3"/>
  <c r="FF52" i="3"/>
  <c r="FE52" i="3"/>
  <c r="FD52" i="3"/>
  <c r="FC52" i="3"/>
  <c r="FB52" i="3"/>
  <c r="FA52" i="3"/>
  <c r="EZ52" i="3"/>
  <c r="EY52" i="3"/>
  <c r="EX52" i="3"/>
  <c r="EW52" i="3"/>
  <c r="EV52" i="3"/>
  <c r="EU52" i="3"/>
  <c r="ET52" i="3"/>
  <c r="ES52" i="3"/>
  <c r="ER52" i="3"/>
  <c r="EQ52" i="3"/>
  <c r="EP52" i="3"/>
  <c r="EO52" i="3"/>
  <c r="EN52" i="3"/>
  <c r="EM52" i="3"/>
  <c r="EL52" i="3"/>
  <c r="EK52" i="3"/>
  <c r="EJ52" i="3"/>
  <c r="EI52" i="3"/>
  <c r="EH52" i="3"/>
  <c r="EG52" i="3"/>
  <c r="EF52" i="3"/>
  <c r="EE52" i="3"/>
  <c r="ED52" i="3"/>
  <c r="EC52" i="3"/>
  <c r="EB52" i="3"/>
  <c r="EA52" i="3"/>
  <c r="DZ52" i="3"/>
  <c r="DY52" i="3"/>
  <c r="DX52" i="3"/>
  <c r="DW52" i="3"/>
  <c r="DV52" i="3"/>
  <c r="DU52" i="3"/>
  <c r="DT52" i="3"/>
  <c r="DS52" i="3"/>
  <c r="DR52" i="3"/>
  <c r="DQ52" i="3"/>
  <c r="DP52" i="3"/>
  <c r="DO52" i="3"/>
  <c r="DN52" i="3"/>
  <c r="DM52" i="3"/>
  <c r="DL52" i="3"/>
  <c r="DK52" i="3"/>
  <c r="DJ52" i="3"/>
  <c r="DI52" i="3"/>
  <c r="DH52" i="3"/>
  <c r="DG52" i="3"/>
  <c r="DF52" i="3"/>
  <c r="DE52" i="3"/>
  <c r="DD52" i="3"/>
  <c r="DC52" i="3"/>
  <c r="DB52" i="3"/>
  <c r="DA52" i="3"/>
  <c r="CZ52" i="3"/>
  <c r="CY52" i="3"/>
  <c r="CX52" i="3"/>
  <c r="CW52" i="3"/>
  <c r="CV52" i="3"/>
  <c r="CU52" i="3"/>
  <c r="CT52" i="3"/>
  <c r="CS52" i="3"/>
  <c r="CR52" i="3"/>
  <c r="CQ52" i="3"/>
  <c r="CP52" i="3"/>
  <c r="CO52" i="3"/>
  <c r="CN52" i="3"/>
  <c r="CM52" i="3"/>
  <c r="CL52" i="3"/>
  <c r="E52" i="3"/>
  <c r="E112" i="3" s="1"/>
  <c r="D52" i="3"/>
  <c r="D112" i="3" s="1"/>
  <c r="C52" i="3"/>
  <c r="C112" i="3" s="1"/>
  <c r="B52" i="3"/>
  <c r="B112" i="3" s="1"/>
  <c r="A52" i="3"/>
  <c r="A112" i="3" s="1"/>
  <c r="FQ51" i="3"/>
  <c r="FP51" i="3"/>
  <c r="FO51" i="3"/>
  <c r="FN51" i="3"/>
  <c r="FM51" i="3"/>
  <c r="FL51" i="3"/>
  <c r="FK51" i="3"/>
  <c r="FJ51" i="3"/>
  <c r="FI51" i="3"/>
  <c r="FH51" i="3"/>
  <c r="FG51" i="3"/>
  <c r="FF51" i="3"/>
  <c r="FE51" i="3"/>
  <c r="FD51" i="3"/>
  <c r="FC51" i="3"/>
  <c r="FB51" i="3"/>
  <c r="FA51" i="3"/>
  <c r="EZ51" i="3"/>
  <c r="EY51" i="3"/>
  <c r="EX51" i="3"/>
  <c r="EW51" i="3"/>
  <c r="EV51" i="3"/>
  <c r="EU51" i="3"/>
  <c r="ET51" i="3"/>
  <c r="ES51" i="3"/>
  <c r="ER51" i="3"/>
  <c r="EQ51" i="3"/>
  <c r="EP51" i="3"/>
  <c r="EO51" i="3"/>
  <c r="EN51" i="3"/>
  <c r="EM51" i="3"/>
  <c r="EL51" i="3"/>
  <c r="EK51" i="3"/>
  <c r="EJ51" i="3"/>
  <c r="EI51" i="3"/>
  <c r="EH51" i="3"/>
  <c r="EG51" i="3"/>
  <c r="EF51" i="3"/>
  <c r="EE51" i="3"/>
  <c r="ED51" i="3"/>
  <c r="EC51" i="3"/>
  <c r="EB51" i="3"/>
  <c r="EA51" i="3"/>
  <c r="DZ51" i="3"/>
  <c r="DY51" i="3"/>
  <c r="DX51" i="3"/>
  <c r="DW51" i="3"/>
  <c r="DV51" i="3"/>
  <c r="DU51" i="3"/>
  <c r="DT51" i="3"/>
  <c r="DS51" i="3"/>
  <c r="DR51" i="3"/>
  <c r="DQ51" i="3"/>
  <c r="DP51" i="3"/>
  <c r="DO51" i="3"/>
  <c r="DN51" i="3"/>
  <c r="DM51" i="3"/>
  <c r="DL51" i="3"/>
  <c r="DK51" i="3"/>
  <c r="DJ51" i="3"/>
  <c r="DI51" i="3"/>
  <c r="DH51" i="3"/>
  <c r="DG51" i="3"/>
  <c r="DF51" i="3"/>
  <c r="DE51" i="3"/>
  <c r="DD51" i="3"/>
  <c r="DC51" i="3"/>
  <c r="DB51" i="3"/>
  <c r="DA51" i="3"/>
  <c r="CZ51" i="3"/>
  <c r="CY51" i="3"/>
  <c r="CX51" i="3"/>
  <c r="CW51" i="3"/>
  <c r="CV51" i="3"/>
  <c r="CU51" i="3"/>
  <c r="CT51" i="3"/>
  <c r="CS51" i="3"/>
  <c r="CR51" i="3"/>
  <c r="CQ51" i="3"/>
  <c r="CP51" i="3"/>
  <c r="CO51" i="3"/>
  <c r="CN51" i="3"/>
  <c r="CM51" i="3"/>
  <c r="CL51" i="3"/>
  <c r="E51" i="3"/>
  <c r="E111" i="3" s="1"/>
  <c r="D51" i="3"/>
  <c r="D111" i="3" s="1"/>
  <c r="C51" i="3"/>
  <c r="C111" i="3" s="1"/>
  <c r="B51" i="3"/>
  <c r="B111" i="3" s="1"/>
  <c r="A51" i="3"/>
  <c r="A111" i="3" s="1"/>
  <c r="FQ50" i="3"/>
  <c r="FP50" i="3"/>
  <c r="FO50" i="3"/>
  <c r="FN50" i="3"/>
  <c r="FM50" i="3"/>
  <c r="FL50" i="3"/>
  <c r="FK50" i="3"/>
  <c r="FJ50" i="3"/>
  <c r="FI50" i="3"/>
  <c r="FH50" i="3"/>
  <c r="FG50" i="3"/>
  <c r="FF50" i="3"/>
  <c r="FE50" i="3"/>
  <c r="FD50" i="3"/>
  <c r="FC50" i="3"/>
  <c r="FB50" i="3"/>
  <c r="FA50" i="3"/>
  <c r="EZ50" i="3"/>
  <c r="EY50" i="3"/>
  <c r="EX50" i="3"/>
  <c r="EW50" i="3"/>
  <c r="EV50" i="3"/>
  <c r="EU50" i="3"/>
  <c r="ET50" i="3"/>
  <c r="ES50" i="3"/>
  <c r="ER50" i="3"/>
  <c r="EQ50" i="3"/>
  <c r="EP50" i="3"/>
  <c r="EO50" i="3"/>
  <c r="EN50" i="3"/>
  <c r="EM50" i="3"/>
  <c r="EL50" i="3"/>
  <c r="EK50" i="3"/>
  <c r="EJ50" i="3"/>
  <c r="EI50" i="3"/>
  <c r="EH50" i="3"/>
  <c r="EG50" i="3"/>
  <c r="EF50" i="3"/>
  <c r="EE50" i="3"/>
  <c r="ED50" i="3"/>
  <c r="EC50" i="3"/>
  <c r="EB50" i="3"/>
  <c r="EA50" i="3"/>
  <c r="DZ50" i="3"/>
  <c r="DY50" i="3"/>
  <c r="DX50" i="3"/>
  <c r="DW50" i="3"/>
  <c r="DV50" i="3"/>
  <c r="DU50" i="3"/>
  <c r="DT50" i="3"/>
  <c r="DS50" i="3"/>
  <c r="DR50" i="3"/>
  <c r="DQ50" i="3"/>
  <c r="DP50" i="3"/>
  <c r="DO50" i="3"/>
  <c r="DN50" i="3"/>
  <c r="DM50" i="3"/>
  <c r="DL50" i="3"/>
  <c r="DK50" i="3"/>
  <c r="DJ50" i="3"/>
  <c r="DI50" i="3"/>
  <c r="DH50" i="3"/>
  <c r="DG50" i="3"/>
  <c r="DF50" i="3"/>
  <c r="DE50" i="3"/>
  <c r="DD50" i="3"/>
  <c r="DC50" i="3"/>
  <c r="DB50" i="3"/>
  <c r="DA50" i="3"/>
  <c r="CZ50" i="3"/>
  <c r="CY50" i="3"/>
  <c r="CX50" i="3"/>
  <c r="CW50" i="3"/>
  <c r="CV50" i="3"/>
  <c r="CU50" i="3"/>
  <c r="CT50" i="3"/>
  <c r="CS50" i="3"/>
  <c r="CR50" i="3"/>
  <c r="CQ50" i="3"/>
  <c r="CP50" i="3"/>
  <c r="CO50" i="3"/>
  <c r="CN50" i="3"/>
  <c r="CM50" i="3"/>
  <c r="CL50" i="3"/>
  <c r="E50" i="3"/>
  <c r="E110" i="3" s="1"/>
  <c r="D50" i="3"/>
  <c r="D110" i="3" s="1"/>
  <c r="C50" i="3"/>
  <c r="C110" i="3" s="1"/>
  <c r="B50" i="3"/>
  <c r="B110" i="3" s="1"/>
  <c r="A50" i="3"/>
  <c r="A110" i="3" s="1"/>
  <c r="FQ49" i="3"/>
  <c r="FP49" i="3"/>
  <c r="FO49" i="3"/>
  <c r="FN49" i="3"/>
  <c r="FM49" i="3"/>
  <c r="FL49" i="3"/>
  <c r="FK49" i="3"/>
  <c r="FJ49" i="3"/>
  <c r="FI49" i="3"/>
  <c r="FH49" i="3"/>
  <c r="FG49" i="3"/>
  <c r="FF49" i="3"/>
  <c r="FE49" i="3"/>
  <c r="FD49" i="3"/>
  <c r="FC49" i="3"/>
  <c r="FB49" i="3"/>
  <c r="FA49" i="3"/>
  <c r="EZ49" i="3"/>
  <c r="EY49" i="3"/>
  <c r="EX49" i="3"/>
  <c r="EW49" i="3"/>
  <c r="EV49" i="3"/>
  <c r="EU49" i="3"/>
  <c r="ET49" i="3"/>
  <c r="ES49" i="3"/>
  <c r="ER49" i="3"/>
  <c r="EQ49" i="3"/>
  <c r="EP49" i="3"/>
  <c r="EO49" i="3"/>
  <c r="EN49" i="3"/>
  <c r="EM49" i="3"/>
  <c r="EL49" i="3"/>
  <c r="EK49" i="3"/>
  <c r="EJ49" i="3"/>
  <c r="EI49" i="3"/>
  <c r="EH49" i="3"/>
  <c r="EG49" i="3"/>
  <c r="EF49" i="3"/>
  <c r="EE49" i="3"/>
  <c r="ED49" i="3"/>
  <c r="EC49" i="3"/>
  <c r="EB49" i="3"/>
  <c r="EA49" i="3"/>
  <c r="DZ49" i="3"/>
  <c r="DY49" i="3"/>
  <c r="DX49" i="3"/>
  <c r="DW49" i="3"/>
  <c r="DV49" i="3"/>
  <c r="DU49" i="3"/>
  <c r="DT49" i="3"/>
  <c r="DS49" i="3"/>
  <c r="DR49" i="3"/>
  <c r="DQ49" i="3"/>
  <c r="DP49" i="3"/>
  <c r="DO49" i="3"/>
  <c r="DN49" i="3"/>
  <c r="DM49" i="3"/>
  <c r="DL49" i="3"/>
  <c r="DK49" i="3"/>
  <c r="DJ49" i="3"/>
  <c r="DI49" i="3"/>
  <c r="DH49" i="3"/>
  <c r="DG49" i="3"/>
  <c r="DF49" i="3"/>
  <c r="DE49" i="3"/>
  <c r="DD49" i="3"/>
  <c r="DC49" i="3"/>
  <c r="DB49" i="3"/>
  <c r="DA49" i="3"/>
  <c r="CZ49" i="3"/>
  <c r="CY49" i="3"/>
  <c r="CX49" i="3"/>
  <c r="CW49" i="3"/>
  <c r="CV49" i="3"/>
  <c r="CU49" i="3"/>
  <c r="CT49" i="3"/>
  <c r="CS49" i="3"/>
  <c r="CR49" i="3"/>
  <c r="CQ49" i="3"/>
  <c r="CP49" i="3"/>
  <c r="CO49" i="3"/>
  <c r="CN49" i="3"/>
  <c r="CM49" i="3"/>
  <c r="CL49" i="3"/>
  <c r="E49" i="3"/>
  <c r="E109" i="3" s="1"/>
  <c r="D49" i="3"/>
  <c r="D109" i="3" s="1"/>
  <c r="C49" i="3"/>
  <c r="C109" i="3" s="1"/>
  <c r="B49" i="3"/>
  <c r="B109" i="3" s="1"/>
  <c r="A49" i="3"/>
  <c r="A109" i="3" s="1"/>
  <c r="FQ48" i="3"/>
  <c r="FP48" i="3"/>
  <c r="FO48" i="3"/>
  <c r="FN48" i="3"/>
  <c r="FM48" i="3"/>
  <c r="FL48" i="3"/>
  <c r="FK48" i="3"/>
  <c r="FJ48" i="3"/>
  <c r="FI48" i="3"/>
  <c r="FH48" i="3"/>
  <c r="FG48" i="3"/>
  <c r="FF48" i="3"/>
  <c r="FE48" i="3"/>
  <c r="FD48" i="3"/>
  <c r="FC48" i="3"/>
  <c r="FB48" i="3"/>
  <c r="FA48" i="3"/>
  <c r="EZ48" i="3"/>
  <c r="EY48" i="3"/>
  <c r="EX48" i="3"/>
  <c r="EW48" i="3"/>
  <c r="EV48" i="3"/>
  <c r="EU48" i="3"/>
  <c r="ET48" i="3"/>
  <c r="ES48" i="3"/>
  <c r="ER48" i="3"/>
  <c r="EQ48" i="3"/>
  <c r="EP48" i="3"/>
  <c r="EO48" i="3"/>
  <c r="EN48" i="3"/>
  <c r="EM48" i="3"/>
  <c r="EL48" i="3"/>
  <c r="EK48" i="3"/>
  <c r="EJ48" i="3"/>
  <c r="EI48" i="3"/>
  <c r="EH48" i="3"/>
  <c r="EG48" i="3"/>
  <c r="EF48" i="3"/>
  <c r="EE48" i="3"/>
  <c r="ED48" i="3"/>
  <c r="EC48" i="3"/>
  <c r="EB48" i="3"/>
  <c r="EA48" i="3"/>
  <c r="DZ48" i="3"/>
  <c r="DY48" i="3"/>
  <c r="DX48" i="3"/>
  <c r="DW48" i="3"/>
  <c r="DV48" i="3"/>
  <c r="DU48" i="3"/>
  <c r="DT48" i="3"/>
  <c r="DS48" i="3"/>
  <c r="DR48" i="3"/>
  <c r="DQ48" i="3"/>
  <c r="DP48" i="3"/>
  <c r="DO48" i="3"/>
  <c r="DN48" i="3"/>
  <c r="DM48" i="3"/>
  <c r="DL48" i="3"/>
  <c r="DK48" i="3"/>
  <c r="DJ48" i="3"/>
  <c r="DI48" i="3"/>
  <c r="DH48" i="3"/>
  <c r="DG48" i="3"/>
  <c r="DF48" i="3"/>
  <c r="DE48" i="3"/>
  <c r="DD48" i="3"/>
  <c r="DC48" i="3"/>
  <c r="DB48" i="3"/>
  <c r="DA48" i="3"/>
  <c r="CZ48" i="3"/>
  <c r="CY48" i="3"/>
  <c r="CX48" i="3"/>
  <c r="CW48" i="3"/>
  <c r="CV48" i="3"/>
  <c r="CU48" i="3"/>
  <c r="CT48" i="3"/>
  <c r="CS48" i="3"/>
  <c r="CR48" i="3"/>
  <c r="CQ48" i="3"/>
  <c r="CP48" i="3"/>
  <c r="CO48" i="3"/>
  <c r="CN48" i="3"/>
  <c r="CM48" i="3"/>
  <c r="CL48" i="3"/>
  <c r="E48" i="3"/>
  <c r="E108" i="3" s="1"/>
  <c r="D48" i="3"/>
  <c r="D108" i="3" s="1"/>
  <c r="C48" i="3"/>
  <c r="C108" i="3" s="1"/>
  <c r="B48" i="3"/>
  <c r="B108" i="3" s="1"/>
  <c r="A48" i="3"/>
  <c r="A108" i="3" s="1"/>
  <c r="FQ47" i="3"/>
  <c r="FP47" i="3"/>
  <c r="FO47" i="3"/>
  <c r="FN47" i="3"/>
  <c r="FM47" i="3"/>
  <c r="FL47" i="3"/>
  <c r="FK47" i="3"/>
  <c r="FJ47" i="3"/>
  <c r="FI47" i="3"/>
  <c r="FH47" i="3"/>
  <c r="FG47" i="3"/>
  <c r="FF47" i="3"/>
  <c r="FE47" i="3"/>
  <c r="FD47" i="3"/>
  <c r="FC47" i="3"/>
  <c r="FB47" i="3"/>
  <c r="FA47" i="3"/>
  <c r="EZ47" i="3"/>
  <c r="EY47" i="3"/>
  <c r="EX47" i="3"/>
  <c r="EW47" i="3"/>
  <c r="EV47" i="3"/>
  <c r="EU47" i="3"/>
  <c r="ET47" i="3"/>
  <c r="ES47" i="3"/>
  <c r="ER47" i="3"/>
  <c r="EQ47" i="3"/>
  <c r="EP47" i="3"/>
  <c r="EO47" i="3"/>
  <c r="EN47" i="3"/>
  <c r="EM47" i="3"/>
  <c r="EL47" i="3"/>
  <c r="EK47" i="3"/>
  <c r="EJ47" i="3"/>
  <c r="EI47" i="3"/>
  <c r="EH47" i="3"/>
  <c r="EG47" i="3"/>
  <c r="EF47" i="3"/>
  <c r="EE47" i="3"/>
  <c r="ED47" i="3"/>
  <c r="EC47" i="3"/>
  <c r="EB47" i="3"/>
  <c r="EA47" i="3"/>
  <c r="DZ47" i="3"/>
  <c r="DY47" i="3"/>
  <c r="DX47" i="3"/>
  <c r="DW47" i="3"/>
  <c r="DV47" i="3"/>
  <c r="DU47" i="3"/>
  <c r="DT47" i="3"/>
  <c r="DS47" i="3"/>
  <c r="DR47" i="3"/>
  <c r="DQ47" i="3"/>
  <c r="DP47" i="3"/>
  <c r="DO47" i="3"/>
  <c r="DN47" i="3"/>
  <c r="DM47" i="3"/>
  <c r="DL47" i="3"/>
  <c r="DK47" i="3"/>
  <c r="DJ47" i="3"/>
  <c r="DI47" i="3"/>
  <c r="DH47" i="3"/>
  <c r="DG47" i="3"/>
  <c r="DF47" i="3"/>
  <c r="DE47" i="3"/>
  <c r="DD47" i="3"/>
  <c r="DC47" i="3"/>
  <c r="DB47" i="3"/>
  <c r="DA47" i="3"/>
  <c r="CZ47" i="3"/>
  <c r="CY47" i="3"/>
  <c r="CX47" i="3"/>
  <c r="CW47" i="3"/>
  <c r="CV47" i="3"/>
  <c r="CU47" i="3"/>
  <c r="CT47" i="3"/>
  <c r="CS47" i="3"/>
  <c r="CR47" i="3"/>
  <c r="CQ47" i="3"/>
  <c r="CP47" i="3"/>
  <c r="CO47" i="3"/>
  <c r="CN47" i="3"/>
  <c r="CM47" i="3"/>
  <c r="CL47" i="3"/>
  <c r="E47" i="3"/>
  <c r="E107" i="3" s="1"/>
  <c r="D47" i="3"/>
  <c r="D107" i="3" s="1"/>
  <c r="C47" i="3"/>
  <c r="C107" i="3" s="1"/>
  <c r="B47" i="3"/>
  <c r="B107" i="3" s="1"/>
  <c r="A47" i="3"/>
  <c r="A107" i="3" s="1"/>
  <c r="FQ46" i="3"/>
  <c r="FP46" i="3"/>
  <c r="FO46" i="3"/>
  <c r="FN46" i="3"/>
  <c r="FM46" i="3"/>
  <c r="FL46" i="3"/>
  <c r="FK46" i="3"/>
  <c r="FJ46" i="3"/>
  <c r="FI46" i="3"/>
  <c r="FH46" i="3"/>
  <c r="FG46" i="3"/>
  <c r="FF46" i="3"/>
  <c r="FE46" i="3"/>
  <c r="FD46" i="3"/>
  <c r="FC46" i="3"/>
  <c r="FB46" i="3"/>
  <c r="FA46" i="3"/>
  <c r="EZ46" i="3"/>
  <c r="EY46" i="3"/>
  <c r="EX46" i="3"/>
  <c r="EW46" i="3"/>
  <c r="EV46" i="3"/>
  <c r="EU46" i="3"/>
  <c r="ET46" i="3"/>
  <c r="ES46" i="3"/>
  <c r="ER46" i="3"/>
  <c r="EQ46" i="3"/>
  <c r="EP46" i="3"/>
  <c r="EO46" i="3"/>
  <c r="EN46" i="3"/>
  <c r="EM46" i="3"/>
  <c r="EL46" i="3"/>
  <c r="EK46" i="3"/>
  <c r="EJ46" i="3"/>
  <c r="EI46" i="3"/>
  <c r="EH46" i="3"/>
  <c r="EG46" i="3"/>
  <c r="EF46" i="3"/>
  <c r="EE46" i="3"/>
  <c r="ED46" i="3"/>
  <c r="EC46" i="3"/>
  <c r="EB46" i="3"/>
  <c r="EA46" i="3"/>
  <c r="DZ46" i="3"/>
  <c r="DY46" i="3"/>
  <c r="DX46" i="3"/>
  <c r="DW46" i="3"/>
  <c r="DV46" i="3"/>
  <c r="DU46" i="3"/>
  <c r="DT46" i="3"/>
  <c r="DS46" i="3"/>
  <c r="DR46" i="3"/>
  <c r="DQ46" i="3"/>
  <c r="DP46" i="3"/>
  <c r="DO46" i="3"/>
  <c r="DN46" i="3"/>
  <c r="DM46" i="3"/>
  <c r="DL46" i="3"/>
  <c r="DK46" i="3"/>
  <c r="DJ46" i="3"/>
  <c r="DI46" i="3"/>
  <c r="DH46" i="3"/>
  <c r="DG46" i="3"/>
  <c r="DF46" i="3"/>
  <c r="DE46" i="3"/>
  <c r="DD46" i="3"/>
  <c r="DC46" i="3"/>
  <c r="DB46" i="3"/>
  <c r="DA46" i="3"/>
  <c r="CZ46" i="3"/>
  <c r="CY46" i="3"/>
  <c r="CX46" i="3"/>
  <c r="CW46" i="3"/>
  <c r="CV46" i="3"/>
  <c r="CU46" i="3"/>
  <c r="CT46" i="3"/>
  <c r="CS46" i="3"/>
  <c r="CR46" i="3"/>
  <c r="CQ46" i="3"/>
  <c r="CP46" i="3"/>
  <c r="CO46" i="3"/>
  <c r="CN46" i="3"/>
  <c r="CM46" i="3"/>
  <c r="CL46" i="3"/>
  <c r="E46" i="3"/>
  <c r="E106" i="3" s="1"/>
  <c r="D46" i="3"/>
  <c r="D106" i="3" s="1"/>
  <c r="C46" i="3"/>
  <c r="C106" i="3" s="1"/>
  <c r="B46" i="3"/>
  <c r="B106" i="3" s="1"/>
  <c r="A46" i="3"/>
  <c r="A106" i="3" s="1"/>
  <c r="FQ45" i="3"/>
  <c r="FP45" i="3"/>
  <c r="FO45" i="3"/>
  <c r="FN45" i="3"/>
  <c r="FM45" i="3"/>
  <c r="FL45" i="3"/>
  <c r="FK45" i="3"/>
  <c r="FJ45" i="3"/>
  <c r="FI45" i="3"/>
  <c r="FH45" i="3"/>
  <c r="FG45" i="3"/>
  <c r="FF45" i="3"/>
  <c r="FE45" i="3"/>
  <c r="FD45" i="3"/>
  <c r="FC45" i="3"/>
  <c r="FB45" i="3"/>
  <c r="FA45" i="3"/>
  <c r="EZ45" i="3"/>
  <c r="EY45" i="3"/>
  <c r="EX45" i="3"/>
  <c r="EW45" i="3"/>
  <c r="EV45" i="3"/>
  <c r="EU45" i="3"/>
  <c r="ET45" i="3"/>
  <c r="ES45" i="3"/>
  <c r="ER45" i="3"/>
  <c r="EQ45" i="3"/>
  <c r="EP45" i="3"/>
  <c r="EO45" i="3"/>
  <c r="EN45" i="3"/>
  <c r="EM45" i="3"/>
  <c r="EL45" i="3"/>
  <c r="EK45" i="3"/>
  <c r="EJ45" i="3"/>
  <c r="EI45" i="3"/>
  <c r="EH45" i="3"/>
  <c r="EG45" i="3"/>
  <c r="EF45" i="3"/>
  <c r="EE45" i="3"/>
  <c r="ED45" i="3"/>
  <c r="EC45" i="3"/>
  <c r="EB45" i="3"/>
  <c r="EA45" i="3"/>
  <c r="DZ45" i="3"/>
  <c r="DY45" i="3"/>
  <c r="DX45" i="3"/>
  <c r="DW45" i="3"/>
  <c r="DV45" i="3"/>
  <c r="DU45" i="3"/>
  <c r="DT45" i="3"/>
  <c r="DS45" i="3"/>
  <c r="DR45" i="3"/>
  <c r="DQ45" i="3"/>
  <c r="DP45" i="3"/>
  <c r="DO45" i="3"/>
  <c r="DN45" i="3"/>
  <c r="DM45" i="3"/>
  <c r="DL45" i="3"/>
  <c r="DK45" i="3"/>
  <c r="DJ45" i="3"/>
  <c r="DI45" i="3"/>
  <c r="DH45" i="3"/>
  <c r="DG45" i="3"/>
  <c r="DF45" i="3"/>
  <c r="DE45" i="3"/>
  <c r="DD45" i="3"/>
  <c r="DC45" i="3"/>
  <c r="DB45" i="3"/>
  <c r="DA45" i="3"/>
  <c r="CZ45" i="3"/>
  <c r="CY45" i="3"/>
  <c r="CX45" i="3"/>
  <c r="CW45" i="3"/>
  <c r="CV45" i="3"/>
  <c r="CU45" i="3"/>
  <c r="CT45" i="3"/>
  <c r="CS45" i="3"/>
  <c r="CR45" i="3"/>
  <c r="CQ45" i="3"/>
  <c r="CP45" i="3"/>
  <c r="CO45" i="3"/>
  <c r="CN45" i="3"/>
  <c r="CM45" i="3"/>
  <c r="CL45" i="3"/>
  <c r="E45" i="3"/>
  <c r="E105" i="3" s="1"/>
  <c r="D45" i="3"/>
  <c r="D105" i="3" s="1"/>
  <c r="C45" i="3"/>
  <c r="C105" i="3" s="1"/>
  <c r="B45" i="3"/>
  <c r="B105" i="3" s="1"/>
  <c r="A45" i="3"/>
  <c r="A105" i="3" s="1"/>
  <c r="FQ44" i="3"/>
  <c r="FP44" i="3"/>
  <c r="FO44" i="3"/>
  <c r="FN44" i="3"/>
  <c r="FM44" i="3"/>
  <c r="FL44" i="3"/>
  <c r="FK44" i="3"/>
  <c r="FJ44" i="3"/>
  <c r="FI44" i="3"/>
  <c r="FH44" i="3"/>
  <c r="FG44" i="3"/>
  <c r="FF44" i="3"/>
  <c r="FE44" i="3"/>
  <c r="FD44" i="3"/>
  <c r="FC44" i="3"/>
  <c r="FB44" i="3"/>
  <c r="FA44" i="3"/>
  <c r="EZ44" i="3"/>
  <c r="EY44" i="3"/>
  <c r="EX44" i="3"/>
  <c r="EW44" i="3"/>
  <c r="EV44" i="3"/>
  <c r="EU44" i="3"/>
  <c r="ET44" i="3"/>
  <c r="ES44" i="3"/>
  <c r="ER44" i="3"/>
  <c r="EQ44" i="3"/>
  <c r="EP44" i="3"/>
  <c r="EO44" i="3"/>
  <c r="EN44" i="3"/>
  <c r="EM44" i="3"/>
  <c r="EL44" i="3"/>
  <c r="EK44" i="3"/>
  <c r="EJ44" i="3"/>
  <c r="EI44" i="3"/>
  <c r="EH44" i="3"/>
  <c r="EG44" i="3"/>
  <c r="EF44" i="3"/>
  <c r="EE44" i="3"/>
  <c r="ED44" i="3"/>
  <c r="EC44" i="3"/>
  <c r="EB44" i="3"/>
  <c r="EA44" i="3"/>
  <c r="DZ44" i="3"/>
  <c r="DY44" i="3"/>
  <c r="DX44" i="3"/>
  <c r="DW44" i="3"/>
  <c r="DV44" i="3"/>
  <c r="DU44" i="3"/>
  <c r="DT44" i="3"/>
  <c r="DS44" i="3"/>
  <c r="DR44" i="3"/>
  <c r="DQ44" i="3"/>
  <c r="DP44" i="3"/>
  <c r="DO44" i="3"/>
  <c r="DN44" i="3"/>
  <c r="DM44" i="3"/>
  <c r="DL44" i="3"/>
  <c r="DK44" i="3"/>
  <c r="DJ44" i="3"/>
  <c r="DI44" i="3"/>
  <c r="DH44" i="3"/>
  <c r="DG44" i="3"/>
  <c r="DF44" i="3"/>
  <c r="DE44" i="3"/>
  <c r="DD44" i="3"/>
  <c r="DC44" i="3"/>
  <c r="DB44" i="3"/>
  <c r="DA44" i="3"/>
  <c r="CZ44" i="3"/>
  <c r="CY44" i="3"/>
  <c r="CX44" i="3"/>
  <c r="CW44" i="3"/>
  <c r="CV44" i="3"/>
  <c r="CU44" i="3"/>
  <c r="CT44" i="3"/>
  <c r="CS44" i="3"/>
  <c r="CR44" i="3"/>
  <c r="CQ44" i="3"/>
  <c r="CP44" i="3"/>
  <c r="CO44" i="3"/>
  <c r="CN44" i="3"/>
  <c r="CM44" i="3"/>
  <c r="CL44" i="3"/>
  <c r="E44" i="3"/>
  <c r="E104" i="3" s="1"/>
  <c r="D44" i="3"/>
  <c r="D104" i="3" s="1"/>
  <c r="C44" i="3"/>
  <c r="C104" i="3" s="1"/>
  <c r="B44" i="3"/>
  <c r="B104" i="3" s="1"/>
  <c r="A44" i="3"/>
  <c r="A104" i="3" s="1"/>
  <c r="FQ43" i="3"/>
  <c r="FP43" i="3"/>
  <c r="FO43" i="3"/>
  <c r="FN43" i="3"/>
  <c r="FM43" i="3"/>
  <c r="FL43" i="3"/>
  <c r="FK43" i="3"/>
  <c r="FJ43" i="3"/>
  <c r="FI43" i="3"/>
  <c r="FH43" i="3"/>
  <c r="FG43" i="3"/>
  <c r="FF43" i="3"/>
  <c r="FE43" i="3"/>
  <c r="FD43" i="3"/>
  <c r="FC43" i="3"/>
  <c r="FB43" i="3"/>
  <c r="FA43" i="3"/>
  <c r="EZ43" i="3"/>
  <c r="EY43" i="3"/>
  <c r="EX43" i="3"/>
  <c r="EW43" i="3"/>
  <c r="EV43" i="3"/>
  <c r="EU43" i="3"/>
  <c r="ET43" i="3"/>
  <c r="ES43" i="3"/>
  <c r="ER43" i="3"/>
  <c r="EQ43" i="3"/>
  <c r="EP43" i="3"/>
  <c r="EO43" i="3"/>
  <c r="EN43" i="3"/>
  <c r="EM43" i="3"/>
  <c r="EL43" i="3"/>
  <c r="EK43" i="3"/>
  <c r="EJ43" i="3"/>
  <c r="EI43" i="3"/>
  <c r="EH43" i="3"/>
  <c r="EG43" i="3"/>
  <c r="EF43" i="3"/>
  <c r="EE43" i="3"/>
  <c r="ED43" i="3"/>
  <c r="EC43" i="3"/>
  <c r="EB43" i="3"/>
  <c r="EA43" i="3"/>
  <c r="DZ43" i="3"/>
  <c r="DY43" i="3"/>
  <c r="DX43" i="3"/>
  <c r="DW43" i="3"/>
  <c r="DV43" i="3"/>
  <c r="DU43" i="3"/>
  <c r="DT43" i="3"/>
  <c r="DS43" i="3"/>
  <c r="DR43" i="3"/>
  <c r="DQ43" i="3"/>
  <c r="DP43" i="3"/>
  <c r="DO43" i="3"/>
  <c r="DN43" i="3"/>
  <c r="DM43" i="3"/>
  <c r="DL43" i="3"/>
  <c r="DK43" i="3"/>
  <c r="DJ43" i="3"/>
  <c r="DI43" i="3"/>
  <c r="DH43" i="3"/>
  <c r="DG43" i="3"/>
  <c r="DF43" i="3"/>
  <c r="DE43" i="3"/>
  <c r="DD43" i="3"/>
  <c r="DC43" i="3"/>
  <c r="DB43" i="3"/>
  <c r="DA43" i="3"/>
  <c r="CZ43" i="3"/>
  <c r="CY43" i="3"/>
  <c r="CX43" i="3"/>
  <c r="CW43" i="3"/>
  <c r="CV43" i="3"/>
  <c r="CU43" i="3"/>
  <c r="CT43" i="3"/>
  <c r="CS43" i="3"/>
  <c r="CR43" i="3"/>
  <c r="CQ43" i="3"/>
  <c r="CP43" i="3"/>
  <c r="CO43" i="3"/>
  <c r="CN43" i="3"/>
  <c r="CM43" i="3"/>
  <c r="CL43" i="3"/>
  <c r="E43" i="3"/>
  <c r="B43" i="3"/>
  <c r="A43" i="3"/>
  <c r="FQ42" i="3"/>
  <c r="FP42" i="3"/>
  <c r="FO42" i="3"/>
  <c r="FN42" i="3"/>
  <c r="FM42" i="3"/>
  <c r="FL42" i="3"/>
  <c r="FK42" i="3"/>
  <c r="FJ42" i="3"/>
  <c r="FI42" i="3"/>
  <c r="FH42" i="3"/>
  <c r="FG42" i="3"/>
  <c r="FF42" i="3"/>
  <c r="FE42" i="3"/>
  <c r="FD42" i="3"/>
  <c r="FC42" i="3"/>
  <c r="FB42" i="3"/>
  <c r="FA42" i="3"/>
  <c r="EZ42" i="3"/>
  <c r="EY42" i="3"/>
  <c r="EX42" i="3"/>
  <c r="EW42" i="3"/>
  <c r="EV42" i="3"/>
  <c r="EU42" i="3"/>
  <c r="ET42" i="3"/>
  <c r="ES42" i="3"/>
  <c r="ER42" i="3"/>
  <c r="EQ42" i="3"/>
  <c r="EP42" i="3"/>
  <c r="EO42" i="3"/>
  <c r="EN42" i="3"/>
  <c r="EM42" i="3"/>
  <c r="EL42" i="3"/>
  <c r="EK42" i="3"/>
  <c r="EJ42" i="3"/>
  <c r="EI42" i="3"/>
  <c r="EH42" i="3"/>
  <c r="EG42" i="3"/>
  <c r="EF42" i="3"/>
  <c r="EE42" i="3"/>
  <c r="ED42" i="3"/>
  <c r="EC42" i="3"/>
  <c r="EB42" i="3"/>
  <c r="EA42" i="3"/>
  <c r="DZ42" i="3"/>
  <c r="DY42" i="3"/>
  <c r="DX42" i="3"/>
  <c r="DW42" i="3"/>
  <c r="DV42" i="3"/>
  <c r="DU42" i="3"/>
  <c r="DT42" i="3"/>
  <c r="DS42" i="3"/>
  <c r="DR42" i="3"/>
  <c r="DQ42" i="3"/>
  <c r="DP42" i="3"/>
  <c r="DO42" i="3"/>
  <c r="DN42" i="3"/>
  <c r="DM42" i="3"/>
  <c r="DL42" i="3"/>
  <c r="DK42" i="3"/>
  <c r="DJ42" i="3"/>
  <c r="DI42" i="3"/>
  <c r="DH42" i="3"/>
  <c r="DG42" i="3"/>
  <c r="DF42" i="3"/>
  <c r="DE42" i="3"/>
  <c r="DD42" i="3"/>
  <c r="DC42" i="3"/>
  <c r="DB42" i="3"/>
  <c r="DA42" i="3"/>
  <c r="CZ42" i="3"/>
  <c r="CY42" i="3"/>
  <c r="CX42" i="3"/>
  <c r="CW42" i="3"/>
  <c r="CV42" i="3"/>
  <c r="CU42" i="3"/>
  <c r="CT42" i="3"/>
  <c r="CS42" i="3"/>
  <c r="CR42" i="3"/>
  <c r="CQ42" i="3"/>
  <c r="CP42" i="3"/>
  <c r="CO42" i="3"/>
  <c r="CN42" i="3"/>
  <c r="CM42" i="3"/>
  <c r="CL42" i="3"/>
  <c r="E42" i="3"/>
  <c r="E103" i="3" s="1"/>
  <c r="D42" i="3"/>
  <c r="D103" i="3" s="1"/>
  <c r="C42" i="3"/>
  <c r="C103" i="3" s="1"/>
  <c r="B42" i="3"/>
  <c r="B103" i="3" s="1"/>
  <c r="A42" i="3"/>
  <c r="A103" i="3" s="1"/>
  <c r="FQ41" i="3"/>
  <c r="FP41" i="3"/>
  <c r="FO41" i="3"/>
  <c r="FN41" i="3"/>
  <c r="FM41" i="3"/>
  <c r="FL41" i="3"/>
  <c r="FK41" i="3"/>
  <c r="FJ41" i="3"/>
  <c r="FI41" i="3"/>
  <c r="FH41" i="3"/>
  <c r="FG41" i="3"/>
  <c r="FF41" i="3"/>
  <c r="FE41" i="3"/>
  <c r="FD41" i="3"/>
  <c r="FC41" i="3"/>
  <c r="FB41" i="3"/>
  <c r="FA41" i="3"/>
  <c r="EZ41" i="3"/>
  <c r="EY41" i="3"/>
  <c r="EX41" i="3"/>
  <c r="EW41" i="3"/>
  <c r="EV41" i="3"/>
  <c r="EU41" i="3"/>
  <c r="ET41" i="3"/>
  <c r="ES41" i="3"/>
  <c r="ER41" i="3"/>
  <c r="EQ41" i="3"/>
  <c r="EP41" i="3"/>
  <c r="EO41" i="3"/>
  <c r="EN41" i="3"/>
  <c r="EM41" i="3"/>
  <c r="EL41" i="3"/>
  <c r="EK41" i="3"/>
  <c r="EJ41" i="3"/>
  <c r="EI41" i="3"/>
  <c r="EH41" i="3"/>
  <c r="EG41" i="3"/>
  <c r="EF41" i="3"/>
  <c r="EE41" i="3"/>
  <c r="ED41" i="3"/>
  <c r="EC41" i="3"/>
  <c r="EB41" i="3"/>
  <c r="EA41" i="3"/>
  <c r="DZ41" i="3"/>
  <c r="DY41" i="3"/>
  <c r="DX41" i="3"/>
  <c r="DW41" i="3"/>
  <c r="DV41" i="3"/>
  <c r="DU41" i="3"/>
  <c r="DT41" i="3"/>
  <c r="DS41" i="3"/>
  <c r="DR41" i="3"/>
  <c r="DQ41" i="3"/>
  <c r="DP41" i="3"/>
  <c r="DO41" i="3"/>
  <c r="DN41" i="3"/>
  <c r="DM41" i="3"/>
  <c r="DL41" i="3"/>
  <c r="DK41" i="3"/>
  <c r="DJ41" i="3"/>
  <c r="DI41" i="3"/>
  <c r="DH41" i="3"/>
  <c r="DG41" i="3"/>
  <c r="DF41" i="3"/>
  <c r="DE41" i="3"/>
  <c r="DD41" i="3"/>
  <c r="DC41" i="3"/>
  <c r="DB41" i="3"/>
  <c r="DA41" i="3"/>
  <c r="CZ41" i="3"/>
  <c r="CY41" i="3"/>
  <c r="CX41" i="3"/>
  <c r="CW41" i="3"/>
  <c r="CV41" i="3"/>
  <c r="CU41" i="3"/>
  <c r="CT41" i="3"/>
  <c r="CS41" i="3"/>
  <c r="CR41" i="3"/>
  <c r="CQ41" i="3"/>
  <c r="CP41" i="3"/>
  <c r="CO41" i="3"/>
  <c r="CN41" i="3"/>
  <c r="CM41" i="3"/>
  <c r="CL41" i="3"/>
  <c r="E41" i="3"/>
  <c r="E102" i="3" s="1"/>
  <c r="D41" i="3"/>
  <c r="D102" i="3" s="1"/>
  <c r="C41" i="3"/>
  <c r="C102" i="3" s="1"/>
  <c r="B41" i="3"/>
  <c r="B102" i="3" s="1"/>
  <c r="A41" i="3"/>
  <c r="A102" i="3" s="1"/>
  <c r="FQ40" i="3"/>
  <c r="FP40" i="3"/>
  <c r="FO40" i="3"/>
  <c r="FN40" i="3"/>
  <c r="FM40" i="3"/>
  <c r="FL40" i="3"/>
  <c r="FK40" i="3"/>
  <c r="FJ40" i="3"/>
  <c r="FI40" i="3"/>
  <c r="FH40" i="3"/>
  <c r="FG40" i="3"/>
  <c r="FF40" i="3"/>
  <c r="FE40" i="3"/>
  <c r="FD40" i="3"/>
  <c r="FC40" i="3"/>
  <c r="FB40" i="3"/>
  <c r="FA40" i="3"/>
  <c r="EZ40" i="3"/>
  <c r="EY40" i="3"/>
  <c r="EX40" i="3"/>
  <c r="EW40" i="3"/>
  <c r="EV40" i="3"/>
  <c r="EU40" i="3"/>
  <c r="ET40" i="3"/>
  <c r="ES40" i="3"/>
  <c r="ER40" i="3"/>
  <c r="EQ40" i="3"/>
  <c r="EP40" i="3"/>
  <c r="EO40" i="3"/>
  <c r="EN40" i="3"/>
  <c r="EM40" i="3"/>
  <c r="EL40" i="3"/>
  <c r="EK40" i="3"/>
  <c r="EJ40" i="3"/>
  <c r="EI40" i="3"/>
  <c r="EH40" i="3"/>
  <c r="EG40" i="3"/>
  <c r="EF40" i="3"/>
  <c r="EE40" i="3"/>
  <c r="ED40" i="3"/>
  <c r="EC40" i="3"/>
  <c r="EB40" i="3"/>
  <c r="EA40" i="3"/>
  <c r="DZ40" i="3"/>
  <c r="DY40" i="3"/>
  <c r="DX40" i="3"/>
  <c r="DW40" i="3"/>
  <c r="DV40" i="3"/>
  <c r="DU40" i="3"/>
  <c r="DT40" i="3"/>
  <c r="DS40" i="3"/>
  <c r="DR40" i="3"/>
  <c r="DQ40" i="3"/>
  <c r="DP40" i="3"/>
  <c r="DO40" i="3"/>
  <c r="DN40" i="3"/>
  <c r="DM40" i="3"/>
  <c r="DL40" i="3"/>
  <c r="DK40" i="3"/>
  <c r="DJ40" i="3"/>
  <c r="DI40" i="3"/>
  <c r="DH40" i="3"/>
  <c r="DG40" i="3"/>
  <c r="DF40" i="3"/>
  <c r="DE40" i="3"/>
  <c r="DD40" i="3"/>
  <c r="DC40" i="3"/>
  <c r="DB40" i="3"/>
  <c r="DA40" i="3"/>
  <c r="CZ40" i="3"/>
  <c r="CY40" i="3"/>
  <c r="CX40" i="3"/>
  <c r="CW40" i="3"/>
  <c r="CV40" i="3"/>
  <c r="CU40" i="3"/>
  <c r="CT40" i="3"/>
  <c r="CS40" i="3"/>
  <c r="CR40" i="3"/>
  <c r="CQ40" i="3"/>
  <c r="CP40" i="3"/>
  <c r="CO40" i="3"/>
  <c r="CN40" i="3"/>
  <c r="CM40" i="3"/>
  <c r="CL40" i="3"/>
  <c r="E40" i="3"/>
  <c r="B40" i="3"/>
  <c r="A40" i="3"/>
  <c r="FQ39" i="3"/>
  <c r="FP39" i="3"/>
  <c r="FO39" i="3"/>
  <c r="FN39" i="3"/>
  <c r="FM39" i="3"/>
  <c r="FL39" i="3"/>
  <c r="FK39" i="3"/>
  <c r="FJ39" i="3"/>
  <c r="FI39" i="3"/>
  <c r="FH39" i="3"/>
  <c r="FG39" i="3"/>
  <c r="FF39" i="3"/>
  <c r="FE39" i="3"/>
  <c r="FD39" i="3"/>
  <c r="FC39" i="3"/>
  <c r="FB39" i="3"/>
  <c r="FA39" i="3"/>
  <c r="EZ39" i="3"/>
  <c r="EY39" i="3"/>
  <c r="EX39" i="3"/>
  <c r="EW39" i="3"/>
  <c r="EV39" i="3"/>
  <c r="EU39" i="3"/>
  <c r="ET39" i="3"/>
  <c r="ES39" i="3"/>
  <c r="ER39" i="3"/>
  <c r="EQ39" i="3"/>
  <c r="EP39" i="3"/>
  <c r="EO39" i="3"/>
  <c r="EN39" i="3"/>
  <c r="EM39" i="3"/>
  <c r="EL39" i="3"/>
  <c r="EK39" i="3"/>
  <c r="EJ39" i="3"/>
  <c r="EI39" i="3"/>
  <c r="EH39" i="3"/>
  <c r="EG39" i="3"/>
  <c r="EF39" i="3"/>
  <c r="EE39" i="3"/>
  <c r="ED39" i="3"/>
  <c r="EC39" i="3"/>
  <c r="EB39" i="3"/>
  <c r="EA39" i="3"/>
  <c r="DZ39" i="3"/>
  <c r="DY39" i="3"/>
  <c r="DX39" i="3"/>
  <c r="DW39" i="3"/>
  <c r="DV39" i="3"/>
  <c r="DU39" i="3"/>
  <c r="DT39" i="3"/>
  <c r="DS39" i="3"/>
  <c r="DR39" i="3"/>
  <c r="DQ39" i="3"/>
  <c r="DP39" i="3"/>
  <c r="DO39" i="3"/>
  <c r="DN39" i="3"/>
  <c r="DM39" i="3"/>
  <c r="DL39" i="3"/>
  <c r="DK39" i="3"/>
  <c r="DJ39" i="3"/>
  <c r="DI39" i="3"/>
  <c r="DH39" i="3"/>
  <c r="DG39" i="3"/>
  <c r="DF39" i="3"/>
  <c r="DE39" i="3"/>
  <c r="DD39" i="3"/>
  <c r="DC39" i="3"/>
  <c r="DB39" i="3"/>
  <c r="DA39" i="3"/>
  <c r="CZ39" i="3"/>
  <c r="CY39" i="3"/>
  <c r="CX39" i="3"/>
  <c r="CW39" i="3"/>
  <c r="CV39" i="3"/>
  <c r="CU39" i="3"/>
  <c r="CT39" i="3"/>
  <c r="CS39" i="3"/>
  <c r="CR39" i="3"/>
  <c r="CQ39" i="3"/>
  <c r="CP39" i="3"/>
  <c r="CO39" i="3"/>
  <c r="CN39" i="3"/>
  <c r="CM39" i="3"/>
  <c r="CL39" i="3"/>
  <c r="E39" i="3"/>
  <c r="E101" i="3" s="1"/>
  <c r="D39" i="3"/>
  <c r="D101" i="3" s="1"/>
  <c r="C39" i="3"/>
  <c r="C101" i="3" s="1"/>
  <c r="B39" i="3"/>
  <c r="B101" i="3" s="1"/>
  <c r="A39" i="3"/>
  <c r="A101" i="3" s="1"/>
  <c r="FQ38" i="3"/>
  <c r="FP38" i="3"/>
  <c r="FO38" i="3"/>
  <c r="FN38" i="3"/>
  <c r="FM38" i="3"/>
  <c r="FL38" i="3"/>
  <c r="FK38" i="3"/>
  <c r="FJ38" i="3"/>
  <c r="FI38" i="3"/>
  <c r="FH38" i="3"/>
  <c r="FG38" i="3"/>
  <c r="FF38" i="3"/>
  <c r="FE38" i="3"/>
  <c r="FD38" i="3"/>
  <c r="FC38" i="3"/>
  <c r="FB38" i="3"/>
  <c r="FA38" i="3"/>
  <c r="EZ38" i="3"/>
  <c r="EY38" i="3"/>
  <c r="EX38" i="3"/>
  <c r="EW38" i="3"/>
  <c r="EV38" i="3"/>
  <c r="EU38" i="3"/>
  <c r="ET38" i="3"/>
  <c r="ES38" i="3"/>
  <c r="ER38" i="3"/>
  <c r="EQ38" i="3"/>
  <c r="EP38" i="3"/>
  <c r="EO38" i="3"/>
  <c r="EN38" i="3"/>
  <c r="EM38" i="3"/>
  <c r="EL38" i="3"/>
  <c r="EK38" i="3"/>
  <c r="EJ38" i="3"/>
  <c r="EI38" i="3"/>
  <c r="EH38" i="3"/>
  <c r="EG38" i="3"/>
  <c r="EF38" i="3"/>
  <c r="EE38" i="3"/>
  <c r="ED38" i="3"/>
  <c r="EC38" i="3"/>
  <c r="EB38" i="3"/>
  <c r="EA38" i="3"/>
  <c r="DZ38" i="3"/>
  <c r="DY38" i="3"/>
  <c r="DX38" i="3"/>
  <c r="DW38" i="3"/>
  <c r="DV38" i="3"/>
  <c r="DU38" i="3"/>
  <c r="DT38" i="3"/>
  <c r="DS38" i="3"/>
  <c r="DR38" i="3"/>
  <c r="DQ38" i="3"/>
  <c r="DP38" i="3"/>
  <c r="DO38" i="3"/>
  <c r="DN38" i="3"/>
  <c r="DM38" i="3"/>
  <c r="DL38" i="3"/>
  <c r="DK38" i="3"/>
  <c r="DJ38" i="3"/>
  <c r="DI38" i="3"/>
  <c r="DH38" i="3"/>
  <c r="DG38" i="3"/>
  <c r="DF38" i="3"/>
  <c r="DE38" i="3"/>
  <c r="DD38" i="3"/>
  <c r="DC38" i="3"/>
  <c r="DB38" i="3"/>
  <c r="DA38" i="3"/>
  <c r="CZ38" i="3"/>
  <c r="CY38" i="3"/>
  <c r="CX38" i="3"/>
  <c r="CW38" i="3"/>
  <c r="CV38" i="3"/>
  <c r="CU38" i="3"/>
  <c r="CT38" i="3"/>
  <c r="CS38" i="3"/>
  <c r="CR38" i="3"/>
  <c r="CQ38" i="3"/>
  <c r="CP38" i="3"/>
  <c r="CO38" i="3"/>
  <c r="CN38" i="3"/>
  <c r="CM38" i="3"/>
  <c r="CL38" i="3"/>
  <c r="E38" i="3"/>
  <c r="E100" i="3" s="1"/>
  <c r="D38" i="3"/>
  <c r="D100" i="3" s="1"/>
  <c r="C38" i="3"/>
  <c r="C100" i="3" s="1"/>
  <c r="B38" i="3"/>
  <c r="B100" i="3" s="1"/>
  <c r="A38" i="3"/>
  <c r="A100" i="3" s="1"/>
  <c r="FQ37" i="3"/>
  <c r="FP37" i="3"/>
  <c r="FO37" i="3"/>
  <c r="FN37" i="3"/>
  <c r="FM37" i="3"/>
  <c r="FL37" i="3"/>
  <c r="FK37" i="3"/>
  <c r="FJ37" i="3"/>
  <c r="FI37" i="3"/>
  <c r="FH37" i="3"/>
  <c r="FG37" i="3"/>
  <c r="FF37" i="3"/>
  <c r="FE37" i="3"/>
  <c r="FD37" i="3"/>
  <c r="FC37" i="3"/>
  <c r="FB37" i="3"/>
  <c r="FA37" i="3"/>
  <c r="EZ37" i="3"/>
  <c r="EY37" i="3"/>
  <c r="EX37" i="3"/>
  <c r="EW37" i="3"/>
  <c r="EV37" i="3"/>
  <c r="EU37" i="3"/>
  <c r="ET37" i="3"/>
  <c r="ES37" i="3"/>
  <c r="ER37" i="3"/>
  <c r="EQ37" i="3"/>
  <c r="EP37" i="3"/>
  <c r="EO37" i="3"/>
  <c r="EN37" i="3"/>
  <c r="EM37" i="3"/>
  <c r="EL37" i="3"/>
  <c r="EK37" i="3"/>
  <c r="EJ37" i="3"/>
  <c r="EI37" i="3"/>
  <c r="EH37" i="3"/>
  <c r="EG37" i="3"/>
  <c r="EF37" i="3"/>
  <c r="EE37" i="3"/>
  <c r="ED37" i="3"/>
  <c r="EC37" i="3"/>
  <c r="EB37" i="3"/>
  <c r="EA37" i="3"/>
  <c r="DZ37" i="3"/>
  <c r="DY37" i="3"/>
  <c r="DX37" i="3"/>
  <c r="DW37" i="3"/>
  <c r="DV37" i="3"/>
  <c r="DU37" i="3"/>
  <c r="DT37" i="3"/>
  <c r="DS37" i="3"/>
  <c r="DR37" i="3"/>
  <c r="DQ37" i="3"/>
  <c r="DP37" i="3"/>
  <c r="DO37" i="3"/>
  <c r="DN37" i="3"/>
  <c r="DM37" i="3"/>
  <c r="DL37" i="3"/>
  <c r="DK37" i="3"/>
  <c r="DJ37" i="3"/>
  <c r="DI37" i="3"/>
  <c r="DH37" i="3"/>
  <c r="DG37" i="3"/>
  <c r="DF37" i="3"/>
  <c r="DE37" i="3"/>
  <c r="DD37" i="3"/>
  <c r="DC37" i="3"/>
  <c r="DB37" i="3"/>
  <c r="DA37" i="3"/>
  <c r="CZ37" i="3"/>
  <c r="CY37" i="3"/>
  <c r="CX37" i="3"/>
  <c r="CW37" i="3"/>
  <c r="CV37" i="3"/>
  <c r="CU37" i="3"/>
  <c r="CT37" i="3"/>
  <c r="CS37" i="3"/>
  <c r="CR37" i="3"/>
  <c r="CQ37" i="3"/>
  <c r="CP37" i="3"/>
  <c r="CO37" i="3"/>
  <c r="CN37" i="3"/>
  <c r="CM37" i="3"/>
  <c r="CL37" i="3"/>
  <c r="E37" i="3"/>
  <c r="E99" i="3" s="1"/>
  <c r="D37" i="3"/>
  <c r="D99" i="3" s="1"/>
  <c r="C37" i="3"/>
  <c r="C99" i="3" s="1"/>
  <c r="B37" i="3"/>
  <c r="B99" i="3" s="1"/>
  <c r="A37" i="3"/>
  <c r="A99" i="3" s="1"/>
  <c r="FQ36" i="3"/>
  <c r="FP36" i="3"/>
  <c r="FO36" i="3"/>
  <c r="FN36" i="3"/>
  <c r="FM36" i="3"/>
  <c r="FL36" i="3"/>
  <c r="FK36" i="3"/>
  <c r="FJ36" i="3"/>
  <c r="FI36" i="3"/>
  <c r="FH36" i="3"/>
  <c r="FG36" i="3"/>
  <c r="FF36" i="3"/>
  <c r="FE36" i="3"/>
  <c r="FD36" i="3"/>
  <c r="FC36" i="3"/>
  <c r="FB36" i="3"/>
  <c r="FA36" i="3"/>
  <c r="EZ36" i="3"/>
  <c r="EY36" i="3"/>
  <c r="EX36" i="3"/>
  <c r="EW36" i="3"/>
  <c r="EV36" i="3"/>
  <c r="EU36" i="3"/>
  <c r="ET36" i="3"/>
  <c r="ES36" i="3"/>
  <c r="ER36" i="3"/>
  <c r="EQ36" i="3"/>
  <c r="EP36" i="3"/>
  <c r="EO36" i="3"/>
  <c r="EN36" i="3"/>
  <c r="EM36" i="3"/>
  <c r="EL36" i="3"/>
  <c r="EK36" i="3"/>
  <c r="EJ36" i="3"/>
  <c r="EI36" i="3"/>
  <c r="EH36" i="3"/>
  <c r="EG36" i="3"/>
  <c r="EF36" i="3"/>
  <c r="EE36" i="3"/>
  <c r="ED36" i="3"/>
  <c r="EC36" i="3"/>
  <c r="EB36" i="3"/>
  <c r="EA36" i="3"/>
  <c r="DZ36" i="3"/>
  <c r="DY36" i="3"/>
  <c r="DX36" i="3"/>
  <c r="DW36" i="3"/>
  <c r="DV36" i="3"/>
  <c r="DU36" i="3"/>
  <c r="DT36" i="3"/>
  <c r="DS36" i="3"/>
  <c r="DR36" i="3"/>
  <c r="DQ36" i="3"/>
  <c r="DP36" i="3"/>
  <c r="DO36" i="3"/>
  <c r="DN36" i="3"/>
  <c r="DM36" i="3"/>
  <c r="DL36" i="3"/>
  <c r="DK36" i="3"/>
  <c r="DJ36" i="3"/>
  <c r="DI36" i="3"/>
  <c r="DH36" i="3"/>
  <c r="DG36" i="3"/>
  <c r="DF36" i="3"/>
  <c r="DE36" i="3"/>
  <c r="DD36" i="3"/>
  <c r="DC36" i="3"/>
  <c r="DB36" i="3"/>
  <c r="DA36" i="3"/>
  <c r="CZ36" i="3"/>
  <c r="CY36" i="3"/>
  <c r="CX36" i="3"/>
  <c r="CW36" i="3"/>
  <c r="CV36" i="3"/>
  <c r="CU36" i="3"/>
  <c r="CT36" i="3"/>
  <c r="CS36" i="3"/>
  <c r="CR36" i="3"/>
  <c r="CQ36" i="3"/>
  <c r="CP36" i="3"/>
  <c r="CO36" i="3"/>
  <c r="CN36" i="3"/>
  <c r="CM36" i="3"/>
  <c r="CL36" i="3"/>
  <c r="E36" i="3"/>
  <c r="E98" i="3" s="1"/>
  <c r="D36" i="3"/>
  <c r="D98" i="3" s="1"/>
  <c r="C36" i="3"/>
  <c r="C98" i="3" s="1"/>
  <c r="B36" i="3"/>
  <c r="B98" i="3" s="1"/>
  <c r="A36" i="3"/>
  <c r="A98" i="3" s="1"/>
  <c r="FQ35" i="3"/>
  <c r="FP35" i="3"/>
  <c r="FO35" i="3"/>
  <c r="FN35" i="3"/>
  <c r="FM35" i="3"/>
  <c r="FL35" i="3"/>
  <c r="FK35" i="3"/>
  <c r="FJ35" i="3"/>
  <c r="FI35" i="3"/>
  <c r="FH35" i="3"/>
  <c r="FG35" i="3"/>
  <c r="FF35" i="3"/>
  <c r="FE35" i="3"/>
  <c r="FD35" i="3"/>
  <c r="FC35" i="3"/>
  <c r="FB35" i="3"/>
  <c r="FA35" i="3"/>
  <c r="EZ35" i="3"/>
  <c r="EY35" i="3"/>
  <c r="EX35" i="3"/>
  <c r="EW35" i="3"/>
  <c r="EV35" i="3"/>
  <c r="EU35" i="3"/>
  <c r="ET35" i="3"/>
  <c r="ES35" i="3"/>
  <c r="ER35" i="3"/>
  <c r="EQ35" i="3"/>
  <c r="EP35" i="3"/>
  <c r="EO35" i="3"/>
  <c r="EN35" i="3"/>
  <c r="EM35" i="3"/>
  <c r="EL35" i="3"/>
  <c r="EK35" i="3"/>
  <c r="EJ35" i="3"/>
  <c r="EI35" i="3"/>
  <c r="EH35" i="3"/>
  <c r="EG35" i="3"/>
  <c r="EF35" i="3"/>
  <c r="EE35" i="3"/>
  <c r="ED35" i="3"/>
  <c r="EC35" i="3"/>
  <c r="EB35" i="3"/>
  <c r="EA35" i="3"/>
  <c r="DZ35" i="3"/>
  <c r="DY35" i="3"/>
  <c r="DX35" i="3"/>
  <c r="DW35" i="3"/>
  <c r="DV35" i="3"/>
  <c r="DU35" i="3"/>
  <c r="DT35" i="3"/>
  <c r="DS35" i="3"/>
  <c r="DR35" i="3"/>
  <c r="DQ35" i="3"/>
  <c r="DP35" i="3"/>
  <c r="DO35" i="3"/>
  <c r="DN35" i="3"/>
  <c r="DM35" i="3"/>
  <c r="DL35" i="3"/>
  <c r="DK35" i="3"/>
  <c r="DJ35" i="3"/>
  <c r="DI35" i="3"/>
  <c r="DH35" i="3"/>
  <c r="DG35" i="3"/>
  <c r="DF35" i="3"/>
  <c r="DE35" i="3"/>
  <c r="DD35" i="3"/>
  <c r="DC35" i="3"/>
  <c r="DB35" i="3"/>
  <c r="DA35" i="3"/>
  <c r="CZ35" i="3"/>
  <c r="CY35" i="3"/>
  <c r="CX35" i="3"/>
  <c r="CW35" i="3"/>
  <c r="CV35" i="3"/>
  <c r="CU35" i="3"/>
  <c r="CT35" i="3"/>
  <c r="CS35" i="3"/>
  <c r="CR35" i="3"/>
  <c r="CQ35" i="3"/>
  <c r="CP35" i="3"/>
  <c r="CO35" i="3"/>
  <c r="CN35" i="3"/>
  <c r="CM35" i="3"/>
  <c r="CL35" i="3"/>
  <c r="E35" i="3"/>
  <c r="E97" i="3" s="1"/>
  <c r="D35" i="3"/>
  <c r="D97" i="3" s="1"/>
  <c r="C35" i="3"/>
  <c r="C97" i="3" s="1"/>
  <c r="B35" i="3"/>
  <c r="B97" i="3" s="1"/>
  <c r="A35" i="3"/>
  <c r="A97" i="3" s="1"/>
  <c r="FQ34" i="3"/>
  <c r="FP34" i="3"/>
  <c r="FO34" i="3"/>
  <c r="FN34" i="3"/>
  <c r="FM34" i="3"/>
  <c r="FL34" i="3"/>
  <c r="FK34" i="3"/>
  <c r="FJ34" i="3"/>
  <c r="FI34" i="3"/>
  <c r="FH34" i="3"/>
  <c r="FG34" i="3"/>
  <c r="FF34" i="3"/>
  <c r="FE34" i="3"/>
  <c r="FD34" i="3"/>
  <c r="FC34" i="3"/>
  <c r="FB34" i="3"/>
  <c r="FA34" i="3"/>
  <c r="EZ34" i="3"/>
  <c r="EY34" i="3"/>
  <c r="EX34" i="3"/>
  <c r="EW34" i="3"/>
  <c r="EV34" i="3"/>
  <c r="EU34" i="3"/>
  <c r="ET34" i="3"/>
  <c r="ES34" i="3"/>
  <c r="ER34" i="3"/>
  <c r="EQ34" i="3"/>
  <c r="EP34" i="3"/>
  <c r="EO34" i="3"/>
  <c r="EN34" i="3"/>
  <c r="EM34" i="3"/>
  <c r="EL34" i="3"/>
  <c r="EK34" i="3"/>
  <c r="EJ34" i="3"/>
  <c r="EI34" i="3"/>
  <c r="EH34" i="3"/>
  <c r="EG34" i="3"/>
  <c r="EF34" i="3"/>
  <c r="EE34" i="3"/>
  <c r="ED34" i="3"/>
  <c r="EC34" i="3"/>
  <c r="EB34" i="3"/>
  <c r="EA34" i="3"/>
  <c r="DZ34" i="3"/>
  <c r="DY34" i="3"/>
  <c r="DX34" i="3"/>
  <c r="DW34" i="3"/>
  <c r="DV34" i="3"/>
  <c r="DU34" i="3"/>
  <c r="DT34" i="3"/>
  <c r="DS34" i="3"/>
  <c r="DR34" i="3"/>
  <c r="DQ34" i="3"/>
  <c r="DP34" i="3"/>
  <c r="DO34" i="3"/>
  <c r="DN34" i="3"/>
  <c r="DM34" i="3"/>
  <c r="DL34" i="3"/>
  <c r="DK34" i="3"/>
  <c r="DJ34" i="3"/>
  <c r="DI34" i="3"/>
  <c r="DH34" i="3"/>
  <c r="DG34" i="3"/>
  <c r="DF34" i="3"/>
  <c r="DE34" i="3"/>
  <c r="DD34" i="3"/>
  <c r="DC34" i="3"/>
  <c r="DB34" i="3"/>
  <c r="DA34" i="3"/>
  <c r="CZ34" i="3"/>
  <c r="CY34" i="3"/>
  <c r="CX34" i="3"/>
  <c r="CW34" i="3"/>
  <c r="CV34" i="3"/>
  <c r="CU34" i="3"/>
  <c r="CT34" i="3"/>
  <c r="CS34" i="3"/>
  <c r="CR34" i="3"/>
  <c r="CQ34" i="3"/>
  <c r="CP34" i="3"/>
  <c r="CO34" i="3"/>
  <c r="CN34" i="3"/>
  <c r="CM34" i="3"/>
  <c r="CL34" i="3"/>
  <c r="E34" i="3"/>
  <c r="E96" i="3" s="1"/>
  <c r="D34" i="3"/>
  <c r="D96" i="3" s="1"/>
  <c r="C34" i="3"/>
  <c r="C96" i="3" s="1"/>
  <c r="B34" i="3"/>
  <c r="B96" i="3" s="1"/>
  <c r="A34" i="3"/>
  <c r="A96" i="3" s="1"/>
  <c r="FQ33" i="3"/>
  <c r="FP33" i="3"/>
  <c r="FO33" i="3"/>
  <c r="FN33" i="3"/>
  <c r="FM33" i="3"/>
  <c r="FL33" i="3"/>
  <c r="FK33" i="3"/>
  <c r="FJ33" i="3"/>
  <c r="FI33" i="3"/>
  <c r="FH33" i="3"/>
  <c r="FG33" i="3"/>
  <c r="FF33" i="3"/>
  <c r="FE33" i="3"/>
  <c r="FD33" i="3"/>
  <c r="FC33" i="3"/>
  <c r="FB33" i="3"/>
  <c r="FA33" i="3"/>
  <c r="EZ33" i="3"/>
  <c r="EY33" i="3"/>
  <c r="EX33" i="3"/>
  <c r="EW33" i="3"/>
  <c r="EV33" i="3"/>
  <c r="EU33" i="3"/>
  <c r="ET33" i="3"/>
  <c r="ES33" i="3"/>
  <c r="ER33" i="3"/>
  <c r="EQ33" i="3"/>
  <c r="EP33" i="3"/>
  <c r="EO33" i="3"/>
  <c r="EN33" i="3"/>
  <c r="EM33" i="3"/>
  <c r="EL33" i="3"/>
  <c r="EK33" i="3"/>
  <c r="EJ33" i="3"/>
  <c r="EI33" i="3"/>
  <c r="EH33" i="3"/>
  <c r="EG33" i="3"/>
  <c r="EF33" i="3"/>
  <c r="EE33" i="3"/>
  <c r="ED33" i="3"/>
  <c r="EC33" i="3"/>
  <c r="EB33" i="3"/>
  <c r="EA33" i="3"/>
  <c r="DZ33" i="3"/>
  <c r="DY33" i="3"/>
  <c r="DX33" i="3"/>
  <c r="DW33" i="3"/>
  <c r="DV33" i="3"/>
  <c r="DU33" i="3"/>
  <c r="DT33" i="3"/>
  <c r="DS33" i="3"/>
  <c r="DR33" i="3"/>
  <c r="DQ33" i="3"/>
  <c r="DP33" i="3"/>
  <c r="DO33" i="3"/>
  <c r="DN33" i="3"/>
  <c r="DM33" i="3"/>
  <c r="DL33" i="3"/>
  <c r="DK33" i="3"/>
  <c r="DJ33" i="3"/>
  <c r="DI33" i="3"/>
  <c r="DH33" i="3"/>
  <c r="DG33" i="3"/>
  <c r="DF33" i="3"/>
  <c r="DE33" i="3"/>
  <c r="DD33" i="3"/>
  <c r="DC33" i="3"/>
  <c r="DB33" i="3"/>
  <c r="DA33" i="3"/>
  <c r="CZ33" i="3"/>
  <c r="CY33" i="3"/>
  <c r="CX33" i="3"/>
  <c r="CW33" i="3"/>
  <c r="CV33" i="3"/>
  <c r="CU33" i="3"/>
  <c r="CT33" i="3"/>
  <c r="CS33" i="3"/>
  <c r="CR33" i="3"/>
  <c r="CQ33" i="3"/>
  <c r="CP33" i="3"/>
  <c r="CO33" i="3"/>
  <c r="CN33" i="3"/>
  <c r="CM33" i="3"/>
  <c r="CL33" i="3"/>
  <c r="E33" i="3"/>
  <c r="E95" i="3" s="1"/>
  <c r="D33" i="3"/>
  <c r="D95" i="3" s="1"/>
  <c r="C33" i="3"/>
  <c r="C95" i="3" s="1"/>
  <c r="B33" i="3"/>
  <c r="B95" i="3" s="1"/>
  <c r="A33" i="3"/>
  <c r="A95" i="3" s="1"/>
  <c r="FQ32" i="3"/>
  <c r="FP32" i="3"/>
  <c r="FO32" i="3"/>
  <c r="FN32" i="3"/>
  <c r="FM32" i="3"/>
  <c r="FL32" i="3"/>
  <c r="FK32" i="3"/>
  <c r="FJ32" i="3"/>
  <c r="FI32" i="3"/>
  <c r="FH32" i="3"/>
  <c r="FG32" i="3"/>
  <c r="FF32" i="3"/>
  <c r="FE32" i="3"/>
  <c r="FD32" i="3"/>
  <c r="FC32" i="3"/>
  <c r="FB32" i="3"/>
  <c r="FA32" i="3"/>
  <c r="EZ32" i="3"/>
  <c r="EY32" i="3"/>
  <c r="EX32" i="3"/>
  <c r="EW32" i="3"/>
  <c r="EV32" i="3"/>
  <c r="EU32" i="3"/>
  <c r="ET32" i="3"/>
  <c r="ES32" i="3"/>
  <c r="ER32" i="3"/>
  <c r="EQ32" i="3"/>
  <c r="EP32" i="3"/>
  <c r="EO32" i="3"/>
  <c r="EN32" i="3"/>
  <c r="EM32" i="3"/>
  <c r="EL32" i="3"/>
  <c r="EK32" i="3"/>
  <c r="EJ32" i="3"/>
  <c r="EI32" i="3"/>
  <c r="EH32" i="3"/>
  <c r="EG32" i="3"/>
  <c r="EF32" i="3"/>
  <c r="EE32" i="3"/>
  <c r="ED32" i="3"/>
  <c r="EC32" i="3"/>
  <c r="EB32" i="3"/>
  <c r="EA32" i="3"/>
  <c r="DZ32" i="3"/>
  <c r="DY32" i="3"/>
  <c r="DX32" i="3"/>
  <c r="DW32" i="3"/>
  <c r="DV32" i="3"/>
  <c r="DU32" i="3"/>
  <c r="DT32" i="3"/>
  <c r="DS32" i="3"/>
  <c r="DR32" i="3"/>
  <c r="DQ32" i="3"/>
  <c r="DP32" i="3"/>
  <c r="DO32" i="3"/>
  <c r="DN32" i="3"/>
  <c r="DM32" i="3"/>
  <c r="DL32" i="3"/>
  <c r="DK32" i="3"/>
  <c r="DJ32" i="3"/>
  <c r="DI32" i="3"/>
  <c r="DH32" i="3"/>
  <c r="DG32" i="3"/>
  <c r="DF32" i="3"/>
  <c r="DE32" i="3"/>
  <c r="DD32" i="3"/>
  <c r="DC32" i="3"/>
  <c r="DB32" i="3"/>
  <c r="DA32" i="3"/>
  <c r="CZ32" i="3"/>
  <c r="CY32" i="3"/>
  <c r="CX32" i="3"/>
  <c r="CW32" i="3"/>
  <c r="CV32" i="3"/>
  <c r="CU32" i="3"/>
  <c r="CT32" i="3"/>
  <c r="CS32" i="3"/>
  <c r="CR32" i="3"/>
  <c r="CQ32" i="3"/>
  <c r="CP32" i="3"/>
  <c r="CO32" i="3"/>
  <c r="CN32" i="3"/>
  <c r="CM32" i="3"/>
  <c r="CL32" i="3"/>
  <c r="E32" i="3"/>
  <c r="E94" i="3" s="1"/>
  <c r="D32" i="3"/>
  <c r="D94" i="3" s="1"/>
  <c r="C32" i="3"/>
  <c r="C94" i="3" s="1"/>
  <c r="B32" i="3"/>
  <c r="B94" i="3" s="1"/>
  <c r="A32" i="3"/>
  <c r="A94" i="3" s="1"/>
  <c r="FQ31" i="3"/>
  <c r="FP31" i="3"/>
  <c r="FO31" i="3"/>
  <c r="FN31" i="3"/>
  <c r="FM31" i="3"/>
  <c r="FL31" i="3"/>
  <c r="FK31" i="3"/>
  <c r="FJ31" i="3"/>
  <c r="FI31" i="3"/>
  <c r="FH31" i="3"/>
  <c r="FG31" i="3"/>
  <c r="FF31" i="3"/>
  <c r="FE31" i="3"/>
  <c r="FD31" i="3"/>
  <c r="FC31" i="3"/>
  <c r="FB31" i="3"/>
  <c r="FA31" i="3"/>
  <c r="EZ31" i="3"/>
  <c r="EY31" i="3"/>
  <c r="EX31" i="3"/>
  <c r="EW31" i="3"/>
  <c r="EV31" i="3"/>
  <c r="EU31" i="3"/>
  <c r="ET31" i="3"/>
  <c r="ES31" i="3"/>
  <c r="ER31" i="3"/>
  <c r="EQ31" i="3"/>
  <c r="EP31" i="3"/>
  <c r="EO31" i="3"/>
  <c r="EN31" i="3"/>
  <c r="EM31" i="3"/>
  <c r="EL31" i="3"/>
  <c r="EK31" i="3"/>
  <c r="EJ31" i="3"/>
  <c r="EI31" i="3"/>
  <c r="EH31" i="3"/>
  <c r="EG31" i="3"/>
  <c r="EF31" i="3"/>
  <c r="EE31" i="3"/>
  <c r="ED31" i="3"/>
  <c r="EC31" i="3"/>
  <c r="EB31" i="3"/>
  <c r="EA31" i="3"/>
  <c r="DZ31" i="3"/>
  <c r="DY31" i="3"/>
  <c r="DX31" i="3"/>
  <c r="DW31" i="3"/>
  <c r="DV31" i="3"/>
  <c r="DU31" i="3"/>
  <c r="DT31" i="3"/>
  <c r="DS31" i="3"/>
  <c r="DR31" i="3"/>
  <c r="DQ31" i="3"/>
  <c r="DP31" i="3"/>
  <c r="DO31" i="3"/>
  <c r="DN31" i="3"/>
  <c r="DM31" i="3"/>
  <c r="DL31" i="3"/>
  <c r="DK31" i="3"/>
  <c r="DJ31" i="3"/>
  <c r="DI31" i="3"/>
  <c r="DH31" i="3"/>
  <c r="DG31" i="3"/>
  <c r="DF31" i="3"/>
  <c r="DE31" i="3"/>
  <c r="DD31" i="3"/>
  <c r="DC31" i="3"/>
  <c r="DB31" i="3"/>
  <c r="DA31" i="3"/>
  <c r="CZ31" i="3"/>
  <c r="CY31" i="3"/>
  <c r="CX31" i="3"/>
  <c r="CW31" i="3"/>
  <c r="CV31" i="3"/>
  <c r="CU31" i="3"/>
  <c r="CT31" i="3"/>
  <c r="CS31" i="3"/>
  <c r="CR31" i="3"/>
  <c r="CQ31" i="3"/>
  <c r="CP31" i="3"/>
  <c r="CO31" i="3"/>
  <c r="CN31" i="3"/>
  <c r="CM31" i="3"/>
  <c r="CL31" i="3"/>
  <c r="E31" i="3"/>
  <c r="E93" i="3" s="1"/>
  <c r="D31" i="3"/>
  <c r="D93" i="3" s="1"/>
  <c r="C31" i="3"/>
  <c r="C93" i="3" s="1"/>
  <c r="B31" i="3"/>
  <c r="B93" i="3" s="1"/>
  <c r="A31" i="3"/>
  <c r="A93" i="3" s="1"/>
  <c r="FQ30" i="3"/>
  <c r="FP30" i="3"/>
  <c r="FO30" i="3"/>
  <c r="FN30" i="3"/>
  <c r="FM30" i="3"/>
  <c r="FL30" i="3"/>
  <c r="FK30" i="3"/>
  <c r="FJ30" i="3"/>
  <c r="FI30" i="3"/>
  <c r="FH30" i="3"/>
  <c r="FG30" i="3"/>
  <c r="FF30" i="3"/>
  <c r="FE30" i="3"/>
  <c r="FD30" i="3"/>
  <c r="FC30" i="3"/>
  <c r="FB30" i="3"/>
  <c r="FA30" i="3"/>
  <c r="EZ30" i="3"/>
  <c r="EY30" i="3"/>
  <c r="EX30" i="3"/>
  <c r="EW30" i="3"/>
  <c r="EV30" i="3"/>
  <c r="EU30" i="3"/>
  <c r="ET30" i="3"/>
  <c r="ES30" i="3"/>
  <c r="ER30" i="3"/>
  <c r="EQ30" i="3"/>
  <c r="EP30" i="3"/>
  <c r="EO30" i="3"/>
  <c r="EN30" i="3"/>
  <c r="EM30" i="3"/>
  <c r="EL30" i="3"/>
  <c r="EK30" i="3"/>
  <c r="EJ30" i="3"/>
  <c r="EI30" i="3"/>
  <c r="EH30" i="3"/>
  <c r="EG30" i="3"/>
  <c r="EF30" i="3"/>
  <c r="EE30" i="3"/>
  <c r="ED30" i="3"/>
  <c r="EC30" i="3"/>
  <c r="EB30" i="3"/>
  <c r="EA30" i="3"/>
  <c r="DZ30" i="3"/>
  <c r="DY30" i="3"/>
  <c r="DX30" i="3"/>
  <c r="DW30" i="3"/>
  <c r="DV30" i="3"/>
  <c r="DU30" i="3"/>
  <c r="DT30" i="3"/>
  <c r="DS30" i="3"/>
  <c r="DR30" i="3"/>
  <c r="DQ30" i="3"/>
  <c r="DP30" i="3"/>
  <c r="DO30" i="3"/>
  <c r="DN30" i="3"/>
  <c r="DM30" i="3"/>
  <c r="DL30" i="3"/>
  <c r="DK30" i="3"/>
  <c r="DJ30" i="3"/>
  <c r="DI30" i="3"/>
  <c r="DH30" i="3"/>
  <c r="DG30" i="3"/>
  <c r="DF30" i="3"/>
  <c r="DE30" i="3"/>
  <c r="DD30" i="3"/>
  <c r="DC30" i="3"/>
  <c r="DB30" i="3"/>
  <c r="DA30" i="3"/>
  <c r="CZ30" i="3"/>
  <c r="CY30" i="3"/>
  <c r="CX30" i="3"/>
  <c r="CW30" i="3"/>
  <c r="CV30" i="3"/>
  <c r="CU30" i="3"/>
  <c r="CT30" i="3"/>
  <c r="CS30" i="3"/>
  <c r="CR30" i="3"/>
  <c r="CQ30" i="3"/>
  <c r="CP30" i="3"/>
  <c r="CO30" i="3"/>
  <c r="CN30" i="3"/>
  <c r="CM30" i="3"/>
  <c r="CL30" i="3"/>
  <c r="E30" i="3"/>
  <c r="E92" i="3" s="1"/>
  <c r="D30" i="3"/>
  <c r="D92" i="3" s="1"/>
  <c r="C30" i="3"/>
  <c r="C92" i="3" s="1"/>
  <c r="B30" i="3"/>
  <c r="B92" i="3" s="1"/>
  <c r="A30" i="3"/>
  <c r="A92" i="3" s="1"/>
  <c r="FQ29" i="3"/>
  <c r="FP29" i="3"/>
  <c r="FO29" i="3"/>
  <c r="FN29" i="3"/>
  <c r="FM29" i="3"/>
  <c r="FL29" i="3"/>
  <c r="FK29" i="3"/>
  <c r="FJ29" i="3"/>
  <c r="FI29" i="3"/>
  <c r="FH29" i="3"/>
  <c r="FG29" i="3"/>
  <c r="FF29" i="3"/>
  <c r="FE29" i="3"/>
  <c r="FD29" i="3"/>
  <c r="FC29" i="3"/>
  <c r="FB29" i="3"/>
  <c r="FA29" i="3"/>
  <c r="EZ29" i="3"/>
  <c r="EY29" i="3"/>
  <c r="EX29" i="3"/>
  <c r="EW29" i="3"/>
  <c r="EV29" i="3"/>
  <c r="EU29" i="3"/>
  <c r="ET29" i="3"/>
  <c r="ES29" i="3"/>
  <c r="ER29" i="3"/>
  <c r="EQ29" i="3"/>
  <c r="EP29" i="3"/>
  <c r="EO29" i="3"/>
  <c r="EN29" i="3"/>
  <c r="EM29" i="3"/>
  <c r="EL29" i="3"/>
  <c r="EK29" i="3"/>
  <c r="EJ29" i="3"/>
  <c r="EI29" i="3"/>
  <c r="EH29" i="3"/>
  <c r="EG29" i="3"/>
  <c r="EF29" i="3"/>
  <c r="EE29" i="3"/>
  <c r="ED29" i="3"/>
  <c r="EC29" i="3"/>
  <c r="EB29" i="3"/>
  <c r="EA29" i="3"/>
  <c r="DZ29" i="3"/>
  <c r="DY29" i="3"/>
  <c r="DX29" i="3"/>
  <c r="DW29" i="3"/>
  <c r="DV29" i="3"/>
  <c r="DU29" i="3"/>
  <c r="DT29" i="3"/>
  <c r="DS29" i="3"/>
  <c r="DR29" i="3"/>
  <c r="DQ29" i="3"/>
  <c r="DP29" i="3"/>
  <c r="DO29" i="3"/>
  <c r="DN29" i="3"/>
  <c r="DM29" i="3"/>
  <c r="DL29" i="3"/>
  <c r="DK29" i="3"/>
  <c r="DJ29" i="3"/>
  <c r="DI29" i="3"/>
  <c r="DH29" i="3"/>
  <c r="DG29" i="3"/>
  <c r="DF29" i="3"/>
  <c r="DE29" i="3"/>
  <c r="DD29" i="3"/>
  <c r="DC29" i="3"/>
  <c r="DB29" i="3"/>
  <c r="DA29" i="3"/>
  <c r="CZ29" i="3"/>
  <c r="CY29" i="3"/>
  <c r="CX29" i="3"/>
  <c r="CW29" i="3"/>
  <c r="CV29" i="3"/>
  <c r="CU29" i="3"/>
  <c r="CT29" i="3"/>
  <c r="CS29" i="3"/>
  <c r="CR29" i="3"/>
  <c r="CQ29" i="3"/>
  <c r="CP29" i="3"/>
  <c r="CO29" i="3"/>
  <c r="CN29" i="3"/>
  <c r="CM29" i="3"/>
  <c r="CL29" i="3"/>
  <c r="E29" i="3"/>
  <c r="E91" i="3" s="1"/>
  <c r="D29" i="3"/>
  <c r="D91" i="3" s="1"/>
  <c r="C29" i="3"/>
  <c r="C91" i="3" s="1"/>
  <c r="B29" i="3"/>
  <c r="B91" i="3" s="1"/>
  <c r="A29" i="3"/>
  <c r="A91" i="3" s="1"/>
  <c r="FQ28" i="3"/>
  <c r="FP28" i="3"/>
  <c r="FO28" i="3"/>
  <c r="FN28" i="3"/>
  <c r="FM28" i="3"/>
  <c r="FL28" i="3"/>
  <c r="FK28" i="3"/>
  <c r="FJ28" i="3"/>
  <c r="FI28" i="3"/>
  <c r="FH28" i="3"/>
  <c r="FG28" i="3"/>
  <c r="FF28" i="3"/>
  <c r="FE28" i="3"/>
  <c r="FD28" i="3"/>
  <c r="FC28" i="3"/>
  <c r="FB28" i="3"/>
  <c r="FA28" i="3"/>
  <c r="EZ28" i="3"/>
  <c r="EY28" i="3"/>
  <c r="EX28" i="3"/>
  <c r="EW28" i="3"/>
  <c r="EV28" i="3"/>
  <c r="EU28" i="3"/>
  <c r="ET28" i="3"/>
  <c r="ES28" i="3"/>
  <c r="ER28" i="3"/>
  <c r="EQ28" i="3"/>
  <c r="EP28" i="3"/>
  <c r="EO28" i="3"/>
  <c r="EN28" i="3"/>
  <c r="EM28" i="3"/>
  <c r="EL28" i="3"/>
  <c r="EK28" i="3"/>
  <c r="EJ28" i="3"/>
  <c r="EI28" i="3"/>
  <c r="EH28" i="3"/>
  <c r="EG28" i="3"/>
  <c r="EF28" i="3"/>
  <c r="EE28" i="3"/>
  <c r="ED28" i="3"/>
  <c r="EC28" i="3"/>
  <c r="EB28" i="3"/>
  <c r="EA28" i="3"/>
  <c r="DZ28" i="3"/>
  <c r="DY28" i="3"/>
  <c r="DX28" i="3"/>
  <c r="DW28" i="3"/>
  <c r="DV28" i="3"/>
  <c r="DU28" i="3"/>
  <c r="DT28" i="3"/>
  <c r="DS28" i="3"/>
  <c r="DR28" i="3"/>
  <c r="DQ28" i="3"/>
  <c r="DP28" i="3"/>
  <c r="DO28" i="3"/>
  <c r="DN28" i="3"/>
  <c r="DM28" i="3"/>
  <c r="DL28" i="3"/>
  <c r="DK28" i="3"/>
  <c r="DJ28" i="3"/>
  <c r="DI28" i="3"/>
  <c r="DH28" i="3"/>
  <c r="DG28" i="3"/>
  <c r="DF28" i="3"/>
  <c r="DE28" i="3"/>
  <c r="DD28" i="3"/>
  <c r="DC28" i="3"/>
  <c r="DB28" i="3"/>
  <c r="DA28" i="3"/>
  <c r="CZ28" i="3"/>
  <c r="CY28" i="3"/>
  <c r="CX28" i="3"/>
  <c r="CW28" i="3"/>
  <c r="CV28" i="3"/>
  <c r="CU28" i="3"/>
  <c r="CT28" i="3"/>
  <c r="CS28" i="3"/>
  <c r="CR28" i="3"/>
  <c r="CQ28" i="3"/>
  <c r="CP28" i="3"/>
  <c r="CO28" i="3"/>
  <c r="CN28" i="3"/>
  <c r="CM28" i="3"/>
  <c r="CL28" i="3"/>
  <c r="E28" i="3"/>
  <c r="E90" i="3" s="1"/>
  <c r="D28" i="3"/>
  <c r="D90" i="3" s="1"/>
  <c r="C28" i="3"/>
  <c r="C90" i="3" s="1"/>
  <c r="B28" i="3"/>
  <c r="B90" i="3" s="1"/>
  <c r="A28" i="3"/>
  <c r="A90" i="3" s="1"/>
  <c r="FQ27" i="3"/>
  <c r="FP27" i="3"/>
  <c r="FO27" i="3"/>
  <c r="FN27" i="3"/>
  <c r="FM27" i="3"/>
  <c r="FL27" i="3"/>
  <c r="FK27" i="3"/>
  <c r="FJ27" i="3"/>
  <c r="FI27" i="3"/>
  <c r="FH27" i="3"/>
  <c r="FG27" i="3"/>
  <c r="FF27" i="3"/>
  <c r="FE27" i="3"/>
  <c r="FD27" i="3"/>
  <c r="FC27" i="3"/>
  <c r="FB27" i="3"/>
  <c r="FA27" i="3"/>
  <c r="EZ27" i="3"/>
  <c r="EY27" i="3"/>
  <c r="EX27" i="3"/>
  <c r="EW27" i="3"/>
  <c r="EV27" i="3"/>
  <c r="EU27" i="3"/>
  <c r="ET27" i="3"/>
  <c r="ES27" i="3"/>
  <c r="ER27" i="3"/>
  <c r="EQ27" i="3"/>
  <c r="EP27" i="3"/>
  <c r="EO27" i="3"/>
  <c r="EN27" i="3"/>
  <c r="EM27" i="3"/>
  <c r="EL27" i="3"/>
  <c r="EK27" i="3"/>
  <c r="EJ27" i="3"/>
  <c r="EI27" i="3"/>
  <c r="EH27" i="3"/>
  <c r="EG27" i="3"/>
  <c r="EF27" i="3"/>
  <c r="EE27" i="3"/>
  <c r="ED27" i="3"/>
  <c r="EC27" i="3"/>
  <c r="EB27" i="3"/>
  <c r="EA27" i="3"/>
  <c r="DZ27" i="3"/>
  <c r="DY27" i="3"/>
  <c r="DX27" i="3"/>
  <c r="DW27" i="3"/>
  <c r="DV27" i="3"/>
  <c r="DU27" i="3"/>
  <c r="DT27" i="3"/>
  <c r="DS27" i="3"/>
  <c r="DR27" i="3"/>
  <c r="DQ27" i="3"/>
  <c r="DP27" i="3"/>
  <c r="DO27" i="3"/>
  <c r="DN27" i="3"/>
  <c r="DM27" i="3"/>
  <c r="DL27" i="3"/>
  <c r="DK27" i="3"/>
  <c r="DJ27" i="3"/>
  <c r="DI27" i="3"/>
  <c r="DH27" i="3"/>
  <c r="DG27" i="3"/>
  <c r="DF27" i="3"/>
  <c r="DE27" i="3"/>
  <c r="DD27" i="3"/>
  <c r="DC27" i="3"/>
  <c r="DB27" i="3"/>
  <c r="DA27" i="3"/>
  <c r="CZ27" i="3"/>
  <c r="CY27" i="3"/>
  <c r="CX27" i="3"/>
  <c r="CW27" i="3"/>
  <c r="CV27" i="3"/>
  <c r="CU27" i="3"/>
  <c r="CT27" i="3"/>
  <c r="CS27" i="3"/>
  <c r="CR27" i="3"/>
  <c r="CQ27" i="3"/>
  <c r="CP27" i="3"/>
  <c r="CO27" i="3"/>
  <c r="CN27" i="3"/>
  <c r="CM27" i="3"/>
  <c r="CL27" i="3"/>
  <c r="E27" i="3"/>
  <c r="B27" i="3"/>
  <c r="A27" i="3"/>
  <c r="FQ26" i="3"/>
  <c r="FP26" i="3"/>
  <c r="FO26" i="3"/>
  <c r="FN26" i="3"/>
  <c r="FM26" i="3"/>
  <c r="FL26" i="3"/>
  <c r="FK26" i="3"/>
  <c r="FJ26" i="3"/>
  <c r="FI26" i="3"/>
  <c r="FH26" i="3"/>
  <c r="FG26" i="3"/>
  <c r="FF26" i="3"/>
  <c r="FE26" i="3"/>
  <c r="FD26" i="3"/>
  <c r="FC26" i="3"/>
  <c r="FB26" i="3"/>
  <c r="FA26" i="3"/>
  <c r="EZ26" i="3"/>
  <c r="EY26" i="3"/>
  <c r="EX26" i="3"/>
  <c r="EW26" i="3"/>
  <c r="EV26" i="3"/>
  <c r="EU26" i="3"/>
  <c r="ET26" i="3"/>
  <c r="ES26" i="3"/>
  <c r="ER26" i="3"/>
  <c r="EQ26" i="3"/>
  <c r="EP26" i="3"/>
  <c r="EO26" i="3"/>
  <c r="EN26" i="3"/>
  <c r="EM26" i="3"/>
  <c r="EL26" i="3"/>
  <c r="EK26" i="3"/>
  <c r="EJ26" i="3"/>
  <c r="EI26" i="3"/>
  <c r="EH26" i="3"/>
  <c r="EG26" i="3"/>
  <c r="EF26" i="3"/>
  <c r="EE26" i="3"/>
  <c r="ED26" i="3"/>
  <c r="EC26" i="3"/>
  <c r="EB26" i="3"/>
  <c r="EA26" i="3"/>
  <c r="DZ26" i="3"/>
  <c r="DY26" i="3"/>
  <c r="DX26" i="3"/>
  <c r="DW26" i="3"/>
  <c r="DV26" i="3"/>
  <c r="DU26" i="3"/>
  <c r="DT26" i="3"/>
  <c r="DS26" i="3"/>
  <c r="DR26" i="3"/>
  <c r="DQ26" i="3"/>
  <c r="DP26" i="3"/>
  <c r="DO26" i="3"/>
  <c r="DN26" i="3"/>
  <c r="DM26" i="3"/>
  <c r="DL26" i="3"/>
  <c r="DK26" i="3"/>
  <c r="DJ26" i="3"/>
  <c r="DI26" i="3"/>
  <c r="DH26" i="3"/>
  <c r="DG26" i="3"/>
  <c r="DF26" i="3"/>
  <c r="DE26" i="3"/>
  <c r="DD26" i="3"/>
  <c r="DC26" i="3"/>
  <c r="DB26" i="3"/>
  <c r="DA26" i="3"/>
  <c r="CZ26" i="3"/>
  <c r="CY26" i="3"/>
  <c r="CX26" i="3"/>
  <c r="CW26" i="3"/>
  <c r="CV26" i="3"/>
  <c r="CU26" i="3"/>
  <c r="CT26" i="3"/>
  <c r="CS26" i="3"/>
  <c r="CR26" i="3"/>
  <c r="CQ26" i="3"/>
  <c r="CP26" i="3"/>
  <c r="CO26" i="3"/>
  <c r="CN26" i="3"/>
  <c r="CM26" i="3"/>
  <c r="CL26" i="3"/>
  <c r="E26" i="3"/>
  <c r="E89" i="3" s="1"/>
  <c r="D26" i="3"/>
  <c r="D89" i="3" s="1"/>
  <c r="C26" i="3"/>
  <c r="C89" i="3" s="1"/>
  <c r="B26" i="3"/>
  <c r="B89" i="3" s="1"/>
  <c r="A26" i="3"/>
  <c r="A89" i="3" s="1"/>
  <c r="FQ25" i="3"/>
  <c r="FP25" i="3"/>
  <c r="FO25" i="3"/>
  <c r="FN25" i="3"/>
  <c r="FM25" i="3"/>
  <c r="FL25" i="3"/>
  <c r="FK25" i="3"/>
  <c r="FJ25" i="3"/>
  <c r="FI25" i="3"/>
  <c r="FH25" i="3"/>
  <c r="FG25" i="3"/>
  <c r="FF25" i="3"/>
  <c r="FE25" i="3"/>
  <c r="FD25" i="3"/>
  <c r="FC25" i="3"/>
  <c r="FB25" i="3"/>
  <c r="FA25" i="3"/>
  <c r="EZ25" i="3"/>
  <c r="EY25" i="3"/>
  <c r="EX25" i="3"/>
  <c r="EW25" i="3"/>
  <c r="EV25" i="3"/>
  <c r="EU25" i="3"/>
  <c r="ET25" i="3"/>
  <c r="ES25" i="3"/>
  <c r="ER25" i="3"/>
  <c r="EQ25" i="3"/>
  <c r="EP25" i="3"/>
  <c r="EO25" i="3"/>
  <c r="EN25" i="3"/>
  <c r="EM25" i="3"/>
  <c r="EL25" i="3"/>
  <c r="EK25" i="3"/>
  <c r="EJ25" i="3"/>
  <c r="EI25" i="3"/>
  <c r="EH25" i="3"/>
  <c r="EG25" i="3"/>
  <c r="EF25" i="3"/>
  <c r="EE25" i="3"/>
  <c r="ED25" i="3"/>
  <c r="EC25" i="3"/>
  <c r="EB25" i="3"/>
  <c r="EA25" i="3"/>
  <c r="DZ25" i="3"/>
  <c r="DY25" i="3"/>
  <c r="DX25" i="3"/>
  <c r="DW25" i="3"/>
  <c r="DV25" i="3"/>
  <c r="DU25" i="3"/>
  <c r="DT25" i="3"/>
  <c r="DS25" i="3"/>
  <c r="DR25" i="3"/>
  <c r="DQ25" i="3"/>
  <c r="DP25" i="3"/>
  <c r="DO25" i="3"/>
  <c r="DN25" i="3"/>
  <c r="DM25" i="3"/>
  <c r="DL25" i="3"/>
  <c r="DK25" i="3"/>
  <c r="DJ25" i="3"/>
  <c r="DI25" i="3"/>
  <c r="DH25" i="3"/>
  <c r="DG25" i="3"/>
  <c r="DF25" i="3"/>
  <c r="DE25" i="3"/>
  <c r="DD25" i="3"/>
  <c r="DC25" i="3"/>
  <c r="DB25" i="3"/>
  <c r="DA25" i="3"/>
  <c r="CZ25" i="3"/>
  <c r="CY25" i="3"/>
  <c r="CX25" i="3"/>
  <c r="CW25" i="3"/>
  <c r="CV25" i="3"/>
  <c r="CU25" i="3"/>
  <c r="CT25" i="3"/>
  <c r="CS25" i="3"/>
  <c r="CR25" i="3"/>
  <c r="CQ25" i="3"/>
  <c r="CP25" i="3"/>
  <c r="CO25" i="3"/>
  <c r="CN25" i="3"/>
  <c r="CM25" i="3"/>
  <c r="CL25" i="3"/>
  <c r="E25" i="3"/>
  <c r="E88" i="3" s="1"/>
  <c r="D25" i="3"/>
  <c r="D88" i="3" s="1"/>
  <c r="C25" i="3"/>
  <c r="C88" i="3" s="1"/>
  <c r="B25" i="3"/>
  <c r="B88" i="3" s="1"/>
  <c r="A25" i="3"/>
  <c r="A88" i="3" s="1"/>
  <c r="FQ24" i="3"/>
  <c r="FP24" i="3"/>
  <c r="FO24" i="3"/>
  <c r="FN24" i="3"/>
  <c r="FM24" i="3"/>
  <c r="FL24" i="3"/>
  <c r="FK24" i="3"/>
  <c r="FJ24" i="3"/>
  <c r="FI24" i="3"/>
  <c r="FH24" i="3"/>
  <c r="FG24" i="3"/>
  <c r="FF24" i="3"/>
  <c r="FE24" i="3"/>
  <c r="FD24" i="3"/>
  <c r="FC24" i="3"/>
  <c r="FB24" i="3"/>
  <c r="FA24" i="3"/>
  <c r="EZ24" i="3"/>
  <c r="EY24" i="3"/>
  <c r="EX24" i="3"/>
  <c r="EW24" i="3"/>
  <c r="EV24" i="3"/>
  <c r="EU24" i="3"/>
  <c r="ET24" i="3"/>
  <c r="ES24" i="3"/>
  <c r="ER24" i="3"/>
  <c r="EQ24" i="3"/>
  <c r="EP24" i="3"/>
  <c r="EO24" i="3"/>
  <c r="EN24" i="3"/>
  <c r="EM24" i="3"/>
  <c r="EL24" i="3"/>
  <c r="EK24" i="3"/>
  <c r="EJ24" i="3"/>
  <c r="EI24" i="3"/>
  <c r="EH24" i="3"/>
  <c r="EG24" i="3"/>
  <c r="EF24" i="3"/>
  <c r="EE24" i="3"/>
  <c r="ED24" i="3"/>
  <c r="EC24" i="3"/>
  <c r="EB24" i="3"/>
  <c r="EA24" i="3"/>
  <c r="DZ24" i="3"/>
  <c r="DY24" i="3"/>
  <c r="DX24" i="3"/>
  <c r="DW24" i="3"/>
  <c r="DV24" i="3"/>
  <c r="DU24" i="3"/>
  <c r="DT24" i="3"/>
  <c r="DS24" i="3"/>
  <c r="DR24" i="3"/>
  <c r="DQ24" i="3"/>
  <c r="DP24" i="3"/>
  <c r="DO24" i="3"/>
  <c r="DN24" i="3"/>
  <c r="DM24" i="3"/>
  <c r="DL24" i="3"/>
  <c r="DK24" i="3"/>
  <c r="DJ24" i="3"/>
  <c r="DI24" i="3"/>
  <c r="DH24" i="3"/>
  <c r="DG24" i="3"/>
  <c r="DF24" i="3"/>
  <c r="DE24" i="3"/>
  <c r="DD24" i="3"/>
  <c r="DC24" i="3"/>
  <c r="DB24" i="3"/>
  <c r="DA24" i="3"/>
  <c r="CZ24" i="3"/>
  <c r="CY24" i="3"/>
  <c r="CX24" i="3"/>
  <c r="CW24" i="3"/>
  <c r="CV24" i="3"/>
  <c r="CU24" i="3"/>
  <c r="CT24" i="3"/>
  <c r="CS24" i="3"/>
  <c r="CR24" i="3"/>
  <c r="CQ24" i="3"/>
  <c r="CP24" i="3"/>
  <c r="CO24" i="3"/>
  <c r="CN24" i="3"/>
  <c r="CM24" i="3"/>
  <c r="CL24" i="3"/>
  <c r="E24" i="3"/>
  <c r="E87" i="3" s="1"/>
  <c r="D24" i="3"/>
  <c r="D87" i="3" s="1"/>
  <c r="C24" i="3"/>
  <c r="C87" i="3" s="1"/>
  <c r="B24" i="3"/>
  <c r="B87" i="3" s="1"/>
  <c r="A24" i="3"/>
  <c r="A87" i="3" s="1"/>
  <c r="FQ23" i="3"/>
  <c r="FP23" i="3"/>
  <c r="FO23" i="3"/>
  <c r="FN23" i="3"/>
  <c r="FM23" i="3"/>
  <c r="FL23" i="3"/>
  <c r="FK23" i="3"/>
  <c r="FJ23" i="3"/>
  <c r="FI23" i="3"/>
  <c r="FH23" i="3"/>
  <c r="FG23" i="3"/>
  <c r="FF23" i="3"/>
  <c r="FE23" i="3"/>
  <c r="FD23" i="3"/>
  <c r="FC23" i="3"/>
  <c r="FB23" i="3"/>
  <c r="FA23" i="3"/>
  <c r="EZ23" i="3"/>
  <c r="EY23" i="3"/>
  <c r="EX23" i="3"/>
  <c r="EW23" i="3"/>
  <c r="EV23" i="3"/>
  <c r="EU23" i="3"/>
  <c r="ET23" i="3"/>
  <c r="ES23" i="3"/>
  <c r="ER23" i="3"/>
  <c r="EQ23" i="3"/>
  <c r="EP23" i="3"/>
  <c r="EO23" i="3"/>
  <c r="EN23" i="3"/>
  <c r="EM23" i="3"/>
  <c r="EL23" i="3"/>
  <c r="EK23" i="3"/>
  <c r="EJ23" i="3"/>
  <c r="EI23" i="3"/>
  <c r="EH23" i="3"/>
  <c r="EG23" i="3"/>
  <c r="EF23" i="3"/>
  <c r="EE23" i="3"/>
  <c r="ED23" i="3"/>
  <c r="EC23" i="3"/>
  <c r="EB23" i="3"/>
  <c r="EA23" i="3"/>
  <c r="DZ23" i="3"/>
  <c r="DY23" i="3"/>
  <c r="DX23" i="3"/>
  <c r="DW23" i="3"/>
  <c r="DV23" i="3"/>
  <c r="DU23" i="3"/>
  <c r="DT23" i="3"/>
  <c r="DS23" i="3"/>
  <c r="DR23" i="3"/>
  <c r="DQ23" i="3"/>
  <c r="DP23" i="3"/>
  <c r="DO23" i="3"/>
  <c r="DN23" i="3"/>
  <c r="DM23" i="3"/>
  <c r="DL23" i="3"/>
  <c r="DK23" i="3"/>
  <c r="DJ23" i="3"/>
  <c r="DI23" i="3"/>
  <c r="DH23" i="3"/>
  <c r="DG23" i="3"/>
  <c r="DF23" i="3"/>
  <c r="DE23" i="3"/>
  <c r="DD23" i="3"/>
  <c r="DC23" i="3"/>
  <c r="DB23" i="3"/>
  <c r="DA23" i="3"/>
  <c r="CZ23" i="3"/>
  <c r="CY23" i="3"/>
  <c r="CX23" i="3"/>
  <c r="CW23" i="3"/>
  <c r="CV23" i="3"/>
  <c r="CU23" i="3"/>
  <c r="CT23" i="3"/>
  <c r="CS23" i="3"/>
  <c r="CR23" i="3"/>
  <c r="CQ23" i="3"/>
  <c r="CP23" i="3"/>
  <c r="CO23" i="3"/>
  <c r="CN23" i="3"/>
  <c r="CM23" i="3"/>
  <c r="CL23" i="3"/>
  <c r="E23" i="3"/>
  <c r="B23" i="3"/>
  <c r="A23" i="3"/>
  <c r="FQ22" i="3"/>
  <c r="FP22" i="3"/>
  <c r="FO22" i="3"/>
  <c r="FN22" i="3"/>
  <c r="FM22" i="3"/>
  <c r="FL22" i="3"/>
  <c r="FK22" i="3"/>
  <c r="FJ22" i="3"/>
  <c r="FI22" i="3"/>
  <c r="FH22" i="3"/>
  <c r="FG22" i="3"/>
  <c r="FF22" i="3"/>
  <c r="FE22" i="3"/>
  <c r="FD22" i="3"/>
  <c r="FC22" i="3"/>
  <c r="FB22" i="3"/>
  <c r="FA22" i="3"/>
  <c r="EZ22" i="3"/>
  <c r="EY22" i="3"/>
  <c r="EX22" i="3"/>
  <c r="EW22" i="3"/>
  <c r="EV22" i="3"/>
  <c r="EU22" i="3"/>
  <c r="ET22" i="3"/>
  <c r="ES22" i="3"/>
  <c r="ER22" i="3"/>
  <c r="EQ22" i="3"/>
  <c r="EP22" i="3"/>
  <c r="EO22" i="3"/>
  <c r="EN22" i="3"/>
  <c r="EM22" i="3"/>
  <c r="EL22" i="3"/>
  <c r="EK22" i="3"/>
  <c r="EJ22" i="3"/>
  <c r="EI22" i="3"/>
  <c r="EH22" i="3"/>
  <c r="EG22" i="3"/>
  <c r="EF22" i="3"/>
  <c r="EE22" i="3"/>
  <c r="ED22" i="3"/>
  <c r="EC22" i="3"/>
  <c r="EB22" i="3"/>
  <c r="EA22" i="3"/>
  <c r="DZ22" i="3"/>
  <c r="DY22" i="3"/>
  <c r="DX22" i="3"/>
  <c r="DW22" i="3"/>
  <c r="DV22" i="3"/>
  <c r="DU22" i="3"/>
  <c r="DT22" i="3"/>
  <c r="DS22" i="3"/>
  <c r="DR22" i="3"/>
  <c r="DQ22" i="3"/>
  <c r="DP22" i="3"/>
  <c r="DO22" i="3"/>
  <c r="DN22" i="3"/>
  <c r="DM22" i="3"/>
  <c r="DL22" i="3"/>
  <c r="DK22" i="3"/>
  <c r="DJ22" i="3"/>
  <c r="DI22" i="3"/>
  <c r="DH22" i="3"/>
  <c r="DG22" i="3"/>
  <c r="DF22" i="3"/>
  <c r="DE22" i="3"/>
  <c r="DD22" i="3"/>
  <c r="DC22" i="3"/>
  <c r="DB22" i="3"/>
  <c r="DA22" i="3"/>
  <c r="CZ22" i="3"/>
  <c r="CY22" i="3"/>
  <c r="CX22" i="3"/>
  <c r="CW22" i="3"/>
  <c r="CV22" i="3"/>
  <c r="CU22" i="3"/>
  <c r="CT22" i="3"/>
  <c r="CS22" i="3"/>
  <c r="CR22" i="3"/>
  <c r="CQ22" i="3"/>
  <c r="CP22" i="3"/>
  <c r="CO22" i="3"/>
  <c r="CN22" i="3"/>
  <c r="CM22" i="3"/>
  <c r="CL22" i="3"/>
  <c r="E22" i="3"/>
  <c r="B22" i="3"/>
  <c r="A22" i="3"/>
  <c r="FQ21" i="3"/>
  <c r="FP21" i="3"/>
  <c r="FO21" i="3"/>
  <c r="FN21" i="3"/>
  <c r="FM21" i="3"/>
  <c r="FL21" i="3"/>
  <c r="FK21" i="3"/>
  <c r="FJ21" i="3"/>
  <c r="FI21" i="3"/>
  <c r="FH21" i="3"/>
  <c r="FG21" i="3"/>
  <c r="FF21" i="3"/>
  <c r="FE21" i="3"/>
  <c r="FD21" i="3"/>
  <c r="FC21" i="3"/>
  <c r="FB21" i="3"/>
  <c r="FA21" i="3"/>
  <c r="EZ21" i="3"/>
  <c r="EY21" i="3"/>
  <c r="EX21" i="3"/>
  <c r="EW21" i="3"/>
  <c r="EV21" i="3"/>
  <c r="EU21" i="3"/>
  <c r="ET21" i="3"/>
  <c r="ES21" i="3"/>
  <c r="ER21" i="3"/>
  <c r="EQ21" i="3"/>
  <c r="EP21" i="3"/>
  <c r="EO21" i="3"/>
  <c r="EN21" i="3"/>
  <c r="EM21" i="3"/>
  <c r="EL21" i="3"/>
  <c r="EK21" i="3"/>
  <c r="EJ21" i="3"/>
  <c r="EI21" i="3"/>
  <c r="EH21" i="3"/>
  <c r="EG21" i="3"/>
  <c r="EF21" i="3"/>
  <c r="EE21" i="3"/>
  <c r="ED21" i="3"/>
  <c r="EC21" i="3"/>
  <c r="EB21" i="3"/>
  <c r="EA21" i="3"/>
  <c r="DZ21" i="3"/>
  <c r="DY21" i="3"/>
  <c r="DX21" i="3"/>
  <c r="DW21" i="3"/>
  <c r="DV21" i="3"/>
  <c r="DU21" i="3"/>
  <c r="DT21" i="3"/>
  <c r="DS21" i="3"/>
  <c r="DR21" i="3"/>
  <c r="DQ21" i="3"/>
  <c r="DP21" i="3"/>
  <c r="DO21" i="3"/>
  <c r="DN21" i="3"/>
  <c r="DM21" i="3"/>
  <c r="DL21" i="3"/>
  <c r="DK21" i="3"/>
  <c r="DJ21" i="3"/>
  <c r="DI21" i="3"/>
  <c r="DH21" i="3"/>
  <c r="DG21" i="3"/>
  <c r="DF21" i="3"/>
  <c r="DE21" i="3"/>
  <c r="DD21" i="3"/>
  <c r="DC21" i="3"/>
  <c r="DB21" i="3"/>
  <c r="DA21" i="3"/>
  <c r="CZ21" i="3"/>
  <c r="CY21" i="3"/>
  <c r="CX21" i="3"/>
  <c r="CW21" i="3"/>
  <c r="CV21" i="3"/>
  <c r="CU21" i="3"/>
  <c r="CT21" i="3"/>
  <c r="CS21" i="3"/>
  <c r="CR21" i="3"/>
  <c r="CQ21" i="3"/>
  <c r="CP21" i="3"/>
  <c r="CO21" i="3"/>
  <c r="CN21" i="3"/>
  <c r="CM21" i="3"/>
  <c r="CL21" i="3"/>
  <c r="E21" i="3"/>
  <c r="E86" i="3" s="1"/>
  <c r="D21" i="3"/>
  <c r="D86" i="3" s="1"/>
  <c r="C21" i="3"/>
  <c r="C86" i="3" s="1"/>
  <c r="B21" i="3"/>
  <c r="B86" i="3" s="1"/>
  <c r="A21" i="3"/>
  <c r="A86" i="3" s="1"/>
  <c r="FQ20" i="3"/>
  <c r="FP20" i="3"/>
  <c r="FO20" i="3"/>
  <c r="FN20" i="3"/>
  <c r="FM20" i="3"/>
  <c r="FL20" i="3"/>
  <c r="FK20" i="3"/>
  <c r="FJ20" i="3"/>
  <c r="FI20" i="3"/>
  <c r="FH20" i="3"/>
  <c r="FG20" i="3"/>
  <c r="FF20" i="3"/>
  <c r="FE20" i="3"/>
  <c r="FD20" i="3"/>
  <c r="FC20" i="3"/>
  <c r="FB20" i="3"/>
  <c r="FA20" i="3"/>
  <c r="EZ20" i="3"/>
  <c r="EY20" i="3"/>
  <c r="EX20" i="3"/>
  <c r="EW20" i="3"/>
  <c r="EV20" i="3"/>
  <c r="EU20" i="3"/>
  <c r="ET20" i="3"/>
  <c r="ES20" i="3"/>
  <c r="ER20" i="3"/>
  <c r="EQ20" i="3"/>
  <c r="EP20" i="3"/>
  <c r="EO20" i="3"/>
  <c r="EN20" i="3"/>
  <c r="EM20" i="3"/>
  <c r="EL20" i="3"/>
  <c r="EK20" i="3"/>
  <c r="EJ20" i="3"/>
  <c r="EI20" i="3"/>
  <c r="EH20" i="3"/>
  <c r="EG20" i="3"/>
  <c r="EF20" i="3"/>
  <c r="EE20" i="3"/>
  <c r="ED20" i="3"/>
  <c r="EC20" i="3"/>
  <c r="EB20" i="3"/>
  <c r="EA20" i="3"/>
  <c r="DZ20" i="3"/>
  <c r="DY20" i="3"/>
  <c r="DX20" i="3"/>
  <c r="DW20" i="3"/>
  <c r="DV20" i="3"/>
  <c r="DU20" i="3"/>
  <c r="DT20" i="3"/>
  <c r="DS20" i="3"/>
  <c r="DR20" i="3"/>
  <c r="DQ20" i="3"/>
  <c r="DP20" i="3"/>
  <c r="DO20" i="3"/>
  <c r="DN20" i="3"/>
  <c r="DM20" i="3"/>
  <c r="DL20" i="3"/>
  <c r="DK20" i="3"/>
  <c r="DJ20" i="3"/>
  <c r="DI20" i="3"/>
  <c r="DH20" i="3"/>
  <c r="DG20" i="3"/>
  <c r="DF20" i="3"/>
  <c r="DE20" i="3"/>
  <c r="DD20" i="3"/>
  <c r="DC20" i="3"/>
  <c r="DB20" i="3"/>
  <c r="DA20" i="3"/>
  <c r="CZ20" i="3"/>
  <c r="CY20" i="3"/>
  <c r="CX20" i="3"/>
  <c r="CW20" i="3"/>
  <c r="CV20" i="3"/>
  <c r="CU20" i="3"/>
  <c r="CT20" i="3"/>
  <c r="CS20" i="3"/>
  <c r="CR20" i="3"/>
  <c r="CQ20" i="3"/>
  <c r="CP20" i="3"/>
  <c r="CO20" i="3"/>
  <c r="CN20" i="3"/>
  <c r="CM20" i="3"/>
  <c r="CL20" i="3"/>
  <c r="E20" i="3"/>
  <c r="B20" i="3"/>
  <c r="A20" i="3"/>
  <c r="FQ19" i="3"/>
  <c r="FP19" i="3"/>
  <c r="FO19" i="3"/>
  <c r="FN19" i="3"/>
  <c r="FM19" i="3"/>
  <c r="FL19" i="3"/>
  <c r="FK19" i="3"/>
  <c r="FJ19" i="3"/>
  <c r="FI19" i="3"/>
  <c r="FH19" i="3"/>
  <c r="FG19" i="3"/>
  <c r="FF19" i="3"/>
  <c r="FE19" i="3"/>
  <c r="FD19" i="3"/>
  <c r="FC19" i="3"/>
  <c r="FB19" i="3"/>
  <c r="FA19" i="3"/>
  <c r="EZ19" i="3"/>
  <c r="EY19" i="3"/>
  <c r="EX19" i="3"/>
  <c r="EW19" i="3"/>
  <c r="EV19" i="3"/>
  <c r="EU19" i="3"/>
  <c r="ET19" i="3"/>
  <c r="ES19" i="3"/>
  <c r="ER19" i="3"/>
  <c r="EQ19" i="3"/>
  <c r="EP19" i="3"/>
  <c r="EO19" i="3"/>
  <c r="EN19" i="3"/>
  <c r="EM19" i="3"/>
  <c r="EL19" i="3"/>
  <c r="EK19" i="3"/>
  <c r="EJ19" i="3"/>
  <c r="EI19" i="3"/>
  <c r="EH19" i="3"/>
  <c r="EG19" i="3"/>
  <c r="EF19" i="3"/>
  <c r="EE19" i="3"/>
  <c r="ED19" i="3"/>
  <c r="EC19" i="3"/>
  <c r="EB19" i="3"/>
  <c r="EA19" i="3"/>
  <c r="DZ19" i="3"/>
  <c r="DY19" i="3"/>
  <c r="DX19" i="3"/>
  <c r="DW19" i="3"/>
  <c r="DV19" i="3"/>
  <c r="DU19" i="3"/>
  <c r="DT19" i="3"/>
  <c r="DS19" i="3"/>
  <c r="DR19" i="3"/>
  <c r="DQ19" i="3"/>
  <c r="DP19" i="3"/>
  <c r="DO19" i="3"/>
  <c r="DN19" i="3"/>
  <c r="DM19" i="3"/>
  <c r="DL19" i="3"/>
  <c r="DK19" i="3"/>
  <c r="DJ19" i="3"/>
  <c r="DI19" i="3"/>
  <c r="DH19" i="3"/>
  <c r="DG19" i="3"/>
  <c r="DF19" i="3"/>
  <c r="DE19" i="3"/>
  <c r="DD19" i="3"/>
  <c r="DC19" i="3"/>
  <c r="DB19" i="3"/>
  <c r="DA19" i="3"/>
  <c r="CZ19" i="3"/>
  <c r="CY19" i="3"/>
  <c r="CX19" i="3"/>
  <c r="CW19" i="3"/>
  <c r="CV19" i="3"/>
  <c r="CU19" i="3"/>
  <c r="CT19" i="3"/>
  <c r="CS19" i="3"/>
  <c r="CR19" i="3"/>
  <c r="CQ19" i="3"/>
  <c r="CP19" i="3"/>
  <c r="CO19" i="3"/>
  <c r="CN19" i="3"/>
  <c r="CM19" i="3"/>
  <c r="CL19" i="3"/>
  <c r="E19" i="3"/>
  <c r="B19" i="3"/>
  <c r="A19" i="3"/>
  <c r="FQ18" i="3"/>
  <c r="FP18" i="3"/>
  <c r="FO18" i="3"/>
  <c r="FN18" i="3"/>
  <c r="FM18" i="3"/>
  <c r="FL18" i="3"/>
  <c r="FK18" i="3"/>
  <c r="FJ18" i="3"/>
  <c r="FI18" i="3"/>
  <c r="FH18" i="3"/>
  <c r="FG18" i="3"/>
  <c r="FF18" i="3"/>
  <c r="FE18" i="3"/>
  <c r="FD18" i="3"/>
  <c r="FC18" i="3"/>
  <c r="FB18" i="3"/>
  <c r="FA18" i="3"/>
  <c r="EZ18" i="3"/>
  <c r="EY18" i="3"/>
  <c r="EX18" i="3"/>
  <c r="EW18" i="3"/>
  <c r="EV18" i="3"/>
  <c r="EU18" i="3"/>
  <c r="ET18" i="3"/>
  <c r="ES18" i="3"/>
  <c r="ER18" i="3"/>
  <c r="EQ18" i="3"/>
  <c r="EP18" i="3"/>
  <c r="EO18" i="3"/>
  <c r="EN18" i="3"/>
  <c r="EM18" i="3"/>
  <c r="EL18" i="3"/>
  <c r="EK18" i="3"/>
  <c r="EJ18" i="3"/>
  <c r="EI18" i="3"/>
  <c r="EH18" i="3"/>
  <c r="EG18" i="3"/>
  <c r="EF18" i="3"/>
  <c r="EE18" i="3"/>
  <c r="ED18" i="3"/>
  <c r="EC18" i="3"/>
  <c r="EB18" i="3"/>
  <c r="EA18" i="3"/>
  <c r="DZ18" i="3"/>
  <c r="DY18" i="3"/>
  <c r="DX18" i="3"/>
  <c r="DW18" i="3"/>
  <c r="DV18" i="3"/>
  <c r="DU18" i="3"/>
  <c r="DT18" i="3"/>
  <c r="DS18" i="3"/>
  <c r="DR18" i="3"/>
  <c r="DQ18" i="3"/>
  <c r="DP18" i="3"/>
  <c r="DO18" i="3"/>
  <c r="DN18" i="3"/>
  <c r="DM18" i="3"/>
  <c r="DL18" i="3"/>
  <c r="DK18" i="3"/>
  <c r="DJ18" i="3"/>
  <c r="DI18" i="3"/>
  <c r="DH18" i="3"/>
  <c r="DG18" i="3"/>
  <c r="DF18" i="3"/>
  <c r="DE18" i="3"/>
  <c r="DD18" i="3"/>
  <c r="DC18" i="3"/>
  <c r="DB18" i="3"/>
  <c r="DA18" i="3"/>
  <c r="CZ18" i="3"/>
  <c r="CY18" i="3"/>
  <c r="CX18" i="3"/>
  <c r="CW18" i="3"/>
  <c r="CV18" i="3"/>
  <c r="CU18" i="3"/>
  <c r="CT18" i="3"/>
  <c r="CS18" i="3"/>
  <c r="CR18" i="3"/>
  <c r="CQ18" i="3"/>
  <c r="CP18" i="3"/>
  <c r="CO18" i="3"/>
  <c r="CN18" i="3"/>
  <c r="CM18" i="3"/>
  <c r="CL18" i="3"/>
  <c r="E18" i="3"/>
  <c r="B18" i="3"/>
  <c r="A18" i="3"/>
  <c r="FQ17" i="3"/>
  <c r="FP17" i="3"/>
  <c r="FO17" i="3"/>
  <c r="FN17" i="3"/>
  <c r="FM17" i="3"/>
  <c r="FL17" i="3"/>
  <c r="FK17" i="3"/>
  <c r="FJ17" i="3"/>
  <c r="FI17" i="3"/>
  <c r="FH17" i="3"/>
  <c r="FG17" i="3"/>
  <c r="FF17" i="3"/>
  <c r="FE17" i="3"/>
  <c r="FD17" i="3"/>
  <c r="FC17" i="3"/>
  <c r="FB17" i="3"/>
  <c r="FA17" i="3"/>
  <c r="EZ17" i="3"/>
  <c r="EY17" i="3"/>
  <c r="EX17" i="3"/>
  <c r="EW17" i="3"/>
  <c r="EV17" i="3"/>
  <c r="EU17" i="3"/>
  <c r="ET17" i="3"/>
  <c r="ES17" i="3"/>
  <c r="ER17" i="3"/>
  <c r="EQ17" i="3"/>
  <c r="EP17" i="3"/>
  <c r="EO17" i="3"/>
  <c r="EN17" i="3"/>
  <c r="EM17" i="3"/>
  <c r="EL17" i="3"/>
  <c r="EK17" i="3"/>
  <c r="EJ17" i="3"/>
  <c r="EI17" i="3"/>
  <c r="EH17" i="3"/>
  <c r="EG17" i="3"/>
  <c r="EF17" i="3"/>
  <c r="EE17" i="3"/>
  <c r="ED17" i="3"/>
  <c r="EC17" i="3"/>
  <c r="EB17" i="3"/>
  <c r="EA17" i="3"/>
  <c r="DZ17" i="3"/>
  <c r="DY17" i="3"/>
  <c r="DX17" i="3"/>
  <c r="DW17" i="3"/>
  <c r="DV17" i="3"/>
  <c r="DU17" i="3"/>
  <c r="DT17" i="3"/>
  <c r="DS17" i="3"/>
  <c r="DR17" i="3"/>
  <c r="DQ17" i="3"/>
  <c r="DP17" i="3"/>
  <c r="DO17" i="3"/>
  <c r="DN17" i="3"/>
  <c r="DM17" i="3"/>
  <c r="DL17" i="3"/>
  <c r="DK17" i="3"/>
  <c r="DJ17" i="3"/>
  <c r="DI17" i="3"/>
  <c r="DH17" i="3"/>
  <c r="DG17" i="3"/>
  <c r="DF17" i="3"/>
  <c r="DE17" i="3"/>
  <c r="DD17" i="3"/>
  <c r="DC17" i="3"/>
  <c r="DB17" i="3"/>
  <c r="DA17" i="3"/>
  <c r="CZ17" i="3"/>
  <c r="CY17" i="3"/>
  <c r="CX17" i="3"/>
  <c r="CW17" i="3"/>
  <c r="CV17" i="3"/>
  <c r="CU17" i="3"/>
  <c r="CT17" i="3"/>
  <c r="CS17" i="3"/>
  <c r="CR17" i="3"/>
  <c r="CQ17" i="3"/>
  <c r="CP17" i="3"/>
  <c r="CO17" i="3"/>
  <c r="CN17" i="3"/>
  <c r="CM17" i="3"/>
  <c r="CL17" i="3"/>
  <c r="E17" i="3"/>
  <c r="B17" i="3"/>
  <c r="A17" i="3"/>
  <c r="FQ16" i="3"/>
  <c r="FP16" i="3"/>
  <c r="FO16" i="3"/>
  <c r="FN16" i="3"/>
  <c r="FM16" i="3"/>
  <c r="FL16" i="3"/>
  <c r="FK16" i="3"/>
  <c r="FJ16" i="3"/>
  <c r="FI16" i="3"/>
  <c r="FH16" i="3"/>
  <c r="FG16" i="3"/>
  <c r="FF16" i="3"/>
  <c r="FE16" i="3"/>
  <c r="FD16" i="3"/>
  <c r="FC16" i="3"/>
  <c r="FB16" i="3"/>
  <c r="FA16" i="3"/>
  <c r="EZ16" i="3"/>
  <c r="EY16" i="3"/>
  <c r="EX16" i="3"/>
  <c r="EW16" i="3"/>
  <c r="EV16" i="3"/>
  <c r="EU16" i="3"/>
  <c r="ET16" i="3"/>
  <c r="ES16" i="3"/>
  <c r="ER16" i="3"/>
  <c r="EQ16" i="3"/>
  <c r="EP16" i="3"/>
  <c r="EO16" i="3"/>
  <c r="EN16" i="3"/>
  <c r="EM16" i="3"/>
  <c r="EL16" i="3"/>
  <c r="EK16" i="3"/>
  <c r="EJ16" i="3"/>
  <c r="EI16" i="3"/>
  <c r="EH16" i="3"/>
  <c r="EG16" i="3"/>
  <c r="EF16" i="3"/>
  <c r="EE16" i="3"/>
  <c r="ED16" i="3"/>
  <c r="EC16" i="3"/>
  <c r="EB16" i="3"/>
  <c r="EA16" i="3"/>
  <c r="DZ16" i="3"/>
  <c r="DY16" i="3"/>
  <c r="DX16" i="3"/>
  <c r="DW16" i="3"/>
  <c r="DV16" i="3"/>
  <c r="DU16" i="3"/>
  <c r="DT16" i="3"/>
  <c r="DS16" i="3"/>
  <c r="DR16" i="3"/>
  <c r="DQ16" i="3"/>
  <c r="DP16" i="3"/>
  <c r="DO16" i="3"/>
  <c r="DN16" i="3"/>
  <c r="DM16" i="3"/>
  <c r="DL16" i="3"/>
  <c r="DK16" i="3"/>
  <c r="DJ16" i="3"/>
  <c r="DI16" i="3"/>
  <c r="DH16" i="3"/>
  <c r="DG16" i="3"/>
  <c r="DF16" i="3"/>
  <c r="DE16" i="3"/>
  <c r="DD16" i="3"/>
  <c r="DC16" i="3"/>
  <c r="DB16" i="3"/>
  <c r="DA16" i="3"/>
  <c r="CZ16" i="3"/>
  <c r="CY16" i="3"/>
  <c r="CX16" i="3"/>
  <c r="CW16" i="3"/>
  <c r="CV16" i="3"/>
  <c r="CU16" i="3"/>
  <c r="CT16" i="3"/>
  <c r="CS16" i="3"/>
  <c r="CR16" i="3"/>
  <c r="CQ16" i="3"/>
  <c r="CP16" i="3"/>
  <c r="CO16" i="3"/>
  <c r="CN16" i="3"/>
  <c r="CM16" i="3"/>
  <c r="CL16" i="3"/>
  <c r="E16" i="3"/>
  <c r="B16" i="3"/>
  <c r="A16" i="3"/>
  <c r="FQ15" i="3"/>
  <c r="FP15" i="3"/>
  <c r="FO15" i="3"/>
  <c r="FN15" i="3"/>
  <c r="FM15" i="3"/>
  <c r="FL15" i="3"/>
  <c r="FK15" i="3"/>
  <c r="FJ15" i="3"/>
  <c r="FI15" i="3"/>
  <c r="FH15" i="3"/>
  <c r="FG15" i="3"/>
  <c r="FF15" i="3"/>
  <c r="FE15" i="3"/>
  <c r="FD15" i="3"/>
  <c r="FC15" i="3"/>
  <c r="FB15" i="3"/>
  <c r="FA15" i="3"/>
  <c r="EZ15" i="3"/>
  <c r="EY15" i="3"/>
  <c r="EX15" i="3"/>
  <c r="EW15" i="3"/>
  <c r="EV15" i="3"/>
  <c r="EU15" i="3"/>
  <c r="ET15" i="3"/>
  <c r="ES15" i="3"/>
  <c r="ER15" i="3"/>
  <c r="EQ15" i="3"/>
  <c r="EP15" i="3"/>
  <c r="EO15" i="3"/>
  <c r="EN15" i="3"/>
  <c r="EM15" i="3"/>
  <c r="EL15" i="3"/>
  <c r="EK15" i="3"/>
  <c r="EJ15" i="3"/>
  <c r="EI15" i="3"/>
  <c r="EH15" i="3"/>
  <c r="EG15" i="3"/>
  <c r="EF15" i="3"/>
  <c r="EE15" i="3"/>
  <c r="ED15" i="3"/>
  <c r="EC15" i="3"/>
  <c r="EB15" i="3"/>
  <c r="EA15" i="3"/>
  <c r="DZ15" i="3"/>
  <c r="DY15" i="3"/>
  <c r="DX15" i="3"/>
  <c r="DW15" i="3"/>
  <c r="DV15" i="3"/>
  <c r="DU15" i="3"/>
  <c r="DT15" i="3"/>
  <c r="DS15" i="3"/>
  <c r="DR15" i="3"/>
  <c r="DQ15" i="3"/>
  <c r="DP15" i="3"/>
  <c r="DO15" i="3"/>
  <c r="DN15" i="3"/>
  <c r="DM15" i="3"/>
  <c r="DL15" i="3"/>
  <c r="DK15" i="3"/>
  <c r="DJ15" i="3"/>
  <c r="DI15" i="3"/>
  <c r="DH15" i="3"/>
  <c r="DG15" i="3"/>
  <c r="DF15" i="3"/>
  <c r="DE15" i="3"/>
  <c r="DD15" i="3"/>
  <c r="DC15" i="3"/>
  <c r="DB15" i="3"/>
  <c r="DA15" i="3"/>
  <c r="CZ15" i="3"/>
  <c r="CY15" i="3"/>
  <c r="CX15" i="3"/>
  <c r="CW15" i="3"/>
  <c r="CV15" i="3"/>
  <c r="CU15" i="3"/>
  <c r="CT15" i="3"/>
  <c r="CS15" i="3"/>
  <c r="CR15" i="3"/>
  <c r="CQ15" i="3"/>
  <c r="CP15" i="3"/>
  <c r="CO15" i="3"/>
  <c r="CN15" i="3"/>
  <c r="CM15" i="3"/>
  <c r="CL15" i="3"/>
  <c r="E15" i="3"/>
  <c r="B15" i="3"/>
  <c r="A15" i="3"/>
  <c r="FQ14" i="3"/>
  <c r="FP14" i="3"/>
  <c r="FO14" i="3"/>
  <c r="FN14" i="3"/>
  <c r="FM14" i="3"/>
  <c r="FL14" i="3"/>
  <c r="FK14" i="3"/>
  <c r="FJ14" i="3"/>
  <c r="FI14" i="3"/>
  <c r="FH14" i="3"/>
  <c r="FG14" i="3"/>
  <c r="FF14" i="3"/>
  <c r="FE14" i="3"/>
  <c r="FD14" i="3"/>
  <c r="FC14" i="3"/>
  <c r="FB14" i="3"/>
  <c r="FA14" i="3"/>
  <c r="EZ14" i="3"/>
  <c r="EY14" i="3"/>
  <c r="EX14" i="3"/>
  <c r="EW14" i="3"/>
  <c r="EV14" i="3"/>
  <c r="EU14" i="3"/>
  <c r="ET14" i="3"/>
  <c r="ES14" i="3"/>
  <c r="ER14" i="3"/>
  <c r="EQ14" i="3"/>
  <c r="EP14" i="3"/>
  <c r="EO14" i="3"/>
  <c r="EN14" i="3"/>
  <c r="EM14" i="3"/>
  <c r="EL14" i="3"/>
  <c r="EK14" i="3"/>
  <c r="EJ14" i="3"/>
  <c r="EI14" i="3"/>
  <c r="EH14" i="3"/>
  <c r="EG14" i="3"/>
  <c r="EF14" i="3"/>
  <c r="EE14" i="3"/>
  <c r="ED14" i="3"/>
  <c r="EC14" i="3"/>
  <c r="EB14" i="3"/>
  <c r="EA14" i="3"/>
  <c r="DZ14" i="3"/>
  <c r="DY14" i="3"/>
  <c r="DX14" i="3"/>
  <c r="DW14" i="3"/>
  <c r="DV14" i="3"/>
  <c r="DU14" i="3"/>
  <c r="DT14" i="3"/>
  <c r="DS14" i="3"/>
  <c r="DR14" i="3"/>
  <c r="DQ14" i="3"/>
  <c r="DP14" i="3"/>
  <c r="DO14" i="3"/>
  <c r="DN14" i="3"/>
  <c r="DM14" i="3"/>
  <c r="DL14" i="3"/>
  <c r="DK14" i="3"/>
  <c r="DJ14" i="3"/>
  <c r="DI14" i="3"/>
  <c r="DH14" i="3"/>
  <c r="DG14" i="3"/>
  <c r="DF14" i="3"/>
  <c r="DE14" i="3"/>
  <c r="DD14" i="3"/>
  <c r="DC14" i="3"/>
  <c r="DB14" i="3"/>
  <c r="DA14" i="3"/>
  <c r="CZ14" i="3"/>
  <c r="CY14" i="3"/>
  <c r="CX14" i="3"/>
  <c r="CW14" i="3"/>
  <c r="CV14" i="3"/>
  <c r="CU14" i="3"/>
  <c r="CT14" i="3"/>
  <c r="CS14" i="3"/>
  <c r="CR14" i="3"/>
  <c r="CQ14" i="3"/>
  <c r="CP14" i="3"/>
  <c r="CO14" i="3"/>
  <c r="CN14" i="3"/>
  <c r="CM14" i="3"/>
  <c r="CL14" i="3"/>
  <c r="E14" i="3"/>
  <c r="E85" i="3" s="1"/>
  <c r="D14" i="3"/>
  <c r="D85" i="3" s="1"/>
  <c r="C14" i="3"/>
  <c r="C85" i="3" s="1"/>
  <c r="B14" i="3"/>
  <c r="B85" i="3" s="1"/>
  <c r="A14" i="3"/>
  <c r="A85" i="3" s="1"/>
  <c r="FQ13" i="3"/>
  <c r="FP13" i="3"/>
  <c r="FO13" i="3"/>
  <c r="FN13" i="3"/>
  <c r="FM13" i="3"/>
  <c r="FL13" i="3"/>
  <c r="FK13" i="3"/>
  <c r="FJ13" i="3"/>
  <c r="FI13" i="3"/>
  <c r="FH13" i="3"/>
  <c r="FG13" i="3"/>
  <c r="FF13" i="3"/>
  <c r="FE13" i="3"/>
  <c r="FD13" i="3"/>
  <c r="FC13" i="3"/>
  <c r="FB13" i="3"/>
  <c r="FA13" i="3"/>
  <c r="EZ13" i="3"/>
  <c r="EY13" i="3"/>
  <c r="EX13" i="3"/>
  <c r="EW13" i="3"/>
  <c r="EV13" i="3"/>
  <c r="EU13" i="3"/>
  <c r="ET13" i="3"/>
  <c r="ES13" i="3"/>
  <c r="ER13" i="3"/>
  <c r="EQ13" i="3"/>
  <c r="EP13" i="3"/>
  <c r="EO13" i="3"/>
  <c r="EN13" i="3"/>
  <c r="EM13" i="3"/>
  <c r="EL13" i="3"/>
  <c r="EK13" i="3"/>
  <c r="EJ13" i="3"/>
  <c r="EI13" i="3"/>
  <c r="EH13" i="3"/>
  <c r="EG13" i="3"/>
  <c r="EF13" i="3"/>
  <c r="EE13" i="3"/>
  <c r="ED13" i="3"/>
  <c r="EC13" i="3"/>
  <c r="EB13" i="3"/>
  <c r="EA13" i="3"/>
  <c r="DZ13" i="3"/>
  <c r="DY13" i="3"/>
  <c r="DX13" i="3"/>
  <c r="DW13" i="3"/>
  <c r="DV13" i="3"/>
  <c r="DU13" i="3"/>
  <c r="DT13" i="3"/>
  <c r="DS13" i="3"/>
  <c r="DR13" i="3"/>
  <c r="DQ13" i="3"/>
  <c r="DP13" i="3"/>
  <c r="DO13" i="3"/>
  <c r="DN13" i="3"/>
  <c r="DM13" i="3"/>
  <c r="DL13" i="3"/>
  <c r="DK13" i="3"/>
  <c r="DJ13" i="3"/>
  <c r="DI13" i="3"/>
  <c r="DH13" i="3"/>
  <c r="DG13" i="3"/>
  <c r="DF13" i="3"/>
  <c r="DE13" i="3"/>
  <c r="DD13" i="3"/>
  <c r="DC13" i="3"/>
  <c r="DB13" i="3"/>
  <c r="DA13" i="3"/>
  <c r="CZ13" i="3"/>
  <c r="CY13" i="3"/>
  <c r="CX13" i="3"/>
  <c r="CW13" i="3"/>
  <c r="CV13" i="3"/>
  <c r="CU13" i="3"/>
  <c r="CT13" i="3"/>
  <c r="CS13" i="3"/>
  <c r="CR13" i="3"/>
  <c r="CQ13" i="3"/>
  <c r="CP13" i="3"/>
  <c r="CO13" i="3"/>
  <c r="CN13" i="3"/>
  <c r="CM13" i="3"/>
  <c r="CL13" i="3"/>
  <c r="E13" i="3"/>
  <c r="E84" i="3" s="1"/>
  <c r="D13" i="3"/>
  <c r="D84" i="3" s="1"/>
  <c r="C13" i="3"/>
  <c r="C84" i="3" s="1"/>
  <c r="B13" i="3"/>
  <c r="B84" i="3" s="1"/>
  <c r="A13" i="3"/>
  <c r="A84" i="3" s="1"/>
  <c r="FQ12" i="3"/>
  <c r="FP12" i="3"/>
  <c r="FO12" i="3"/>
  <c r="FN12" i="3"/>
  <c r="FM12" i="3"/>
  <c r="FL12" i="3"/>
  <c r="FK12" i="3"/>
  <c r="FJ12" i="3"/>
  <c r="FI12" i="3"/>
  <c r="FH12" i="3"/>
  <c r="FG12" i="3"/>
  <c r="FF12" i="3"/>
  <c r="FE12" i="3"/>
  <c r="FD12" i="3"/>
  <c r="FC12" i="3"/>
  <c r="FB12" i="3"/>
  <c r="FA12" i="3"/>
  <c r="EZ12" i="3"/>
  <c r="EY12" i="3"/>
  <c r="EX12" i="3"/>
  <c r="EW12" i="3"/>
  <c r="EV12" i="3"/>
  <c r="EU12" i="3"/>
  <c r="ET12" i="3"/>
  <c r="ES12" i="3"/>
  <c r="ER12" i="3"/>
  <c r="EQ12" i="3"/>
  <c r="EP12" i="3"/>
  <c r="EO12" i="3"/>
  <c r="EN12" i="3"/>
  <c r="EM12" i="3"/>
  <c r="EL12" i="3"/>
  <c r="EK12" i="3"/>
  <c r="EJ12" i="3"/>
  <c r="EI12" i="3"/>
  <c r="EH12" i="3"/>
  <c r="EG12" i="3"/>
  <c r="EF12" i="3"/>
  <c r="EE12" i="3"/>
  <c r="ED12" i="3"/>
  <c r="EC12" i="3"/>
  <c r="EB12" i="3"/>
  <c r="EA12" i="3"/>
  <c r="DZ12" i="3"/>
  <c r="DY12" i="3"/>
  <c r="DX12" i="3"/>
  <c r="DW12" i="3"/>
  <c r="DV12" i="3"/>
  <c r="DU12" i="3"/>
  <c r="DT12" i="3"/>
  <c r="DS12" i="3"/>
  <c r="DR12" i="3"/>
  <c r="DQ12" i="3"/>
  <c r="DP12" i="3"/>
  <c r="DO12" i="3"/>
  <c r="DN12" i="3"/>
  <c r="DM12" i="3"/>
  <c r="DL12" i="3"/>
  <c r="DK12" i="3"/>
  <c r="DJ12" i="3"/>
  <c r="DI12" i="3"/>
  <c r="DH12" i="3"/>
  <c r="DG12" i="3"/>
  <c r="DF12" i="3"/>
  <c r="DE12" i="3"/>
  <c r="DD12" i="3"/>
  <c r="DC12" i="3"/>
  <c r="DB12" i="3"/>
  <c r="DA12" i="3"/>
  <c r="CZ12" i="3"/>
  <c r="CY12" i="3"/>
  <c r="CX12" i="3"/>
  <c r="CW12" i="3"/>
  <c r="CV12" i="3"/>
  <c r="CU12" i="3"/>
  <c r="CT12" i="3"/>
  <c r="CS12" i="3"/>
  <c r="CR12" i="3"/>
  <c r="CQ12" i="3"/>
  <c r="CP12" i="3"/>
  <c r="CO12" i="3"/>
  <c r="CN12" i="3"/>
  <c r="CM12" i="3"/>
  <c r="CL12" i="3"/>
  <c r="E12" i="3"/>
  <c r="E83" i="3" s="1"/>
  <c r="D12" i="3"/>
  <c r="D83" i="3" s="1"/>
  <c r="C12" i="3"/>
  <c r="C83" i="3" s="1"/>
  <c r="B12" i="3"/>
  <c r="B83" i="3" s="1"/>
  <c r="A12" i="3"/>
  <c r="A83" i="3" s="1"/>
  <c r="FQ11" i="3"/>
  <c r="FP11" i="3"/>
  <c r="FO11" i="3"/>
  <c r="FN11" i="3"/>
  <c r="FM11" i="3"/>
  <c r="FL11" i="3"/>
  <c r="FK11" i="3"/>
  <c r="FJ11" i="3"/>
  <c r="FI11" i="3"/>
  <c r="FH11" i="3"/>
  <c r="FG11" i="3"/>
  <c r="FF11" i="3"/>
  <c r="FE11" i="3"/>
  <c r="FD11" i="3"/>
  <c r="FC11" i="3"/>
  <c r="FB11" i="3"/>
  <c r="FA11" i="3"/>
  <c r="EZ11" i="3"/>
  <c r="EY11" i="3"/>
  <c r="EX11" i="3"/>
  <c r="EW11" i="3"/>
  <c r="EV11" i="3"/>
  <c r="EU11" i="3"/>
  <c r="ET11" i="3"/>
  <c r="ES11" i="3"/>
  <c r="ER11" i="3"/>
  <c r="EQ11" i="3"/>
  <c r="EP11" i="3"/>
  <c r="EO11" i="3"/>
  <c r="EN11" i="3"/>
  <c r="EM11" i="3"/>
  <c r="EL11" i="3"/>
  <c r="EK11" i="3"/>
  <c r="EJ11" i="3"/>
  <c r="EI11" i="3"/>
  <c r="EH11" i="3"/>
  <c r="EG11" i="3"/>
  <c r="EF11" i="3"/>
  <c r="EE11" i="3"/>
  <c r="ED11" i="3"/>
  <c r="EC11" i="3"/>
  <c r="EB11" i="3"/>
  <c r="EA11" i="3"/>
  <c r="DZ11" i="3"/>
  <c r="DY11" i="3"/>
  <c r="DX11" i="3"/>
  <c r="DW11" i="3"/>
  <c r="DV11" i="3"/>
  <c r="DU11" i="3"/>
  <c r="DT11" i="3"/>
  <c r="DS11" i="3"/>
  <c r="DR11" i="3"/>
  <c r="DQ11" i="3"/>
  <c r="DP11" i="3"/>
  <c r="DO11" i="3"/>
  <c r="DN11" i="3"/>
  <c r="DM11" i="3"/>
  <c r="DL11" i="3"/>
  <c r="DK11" i="3"/>
  <c r="DJ11" i="3"/>
  <c r="DI11" i="3"/>
  <c r="DH11" i="3"/>
  <c r="DG11" i="3"/>
  <c r="DF11" i="3"/>
  <c r="DE11" i="3"/>
  <c r="DD11" i="3"/>
  <c r="DC11" i="3"/>
  <c r="DB11" i="3"/>
  <c r="DA11" i="3"/>
  <c r="CZ11" i="3"/>
  <c r="CY11" i="3"/>
  <c r="CX11" i="3"/>
  <c r="CW11" i="3"/>
  <c r="CV11" i="3"/>
  <c r="CU11" i="3"/>
  <c r="CT11" i="3"/>
  <c r="CS11" i="3"/>
  <c r="CR11" i="3"/>
  <c r="CQ11" i="3"/>
  <c r="CP11" i="3"/>
  <c r="CO11" i="3"/>
  <c r="CN11" i="3"/>
  <c r="CM11" i="3"/>
  <c r="CL11" i="3"/>
  <c r="E11" i="3"/>
  <c r="E82" i="3" s="1"/>
  <c r="D11" i="3"/>
  <c r="D82" i="3" s="1"/>
  <c r="C11" i="3"/>
  <c r="C82" i="3" s="1"/>
  <c r="B11" i="3"/>
  <c r="B82" i="3" s="1"/>
  <c r="A11" i="3"/>
  <c r="A82" i="3" s="1"/>
  <c r="FQ10" i="3"/>
  <c r="FP10" i="3"/>
  <c r="FO10" i="3"/>
  <c r="FN10" i="3"/>
  <c r="FM10" i="3"/>
  <c r="FL10" i="3"/>
  <c r="FK10" i="3"/>
  <c r="FJ10" i="3"/>
  <c r="FI10" i="3"/>
  <c r="FH10" i="3"/>
  <c r="FG10" i="3"/>
  <c r="FF10" i="3"/>
  <c r="FE10" i="3"/>
  <c r="FD10" i="3"/>
  <c r="FC10" i="3"/>
  <c r="FB10" i="3"/>
  <c r="FA10" i="3"/>
  <c r="EZ10" i="3"/>
  <c r="EY10" i="3"/>
  <c r="EX10" i="3"/>
  <c r="EW10" i="3"/>
  <c r="EV10" i="3"/>
  <c r="EU10" i="3"/>
  <c r="ET10" i="3"/>
  <c r="ES10" i="3"/>
  <c r="ER10" i="3"/>
  <c r="EQ10" i="3"/>
  <c r="EP10" i="3"/>
  <c r="EO10" i="3"/>
  <c r="EN10" i="3"/>
  <c r="EM10" i="3"/>
  <c r="EL10" i="3"/>
  <c r="EK10" i="3"/>
  <c r="EJ10" i="3"/>
  <c r="EI10" i="3"/>
  <c r="EH10" i="3"/>
  <c r="EG10" i="3"/>
  <c r="EF10" i="3"/>
  <c r="EE10" i="3"/>
  <c r="ED10" i="3"/>
  <c r="EC10" i="3"/>
  <c r="EB10" i="3"/>
  <c r="EA10" i="3"/>
  <c r="DZ10" i="3"/>
  <c r="DY10" i="3"/>
  <c r="DX10" i="3"/>
  <c r="DW10" i="3"/>
  <c r="DV10" i="3"/>
  <c r="DU10" i="3"/>
  <c r="DT10" i="3"/>
  <c r="DS10" i="3"/>
  <c r="DR10" i="3"/>
  <c r="DQ10" i="3"/>
  <c r="DP10" i="3"/>
  <c r="DO10" i="3"/>
  <c r="DN10" i="3"/>
  <c r="DM10" i="3"/>
  <c r="DL10" i="3"/>
  <c r="DK10" i="3"/>
  <c r="DJ10" i="3"/>
  <c r="DI10" i="3"/>
  <c r="DH10" i="3"/>
  <c r="DG10" i="3"/>
  <c r="DF10" i="3"/>
  <c r="DE10" i="3"/>
  <c r="DD10" i="3"/>
  <c r="DC10" i="3"/>
  <c r="DB10" i="3"/>
  <c r="DA10" i="3"/>
  <c r="CZ10" i="3"/>
  <c r="CY10" i="3"/>
  <c r="CX10" i="3"/>
  <c r="CW10" i="3"/>
  <c r="CV10" i="3"/>
  <c r="CU10" i="3"/>
  <c r="CT10" i="3"/>
  <c r="CS10" i="3"/>
  <c r="CR10" i="3"/>
  <c r="CQ10" i="3"/>
  <c r="CP10" i="3"/>
  <c r="CO10" i="3"/>
  <c r="CN10" i="3"/>
  <c r="CM10" i="3"/>
  <c r="CL10" i="3"/>
  <c r="E10" i="3"/>
  <c r="E81" i="3" s="1"/>
  <c r="D10" i="3"/>
  <c r="D81" i="3" s="1"/>
  <c r="C10" i="3"/>
  <c r="C81" i="3" s="1"/>
  <c r="B10" i="3"/>
  <c r="B81" i="3" s="1"/>
  <c r="A10" i="3"/>
  <c r="A81" i="3" s="1"/>
  <c r="FQ9" i="3"/>
  <c r="FP9" i="3"/>
  <c r="FO9" i="3"/>
  <c r="FN9" i="3"/>
  <c r="FM9" i="3"/>
  <c r="FL9" i="3"/>
  <c r="FK9" i="3"/>
  <c r="FJ9" i="3"/>
  <c r="FI9" i="3"/>
  <c r="FH9" i="3"/>
  <c r="FG9" i="3"/>
  <c r="FF9" i="3"/>
  <c r="FE9" i="3"/>
  <c r="FD9" i="3"/>
  <c r="FC9" i="3"/>
  <c r="FB9" i="3"/>
  <c r="FA9" i="3"/>
  <c r="EZ9" i="3"/>
  <c r="EY9" i="3"/>
  <c r="EX9" i="3"/>
  <c r="EW9" i="3"/>
  <c r="EV9" i="3"/>
  <c r="EU9" i="3"/>
  <c r="ET9" i="3"/>
  <c r="ES9" i="3"/>
  <c r="ER9" i="3"/>
  <c r="EQ9" i="3"/>
  <c r="EP9" i="3"/>
  <c r="EO9" i="3"/>
  <c r="EN9" i="3"/>
  <c r="EM9" i="3"/>
  <c r="EL9" i="3"/>
  <c r="EK9" i="3"/>
  <c r="EJ9" i="3"/>
  <c r="EI9" i="3"/>
  <c r="EH9" i="3"/>
  <c r="EG9" i="3"/>
  <c r="EF9" i="3"/>
  <c r="EE9" i="3"/>
  <c r="ED9" i="3"/>
  <c r="EC9" i="3"/>
  <c r="EB9" i="3"/>
  <c r="EA9" i="3"/>
  <c r="DZ9" i="3"/>
  <c r="DY9" i="3"/>
  <c r="DX9" i="3"/>
  <c r="DW9" i="3"/>
  <c r="DV9" i="3"/>
  <c r="DU9" i="3"/>
  <c r="DT9" i="3"/>
  <c r="DS9" i="3"/>
  <c r="DR9" i="3"/>
  <c r="DQ9" i="3"/>
  <c r="DP9" i="3"/>
  <c r="DO9" i="3"/>
  <c r="DN9" i="3"/>
  <c r="DM9" i="3"/>
  <c r="DL9" i="3"/>
  <c r="DK9" i="3"/>
  <c r="DJ9" i="3"/>
  <c r="DI9" i="3"/>
  <c r="DH9" i="3"/>
  <c r="DG9" i="3"/>
  <c r="DF9" i="3"/>
  <c r="DE9" i="3"/>
  <c r="DD9" i="3"/>
  <c r="DC9" i="3"/>
  <c r="DB9" i="3"/>
  <c r="DA9" i="3"/>
  <c r="CZ9" i="3"/>
  <c r="CY9" i="3"/>
  <c r="CX9" i="3"/>
  <c r="CW9" i="3"/>
  <c r="CV9" i="3"/>
  <c r="CU9" i="3"/>
  <c r="CT9" i="3"/>
  <c r="CS9" i="3"/>
  <c r="CR9" i="3"/>
  <c r="CQ9" i="3"/>
  <c r="CP9" i="3"/>
  <c r="CO9" i="3"/>
  <c r="CN9" i="3"/>
  <c r="CM9" i="3"/>
  <c r="CL9" i="3"/>
  <c r="E9" i="3"/>
  <c r="B9" i="3"/>
  <c r="A9" i="3"/>
  <c r="FQ8" i="3"/>
  <c r="FP8" i="3"/>
  <c r="FO8" i="3"/>
  <c r="FN8" i="3"/>
  <c r="FM8" i="3"/>
  <c r="FL8" i="3"/>
  <c r="FK8" i="3"/>
  <c r="FJ8" i="3"/>
  <c r="FI8" i="3"/>
  <c r="FH8" i="3"/>
  <c r="FG8" i="3"/>
  <c r="FF8" i="3"/>
  <c r="FE8" i="3"/>
  <c r="FD8" i="3"/>
  <c r="FC8" i="3"/>
  <c r="FB8" i="3"/>
  <c r="FA8" i="3"/>
  <c r="EZ8" i="3"/>
  <c r="EY8" i="3"/>
  <c r="EX8" i="3"/>
  <c r="EW8" i="3"/>
  <c r="EV8" i="3"/>
  <c r="EU8" i="3"/>
  <c r="ET8" i="3"/>
  <c r="ES8" i="3"/>
  <c r="ER8" i="3"/>
  <c r="EQ8" i="3"/>
  <c r="EP8" i="3"/>
  <c r="EO8" i="3"/>
  <c r="EN8" i="3"/>
  <c r="EM8" i="3"/>
  <c r="EL8" i="3"/>
  <c r="EK8" i="3"/>
  <c r="EJ8" i="3"/>
  <c r="EI8" i="3"/>
  <c r="EH8" i="3"/>
  <c r="EG8" i="3"/>
  <c r="EF8" i="3"/>
  <c r="EE8" i="3"/>
  <c r="ED8" i="3"/>
  <c r="EC8" i="3"/>
  <c r="EB8" i="3"/>
  <c r="EA8" i="3"/>
  <c r="DZ8" i="3"/>
  <c r="DY8" i="3"/>
  <c r="DX8" i="3"/>
  <c r="DW8" i="3"/>
  <c r="DV8" i="3"/>
  <c r="DU8" i="3"/>
  <c r="DT8" i="3"/>
  <c r="DS8" i="3"/>
  <c r="DR8" i="3"/>
  <c r="DQ8" i="3"/>
  <c r="DP8" i="3"/>
  <c r="DO8" i="3"/>
  <c r="DN8" i="3"/>
  <c r="DM8" i="3"/>
  <c r="DL8" i="3"/>
  <c r="DK8" i="3"/>
  <c r="DJ8" i="3"/>
  <c r="DI8" i="3"/>
  <c r="DH8" i="3"/>
  <c r="DG8" i="3"/>
  <c r="DF8" i="3"/>
  <c r="DE8" i="3"/>
  <c r="DD8" i="3"/>
  <c r="DC8" i="3"/>
  <c r="DB8" i="3"/>
  <c r="DA8" i="3"/>
  <c r="CZ8" i="3"/>
  <c r="CY8" i="3"/>
  <c r="CX8" i="3"/>
  <c r="CW8" i="3"/>
  <c r="CV8" i="3"/>
  <c r="CU8" i="3"/>
  <c r="CT8" i="3"/>
  <c r="CS8" i="3"/>
  <c r="CR8" i="3"/>
  <c r="CQ8" i="3"/>
  <c r="CP8" i="3"/>
  <c r="CO8" i="3"/>
  <c r="CN8" i="3"/>
  <c r="CM8" i="3"/>
  <c r="CL8" i="3"/>
  <c r="E8" i="3"/>
  <c r="E80" i="3" s="1"/>
  <c r="D8" i="3"/>
  <c r="D80" i="3" s="1"/>
  <c r="C8" i="3"/>
  <c r="C80" i="3" s="1"/>
  <c r="B8" i="3"/>
  <c r="B80" i="3" s="1"/>
  <c r="A8" i="3"/>
  <c r="A80" i="3" s="1"/>
  <c r="FQ7" i="3"/>
  <c r="FP7" i="3"/>
  <c r="FO7" i="3"/>
  <c r="FN7" i="3"/>
  <c r="FM7" i="3"/>
  <c r="FL7" i="3"/>
  <c r="FK7" i="3"/>
  <c r="FJ7" i="3"/>
  <c r="FI7" i="3"/>
  <c r="FH7" i="3"/>
  <c r="FG7" i="3"/>
  <c r="FF7" i="3"/>
  <c r="FE7" i="3"/>
  <c r="FD7" i="3"/>
  <c r="FC7" i="3"/>
  <c r="FB7" i="3"/>
  <c r="FA7" i="3"/>
  <c r="EZ7" i="3"/>
  <c r="EY7" i="3"/>
  <c r="EX7" i="3"/>
  <c r="EW7" i="3"/>
  <c r="EV7" i="3"/>
  <c r="EU7" i="3"/>
  <c r="ET7" i="3"/>
  <c r="ES7" i="3"/>
  <c r="ER7" i="3"/>
  <c r="EQ7" i="3"/>
  <c r="EP7" i="3"/>
  <c r="EO7" i="3"/>
  <c r="EN7" i="3"/>
  <c r="EM7" i="3"/>
  <c r="EL7" i="3"/>
  <c r="EK7" i="3"/>
  <c r="EJ7" i="3"/>
  <c r="EI7" i="3"/>
  <c r="EH7" i="3"/>
  <c r="EG7" i="3"/>
  <c r="EF7" i="3"/>
  <c r="EE7" i="3"/>
  <c r="ED7" i="3"/>
  <c r="EC7" i="3"/>
  <c r="EB7" i="3"/>
  <c r="EA7" i="3"/>
  <c r="DZ7" i="3"/>
  <c r="DY7" i="3"/>
  <c r="DX7" i="3"/>
  <c r="DW7" i="3"/>
  <c r="DV7" i="3"/>
  <c r="DU7" i="3"/>
  <c r="DT7" i="3"/>
  <c r="DS7" i="3"/>
  <c r="DR7" i="3"/>
  <c r="DQ7" i="3"/>
  <c r="DP7" i="3"/>
  <c r="DO7" i="3"/>
  <c r="DN7" i="3"/>
  <c r="DM7" i="3"/>
  <c r="DL7" i="3"/>
  <c r="DK7" i="3"/>
  <c r="DJ7" i="3"/>
  <c r="DI7" i="3"/>
  <c r="DH7" i="3"/>
  <c r="DG7" i="3"/>
  <c r="DF7" i="3"/>
  <c r="DE7" i="3"/>
  <c r="DD7" i="3"/>
  <c r="DC7" i="3"/>
  <c r="DB7" i="3"/>
  <c r="DA7" i="3"/>
  <c r="CZ7" i="3"/>
  <c r="CY7" i="3"/>
  <c r="CX7" i="3"/>
  <c r="CW7" i="3"/>
  <c r="CV7" i="3"/>
  <c r="CU7" i="3"/>
  <c r="CT7" i="3"/>
  <c r="CS7" i="3"/>
  <c r="CR7" i="3"/>
  <c r="CQ7" i="3"/>
  <c r="CP7" i="3"/>
  <c r="CO7" i="3"/>
  <c r="CN7" i="3"/>
  <c r="CM7" i="3"/>
  <c r="CL7" i="3"/>
  <c r="E7" i="3"/>
  <c r="E79" i="3" s="1"/>
  <c r="D7" i="3"/>
  <c r="D79" i="3" s="1"/>
  <c r="C7" i="3"/>
  <c r="C79" i="3" s="1"/>
  <c r="B7" i="3"/>
  <c r="B79" i="3" s="1"/>
  <c r="A7" i="3"/>
  <c r="A79" i="3" s="1"/>
  <c r="FQ6" i="3"/>
  <c r="FP6" i="3"/>
  <c r="FO6" i="3"/>
  <c r="FN6" i="3"/>
  <c r="FM6" i="3"/>
  <c r="FL6" i="3"/>
  <c r="FK6" i="3"/>
  <c r="FJ6" i="3"/>
  <c r="FI6" i="3"/>
  <c r="FH6" i="3"/>
  <c r="FG6" i="3"/>
  <c r="FF6" i="3"/>
  <c r="FE6" i="3"/>
  <c r="FD6" i="3"/>
  <c r="FC6" i="3"/>
  <c r="FB6" i="3"/>
  <c r="FA6" i="3"/>
  <c r="EZ6" i="3"/>
  <c r="EY6" i="3"/>
  <c r="EX6" i="3"/>
  <c r="EW6" i="3"/>
  <c r="EV6" i="3"/>
  <c r="EU6" i="3"/>
  <c r="ET6" i="3"/>
  <c r="ES6" i="3"/>
  <c r="ER6" i="3"/>
  <c r="EQ6" i="3"/>
  <c r="EP6" i="3"/>
  <c r="EO6" i="3"/>
  <c r="EN6" i="3"/>
  <c r="EM6" i="3"/>
  <c r="EL6" i="3"/>
  <c r="EK6" i="3"/>
  <c r="EJ6" i="3"/>
  <c r="EI6" i="3"/>
  <c r="EH6" i="3"/>
  <c r="EG6" i="3"/>
  <c r="EF6" i="3"/>
  <c r="EE6" i="3"/>
  <c r="ED6" i="3"/>
  <c r="EC6" i="3"/>
  <c r="EB6" i="3"/>
  <c r="EA6" i="3"/>
  <c r="DZ6" i="3"/>
  <c r="DY6" i="3"/>
  <c r="DX6" i="3"/>
  <c r="DW6" i="3"/>
  <c r="DV6" i="3"/>
  <c r="DU6" i="3"/>
  <c r="DT6" i="3"/>
  <c r="DS6" i="3"/>
  <c r="DR6" i="3"/>
  <c r="DQ6" i="3"/>
  <c r="DP6" i="3"/>
  <c r="DO6" i="3"/>
  <c r="DN6" i="3"/>
  <c r="DM6" i="3"/>
  <c r="DL6" i="3"/>
  <c r="DK6" i="3"/>
  <c r="DJ6" i="3"/>
  <c r="DI6" i="3"/>
  <c r="DH6" i="3"/>
  <c r="DG6" i="3"/>
  <c r="DF6" i="3"/>
  <c r="DE6" i="3"/>
  <c r="DD6" i="3"/>
  <c r="DC6" i="3"/>
  <c r="DB6" i="3"/>
  <c r="DA6" i="3"/>
  <c r="CZ6" i="3"/>
  <c r="CY6" i="3"/>
  <c r="CX6" i="3"/>
  <c r="CW6" i="3"/>
  <c r="CV6" i="3"/>
  <c r="CU6" i="3"/>
  <c r="CT6" i="3"/>
  <c r="CS6" i="3"/>
  <c r="CR6" i="3"/>
  <c r="CQ6" i="3"/>
  <c r="CP6" i="3"/>
  <c r="CO6" i="3"/>
  <c r="CN6" i="3"/>
  <c r="CM6" i="3"/>
  <c r="CL6" i="3"/>
  <c r="E6" i="3"/>
  <c r="B6" i="3"/>
  <c r="A6" i="3"/>
  <c r="FQ5" i="3"/>
  <c r="FP5" i="3"/>
  <c r="FO5" i="3"/>
  <c r="FN5" i="3"/>
  <c r="FM5" i="3"/>
  <c r="FL5" i="3"/>
  <c r="FK5" i="3"/>
  <c r="FJ5" i="3"/>
  <c r="FI5" i="3"/>
  <c r="FH5" i="3"/>
  <c r="FG5" i="3"/>
  <c r="FF5" i="3"/>
  <c r="FE5" i="3"/>
  <c r="FD5" i="3"/>
  <c r="FC5" i="3"/>
  <c r="FB5" i="3"/>
  <c r="FA5" i="3"/>
  <c r="EZ5" i="3"/>
  <c r="EY5" i="3"/>
  <c r="EX5" i="3"/>
  <c r="EW5" i="3"/>
  <c r="EV5" i="3"/>
  <c r="EU5" i="3"/>
  <c r="ET5" i="3"/>
  <c r="ES5" i="3"/>
  <c r="ER5" i="3"/>
  <c r="EQ5" i="3"/>
  <c r="EP5" i="3"/>
  <c r="EO5" i="3"/>
  <c r="EN5" i="3"/>
  <c r="EM5" i="3"/>
  <c r="EL5" i="3"/>
  <c r="EK5" i="3"/>
  <c r="EJ5" i="3"/>
  <c r="EI5" i="3"/>
  <c r="EH5" i="3"/>
  <c r="EG5" i="3"/>
  <c r="EF5" i="3"/>
  <c r="EE5" i="3"/>
  <c r="ED5" i="3"/>
  <c r="EC5" i="3"/>
  <c r="EB5" i="3"/>
  <c r="EA5" i="3"/>
  <c r="DZ5" i="3"/>
  <c r="DY5" i="3"/>
  <c r="DX5" i="3"/>
  <c r="DW5" i="3"/>
  <c r="DV5" i="3"/>
  <c r="DU5" i="3"/>
  <c r="DT5" i="3"/>
  <c r="DS5" i="3"/>
  <c r="DR5" i="3"/>
  <c r="DQ5" i="3"/>
  <c r="DP5" i="3"/>
  <c r="DO5" i="3"/>
  <c r="DN5" i="3"/>
  <c r="DM5" i="3"/>
  <c r="DL5" i="3"/>
  <c r="DK5" i="3"/>
  <c r="DJ5" i="3"/>
  <c r="DI5" i="3"/>
  <c r="DH5" i="3"/>
  <c r="DG5" i="3"/>
  <c r="DF5" i="3"/>
  <c r="DE5" i="3"/>
  <c r="DD5" i="3"/>
  <c r="DC5" i="3"/>
  <c r="DB5" i="3"/>
  <c r="DA5" i="3"/>
  <c r="CZ5" i="3"/>
  <c r="CY5" i="3"/>
  <c r="CX5" i="3"/>
  <c r="CW5" i="3"/>
  <c r="CV5" i="3"/>
  <c r="CU5" i="3"/>
  <c r="CT5" i="3"/>
  <c r="CS5" i="3"/>
  <c r="CR5" i="3"/>
  <c r="CQ5" i="3"/>
  <c r="CP5" i="3"/>
  <c r="CO5" i="3"/>
  <c r="CN5" i="3"/>
  <c r="CM5" i="3"/>
  <c r="CL5" i="3"/>
  <c r="E5" i="3"/>
  <c r="E78" i="3" s="1"/>
  <c r="D5" i="3"/>
  <c r="D78" i="3" s="1"/>
  <c r="C5" i="3"/>
  <c r="C78" i="3" s="1"/>
  <c r="B5" i="3"/>
  <c r="B78" i="3" s="1"/>
  <c r="A5" i="3"/>
  <c r="A78" i="3" s="1"/>
  <c r="FQ4" i="3"/>
  <c r="FP4" i="3"/>
  <c r="FO4" i="3"/>
  <c r="FN4" i="3"/>
  <c r="FM4" i="3"/>
  <c r="FL4" i="3"/>
  <c r="FK4" i="3"/>
  <c r="FJ4" i="3"/>
  <c r="FI4" i="3"/>
  <c r="FH4" i="3"/>
  <c r="FG4" i="3"/>
  <c r="FF4" i="3"/>
  <c r="FE4" i="3"/>
  <c r="FD4" i="3"/>
  <c r="FC4" i="3"/>
  <c r="FB4" i="3"/>
  <c r="FA4" i="3"/>
  <c r="EZ4" i="3"/>
  <c r="EY4" i="3"/>
  <c r="EX4" i="3"/>
  <c r="EW4" i="3"/>
  <c r="EV4" i="3"/>
  <c r="EU4" i="3"/>
  <c r="ET4" i="3"/>
  <c r="ES4" i="3"/>
  <c r="ER4" i="3"/>
  <c r="EQ4" i="3"/>
  <c r="EP4" i="3"/>
  <c r="EO4" i="3"/>
  <c r="EN4" i="3"/>
  <c r="EM4" i="3"/>
  <c r="EL4" i="3"/>
  <c r="EK4" i="3"/>
  <c r="EJ4" i="3"/>
  <c r="EI4" i="3"/>
  <c r="EH4" i="3"/>
  <c r="EG4" i="3"/>
  <c r="EF4" i="3"/>
  <c r="EE4" i="3"/>
  <c r="ED4" i="3"/>
  <c r="EC4" i="3"/>
  <c r="EB4" i="3"/>
  <c r="EA4" i="3"/>
  <c r="DZ4" i="3"/>
  <c r="DY4" i="3"/>
  <c r="DX4" i="3"/>
  <c r="DW4" i="3"/>
  <c r="DV4" i="3"/>
  <c r="DU4" i="3"/>
  <c r="DT4" i="3"/>
  <c r="DS4" i="3"/>
  <c r="DR4" i="3"/>
  <c r="DQ4" i="3"/>
  <c r="DP4" i="3"/>
  <c r="DO4" i="3"/>
  <c r="DN4" i="3"/>
  <c r="DM4" i="3"/>
  <c r="DL4" i="3"/>
  <c r="DK4" i="3"/>
  <c r="DJ4" i="3"/>
  <c r="DI4" i="3"/>
  <c r="DH4" i="3"/>
  <c r="DG4" i="3"/>
  <c r="DF4" i="3"/>
  <c r="DE4" i="3"/>
  <c r="DD4" i="3"/>
  <c r="DC4" i="3"/>
  <c r="DB4" i="3"/>
  <c r="DA4" i="3"/>
  <c r="CZ4" i="3"/>
  <c r="CY4" i="3"/>
  <c r="CX4" i="3"/>
  <c r="CW4" i="3"/>
  <c r="CV4" i="3"/>
  <c r="CU4" i="3"/>
  <c r="CT4" i="3"/>
  <c r="CS4" i="3"/>
  <c r="CR4" i="3"/>
  <c r="CQ4" i="3"/>
  <c r="CP4" i="3"/>
  <c r="CO4" i="3"/>
  <c r="CN4" i="3"/>
  <c r="CM4" i="3"/>
  <c r="CL4" i="3"/>
  <c r="E4" i="3"/>
  <c r="E77" i="3" s="1"/>
  <c r="D4" i="3"/>
  <c r="D77" i="3" s="1"/>
  <c r="C4" i="3"/>
  <c r="C77" i="3" s="1"/>
  <c r="B4" i="3"/>
  <c r="B77" i="3" s="1"/>
  <c r="A4" i="3"/>
  <c r="A77" i="3" s="1"/>
  <c r="FQ3" i="3"/>
  <c r="FP3" i="3"/>
  <c r="FO3" i="3"/>
  <c r="FN3" i="3"/>
  <c r="FM3" i="3"/>
  <c r="FL3" i="3"/>
  <c r="FK3" i="3"/>
  <c r="FJ3" i="3"/>
  <c r="FI3" i="3"/>
  <c r="FH3" i="3"/>
  <c r="FG3" i="3"/>
  <c r="FF3" i="3"/>
  <c r="FE3" i="3"/>
  <c r="FD3" i="3"/>
  <c r="FC3" i="3"/>
  <c r="FB3" i="3"/>
  <c r="FA3" i="3"/>
  <c r="EZ3" i="3"/>
  <c r="EY3" i="3"/>
  <c r="EX3" i="3"/>
  <c r="EW3" i="3"/>
  <c r="EV3" i="3"/>
  <c r="EU3" i="3"/>
  <c r="ET3" i="3"/>
  <c r="ES3" i="3"/>
  <c r="ER3" i="3"/>
  <c r="EQ3" i="3"/>
  <c r="EP3" i="3"/>
  <c r="EO3" i="3"/>
  <c r="EN3" i="3"/>
  <c r="EM3" i="3"/>
  <c r="EL3" i="3"/>
  <c r="EK3" i="3"/>
  <c r="EJ3" i="3"/>
  <c r="EI3" i="3"/>
  <c r="EH3" i="3"/>
  <c r="EG3" i="3"/>
  <c r="EF3" i="3"/>
  <c r="EE3" i="3"/>
  <c r="ED3" i="3"/>
  <c r="EC3" i="3"/>
  <c r="EB3" i="3"/>
  <c r="EA3" i="3"/>
  <c r="DZ3" i="3"/>
  <c r="DY3" i="3"/>
  <c r="DX3" i="3"/>
  <c r="DW3" i="3"/>
  <c r="DV3" i="3"/>
  <c r="DU3" i="3"/>
  <c r="DT3" i="3"/>
  <c r="DS3" i="3"/>
  <c r="DR3" i="3"/>
  <c r="DQ3" i="3"/>
  <c r="DP3" i="3"/>
  <c r="DO3" i="3"/>
  <c r="DN3" i="3"/>
  <c r="DM3" i="3"/>
  <c r="DL3" i="3"/>
  <c r="DK3" i="3"/>
  <c r="DJ3" i="3"/>
  <c r="DI3" i="3"/>
  <c r="DH3" i="3"/>
  <c r="DG3" i="3"/>
  <c r="DF3" i="3"/>
  <c r="DE3" i="3"/>
  <c r="DD3" i="3"/>
  <c r="DC3" i="3"/>
  <c r="DB3" i="3"/>
  <c r="DA3" i="3"/>
  <c r="CZ3" i="3"/>
  <c r="CY3" i="3"/>
  <c r="CX3" i="3"/>
  <c r="CW3" i="3"/>
  <c r="CV3" i="3"/>
  <c r="CU3" i="3"/>
  <c r="CT3" i="3"/>
  <c r="CS3" i="3"/>
  <c r="CR3" i="3"/>
  <c r="CQ3" i="3"/>
  <c r="CP3" i="3"/>
  <c r="CO3" i="3"/>
  <c r="CN3" i="3"/>
  <c r="CM3" i="3"/>
  <c r="CL3" i="3"/>
  <c r="E3" i="3"/>
  <c r="B3" i="3"/>
  <c r="A3" i="3"/>
  <c r="E2" i="3"/>
  <c r="D2" i="3"/>
  <c r="C2" i="3"/>
  <c r="B2" i="3"/>
  <c r="A2" i="3"/>
  <c r="E53" i="2"/>
  <c r="D53" i="2"/>
  <c r="C53" i="2"/>
  <c r="B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CK43" i="2"/>
  <c r="CJ43" i="2"/>
  <c r="CI43" i="2"/>
  <c r="CH43" i="2"/>
  <c r="CG43" i="2"/>
  <c r="CF43" i="2"/>
  <c r="CE43" i="2"/>
  <c r="CD43" i="2"/>
  <c r="CC43" i="2"/>
  <c r="CB43" i="2"/>
  <c r="CA43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CK40" i="2"/>
  <c r="CJ40" i="2"/>
  <c r="CI40" i="2"/>
  <c r="CH40" i="2"/>
  <c r="CG40" i="2"/>
  <c r="CF40" i="2"/>
  <c r="CE40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CK16" i="2"/>
  <c r="CJ16" i="2"/>
  <c r="CI16" i="2"/>
  <c r="CH16" i="2"/>
  <c r="CG16" i="2"/>
  <c r="CF16" i="2"/>
  <c r="CE16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CK15" i="2"/>
  <c r="CJ15" i="2"/>
  <c r="CI15" i="2"/>
  <c r="CH15" i="2"/>
  <c r="CG15" i="2"/>
  <c r="CF15" i="2"/>
  <c r="CE15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E5" i="2"/>
  <c r="D5" i="2"/>
  <c r="C5" i="2"/>
  <c r="B5" i="2"/>
  <c r="A5" i="2"/>
  <c r="E4" i="2"/>
  <c r="D4" i="2"/>
  <c r="C4" i="2"/>
  <c r="B4" i="2"/>
  <c r="A4" i="2"/>
  <c r="CK3" i="2"/>
  <c r="CJ3" i="2"/>
  <c r="CI3" i="2"/>
  <c r="CH3" i="2"/>
  <c r="CG3" i="2"/>
  <c r="CF3" i="2"/>
  <c r="CE3" i="2"/>
  <c r="CD3" i="2"/>
  <c r="CC3" i="2"/>
  <c r="CB3" i="2"/>
  <c r="CA3" i="2"/>
  <c r="BZ3" i="2"/>
  <c r="BY3" i="2"/>
  <c r="BX3" i="2"/>
  <c r="BW3" i="2"/>
  <c r="BV3" i="2"/>
  <c r="BU3" i="2"/>
  <c r="BT3" i="2"/>
  <c r="BS3" i="2"/>
  <c r="BR3" i="2"/>
  <c r="BQ3" i="2"/>
  <c r="BP3" i="2"/>
  <c r="BO3" i="2"/>
  <c r="BN3" i="2"/>
  <c r="BM3" i="2"/>
  <c r="BL3" i="2"/>
  <c r="BK3" i="2"/>
  <c r="BJ3" i="2"/>
  <c r="BI3" i="2"/>
  <c r="BH3" i="2"/>
  <c r="BG3" i="2"/>
  <c r="BF3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E2" i="2"/>
  <c r="D2" i="2"/>
  <c r="C2" i="2"/>
  <c r="B2" i="2"/>
  <c r="A2" i="2"/>
  <c r="C138" i="3"/>
  <c r="C136" i="3"/>
  <c r="C134" i="3"/>
  <c r="F78" i="3"/>
  <c r="F84" i="3"/>
  <c r="F80" i="3"/>
  <c r="F82" i="3"/>
  <c r="F83" i="3"/>
  <c r="F81" i="3"/>
  <c r="F79" i="3"/>
  <c r="F86" i="3"/>
  <c r="A63" i="3"/>
  <c r="B122" i="3" l="1"/>
  <c r="H71" i="3"/>
  <c r="L71" i="3"/>
  <c r="P71" i="3"/>
  <c r="T71" i="3"/>
  <c r="X71" i="3"/>
  <c r="AB71" i="3"/>
  <c r="AF71" i="3"/>
  <c r="AJ71" i="3"/>
  <c r="AN71" i="3"/>
  <c r="AR71" i="3"/>
  <c r="AV71" i="3"/>
  <c r="AZ71" i="3"/>
  <c r="BD71" i="3"/>
  <c r="BH71" i="3"/>
  <c r="BL71" i="3"/>
  <c r="BP71" i="3"/>
  <c r="BT71" i="3"/>
  <c r="BX71" i="3"/>
  <c r="CB71" i="3"/>
  <c r="CF71" i="3"/>
  <c r="CJ71" i="3"/>
  <c r="H72" i="3"/>
  <c r="L72" i="3"/>
  <c r="P72" i="3"/>
  <c r="T72" i="3"/>
  <c r="X72" i="3"/>
  <c r="AB72" i="3"/>
  <c r="AF72" i="3"/>
  <c r="AJ72" i="3"/>
  <c r="AN72" i="3"/>
  <c r="AR72" i="3"/>
  <c r="AV72" i="3"/>
  <c r="AZ72" i="3"/>
  <c r="BD72" i="3"/>
  <c r="BH72" i="3"/>
  <c r="BL72" i="3"/>
  <c r="BP72" i="3"/>
  <c r="BT72" i="3"/>
  <c r="BX72" i="3"/>
  <c r="CB72" i="3"/>
  <c r="CF72" i="3"/>
  <c r="CJ72" i="3"/>
  <c r="B67" i="3"/>
  <c r="I71" i="3"/>
  <c r="M71" i="3"/>
  <c r="Q71" i="3"/>
  <c r="U71" i="3"/>
  <c r="Y71" i="3"/>
  <c r="AC71" i="3"/>
  <c r="AG71" i="3"/>
  <c r="AK71" i="3"/>
  <c r="AO71" i="3"/>
  <c r="AS71" i="3"/>
  <c r="AW71" i="3"/>
  <c r="BA71" i="3"/>
  <c r="BE71" i="3"/>
  <c r="BI71" i="3"/>
  <c r="BM71" i="3"/>
  <c r="BQ71" i="3"/>
  <c r="BU71" i="3"/>
  <c r="BY71" i="3"/>
  <c r="CC71" i="3"/>
  <c r="CG71" i="3"/>
  <c r="CK71" i="3"/>
  <c r="I72" i="3"/>
  <c r="M72" i="3"/>
  <c r="Q72" i="3"/>
  <c r="U72" i="3"/>
  <c r="Y72" i="3"/>
  <c r="AC72" i="3"/>
  <c r="AG72" i="3"/>
  <c r="AK72" i="3"/>
  <c r="AO72" i="3"/>
  <c r="AS72" i="3"/>
  <c r="AW72" i="3"/>
  <c r="BA72" i="3"/>
  <c r="BE72" i="3"/>
  <c r="BI72" i="3"/>
  <c r="BM72" i="3"/>
  <c r="BQ72" i="3"/>
  <c r="BU72" i="3"/>
  <c r="BY72" i="3"/>
  <c r="CC72" i="3"/>
  <c r="CG72" i="3"/>
  <c r="CK72" i="3"/>
  <c r="F71" i="3"/>
  <c r="J71" i="3"/>
  <c r="N71" i="3"/>
  <c r="R71" i="3"/>
  <c r="V71" i="3"/>
  <c r="Z71" i="3"/>
  <c r="AD71" i="3"/>
  <c r="AH71" i="3"/>
  <c r="AL71" i="3"/>
  <c r="AP71" i="3"/>
  <c r="AT71" i="3"/>
  <c r="AX71" i="3"/>
  <c r="BB71" i="3"/>
  <c r="BF71" i="3"/>
  <c r="BJ71" i="3"/>
  <c r="BN71" i="3"/>
  <c r="BR71" i="3"/>
  <c r="BV71" i="3"/>
  <c r="BZ71" i="3"/>
  <c r="CD71" i="3"/>
  <c r="CH71" i="3"/>
  <c r="F72" i="3"/>
  <c r="J72" i="3"/>
  <c r="N72" i="3"/>
  <c r="R72" i="3"/>
  <c r="V72" i="3"/>
  <c r="Z72" i="3"/>
  <c r="AD72" i="3"/>
  <c r="AH72" i="3"/>
  <c r="AL72" i="3"/>
  <c r="AP72" i="3"/>
  <c r="AT72" i="3"/>
  <c r="AX72" i="3"/>
  <c r="BB72" i="3"/>
  <c r="BF72" i="3"/>
  <c r="BJ72" i="3"/>
  <c r="BN72" i="3"/>
  <c r="BR72" i="3"/>
  <c r="BV72" i="3"/>
  <c r="BZ72" i="3"/>
  <c r="CD72" i="3"/>
  <c r="CH72" i="3"/>
  <c r="G71" i="3"/>
  <c r="K71" i="3"/>
  <c r="O71" i="3"/>
  <c r="S71" i="3"/>
  <c r="W71" i="3"/>
  <c r="AA71" i="3"/>
  <c r="AE71" i="3"/>
  <c r="AI71" i="3"/>
  <c r="AM71" i="3"/>
  <c r="AQ71" i="3"/>
  <c r="AU71" i="3"/>
  <c r="AY71" i="3"/>
  <c r="BC71" i="3"/>
  <c r="BG71" i="3"/>
  <c r="BK71" i="3"/>
  <c r="BO71" i="3"/>
  <c r="BS71" i="3"/>
  <c r="BW71" i="3"/>
  <c r="CA71" i="3"/>
  <c r="CE71" i="3"/>
  <c r="CI71" i="3"/>
  <c r="G72" i="3"/>
  <c r="K72" i="3"/>
  <c r="O72" i="3"/>
  <c r="S72" i="3"/>
  <c r="W72" i="3"/>
  <c r="AA72" i="3"/>
  <c r="AE72" i="3"/>
  <c r="AI72" i="3"/>
  <c r="AM72" i="3"/>
  <c r="AQ72" i="3"/>
  <c r="AU72" i="3"/>
  <c r="AY72" i="3"/>
  <c r="BC72" i="3"/>
  <c r="BG72" i="3"/>
  <c r="BK72" i="3"/>
  <c r="BO72" i="3"/>
  <c r="BS72" i="3"/>
  <c r="BW72" i="3"/>
  <c r="CA72" i="3"/>
  <c r="CE72" i="3"/>
  <c r="CI72" i="3"/>
  <c r="H101" i="3"/>
  <c r="H107" i="3"/>
  <c r="H98" i="3"/>
  <c r="H95" i="3"/>
  <c r="H73" i="3"/>
  <c r="H93" i="3"/>
  <c r="H103" i="3"/>
  <c r="H92" i="3"/>
  <c r="H76" i="3"/>
  <c r="H89" i="3"/>
  <c r="H94" i="3"/>
  <c r="H108" i="3"/>
  <c r="H96" i="3"/>
  <c r="H111" i="3"/>
  <c r="H88" i="3"/>
  <c r="H74" i="3"/>
  <c r="H77" i="3"/>
  <c r="H85" i="3"/>
  <c r="H97" i="3"/>
  <c r="H75" i="3"/>
  <c r="H100" i="3"/>
  <c r="H110" i="3"/>
  <c r="H105" i="3"/>
  <c r="H91" i="3"/>
  <c r="H90" i="3"/>
  <c r="H104" i="3"/>
  <c r="H106" i="3"/>
  <c r="H102" i="3"/>
  <c r="H87" i="3"/>
  <c r="H113" i="3"/>
  <c r="H112" i="3"/>
  <c r="H99" i="3"/>
  <c r="H109" i="3"/>
  <c r="X87" i="3"/>
  <c r="X100" i="3"/>
  <c r="X85" i="3"/>
  <c r="X94" i="3"/>
  <c r="X110" i="3"/>
  <c r="X109" i="3"/>
  <c r="X103" i="3"/>
  <c r="X107" i="3"/>
  <c r="X93" i="3"/>
  <c r="X98" i="3"/>
  <c r="X106" i="3"/>
  <c r="X96" i="3"/>
  <c r="X101" i="3"/>
  <c r="X111" i="3"/>
  <c r="X91" i="3"/>
  <c r="X75" i="3"/>
  <c r="X95" i="3"/>
  <c r="X105" i="3"/>
  <c r="X104" i="3"/>
  <c r="X97" i="3"/>
  <c r="X92" i="3"/>
  <c r="X112" i="3"/>
  <c r="X108" i="3"/>
  <c r="X76" i="3"/>
  <c r="X99" i="3"/>
  <c r="X74" i="3"/>
  <c r="X113" i="3"/>
  <c r="X77" i="3"/>
  <c r="X73" i="3"/>
  <c r="X102" i="3"/>
  <c r="X90" i="3"/>
  <c r="X89" i="3"/>
  <c r="X88" i="3"/>
  <c r="AN73" i="3"/>
  <c r="AN92" i="3"/>
  <c r="AN112" i="3"/>
  <c r="AN111" i="3"/>
  <c r="AN74" i="3"/>
  <c r="AN107" i="3"/>
  <c r="AN91" i="3"/>
  <c r="AN102" i="3"/>
  <c r="AN90" i="3"/>
  <c r="AN93" i="3"/>
  <c r="AN109" i="3"/>
  <c r="AN97" i="3"/>
  <c r="AN77" i="3"/>
  <c r="AN103" i="3"/>
  <c r="AN96" i="3"/>
  <c r="AN108" i="3"/>
  <c r="AN95" i="3"/>
  <c r="AN100" i="3"/>
  <c r="AN75" i="3"/>
  <c r="AN76" i="3"/>
  <c r="AN106" i="3"/>
  <c r="AN85" i="3"/>
  <c r="AN94" i="3"/>
  <c r="AN105" i="3"/>
  <c r="AN88" i="3"/>
  <c r="AN89" i="3"/>
  <c r="AN113" i="3"/>
  <c r="AN101" i="3"/>
  <c r="AN110" i="3"/>
  <c r="AN99" i="3"/>
  <c r="AN98" i="3"/>
  <c r="AN104" i="3"/>
  <c r="AN87" i="3"/>
  <c r="BD77" i="3"/>
  <c r="BD89" i="3"/>
  <c r="BD108" i="3"/>
  <c r="BD93" i="3"/>
  <c r="BD75" i="3"/>
  <c r="BD95" i="3"/>
  <c r="BD102" i="3"/>
  <c r="BD96" i="3"/>
  <c r="BD111" i="3"/>
  <c r="BD73" i="3"/>
  <c r="BD104" i="3"/>
  <c r="BD94" i="3"/>
  <c r="BD91" i="3"/>
  <c r="BD98" i="3"/>
  <c r="BD100" i="3"/>
  <c r="BD110" i="3"/>
  <c r="BD101" i="3"/>
  <c r="BD85" i="3"/>
  <c r="BD103" i="3"/>
  <c r="BD76" i="3"/>
  <c r="BD99" i="3"/>
  <c r="BD112" i="3"/>
  <c r="BD107" i="3"/>
  <c r="BD87" i="3"/>
  <c r="BD105" i="3"/>
  <c r="BD88" i="3"/>
  <c r="BD92" i="3"/>
  <c r="BD74" i="3"/>
  <c r="BD109" i="3"/>
  <c r="BD97" i="3"/>
  <c r="BT75" i="3"/>
  <c r="BT113" i="3"/>
  <c r="BT94" i="3"/>
  <c r="BT91" i="3"/>
  <c r="BT102" i="3"/>
  <c r="BT95" i="3"/>
  <c r="BT77" i="3"/>
  <c r="BT103" i="3"/>
  <c r="BT106" i="3"/>
  <c r="BT111" i="3"/>
  <c r="CJ89" i="3"/>
  <c r="CJ113" i="3"/>
  <c r="CJ92" i="3"/>
  <c r="CJ98" i="3"/>
  <c r="CJ110" i="3"/>
  <c r="CJ74" i="3"/>
  <c r="CJ95" i="3"/>
  <c r="CJ96" i="3"/>
  <c r="CJ94" i="3"/>
  <c r="CJ99" i="3"/>
  <c r="M110" i="3"/>
  <c r="M106" i="3"/>
  <c r="M75" i="3"/>
  <c r="M102" i="3"/>
  <c r="M100" i="3"/>
  <c r="M92" i="3"/>
  <c r="M74" i="3"/>
  <c r="M101" i="3"/>
  <c r="M98" i="3"/>
  <c r="M90" i="3"/>
  <c r="BD113" i="3"/>
  <c r="BD106" i="3"/>
  <c r="BD90" i="3"/>
  <c r="BT99" i="3"/>
  <c r="BT98" i="3"/>
  <c r="BT90" i="3"/>
  <c r="BT92" i="3"/>
  <c r="BT87" i="3"/>
  <c r="BT88" i="3"/>
  <c r="BT93" i="3"/>
  <c r="BT105" i="3"/>
  <c r="BT112" i="3"/>
  <c r="BT74" i="3"/>
  <c r="BT109" i="3"/>
  <c r="BT73" i="3"/>
  <c r="BT97" i="3"/>
  <c r="BT89" i="3"/>
  <c r="BT76" i="3"/>
  <c r="BT108" i="3"/>
  <c r="BT96" i="3"/>
  <c r="BT110" i="3"/>
  <c r="BT101" i="3"/>
  <c r="BT107" i="3"/>
  <c r="BT100" i="3"/>
  <c r="BT85" i="3"/>
  <c r="BT104" i="3"/>
  <c r="CJ91" i="3"/>
  <c r="CJ75" i="3"/>
  <c r="CJ100" i="3"/>
  <c r="CJ108" i="3"/>
  <c r="CJ111" i="3"/>
  <c r="CJ93" i="3"/>
  <c r="CJ73" i="3"/>
  <c r="CJ109" i="3"/>
  <c r="CJ102" i="3"/>
  <c r="CJ107" i="3"/>
  <c r="CJ101" i="3"/>
  <c r="CJ87" i="3"/>
  <c r="CJ112" i="3"/>
  <c r="CJ106" i="3"/>
  <c r="CJ88" i="3"/>
  <c r="CJ90" i="3"/>
  <c r="CJ85" i="3"/>
  <c r="CJ77" i="3"/>
  <c r="CJ76" i="3"/>
  <c r="CJ103" i="3"/>
  <c r="CJ97" i="3"/>
  <c r="CJ104" i="3"/>
  <c r="CJ105" i="3"/>
  <c r="M93" i="3"/>
  <c r="M107" i="3"/>
  <c r="M109" i="3"/>
  <c r="M88" i="3"/>
  <c r="M103" i="3"/>
  <c r="M113" i="3"/>
  <c r="M91" i="3"/>
  <c r="M85" i="3"/>
  <c r="M96" i="3"/>
  <c r="M95" i="3"/>
  <c r="M111" i="3"/>
  <c r="M94" i="3"/>
  <c r="M89" i="3"/>
  <c r="M112" i="3"/>
  <c r="M97" i="3"/>
  <c r="M73" i="3"/>
  <c r="M77" i="3"/>
  <c r="M105" i="3"/>
  <c r="M76" i="3"/>
  <c r="M108" i="3"/>
  <c r="M87" i="3"/>
  <c r="M99" i="3"/>
  <c r="M104" i="3"/>
  <c r="AC96" i="3"/>
  <c r="AC97" i="3"/>
  <c r="AC111" i="3"/>
  <c r="AC99" i="3"/>
  <c r="AC109" i="3"/>
  <c r="AC105" i="3"/>
  <c r="AC73" i="3"/>
  <c r="AC94" i="3"/>
  <c r="AC113" i="3"/>
  <c r="AC106" i="3"/>
  <c r="AC91" i="3"/>
  <c r="AC102" i="3"/>
  <c r="AC89" i="3"/>
  <c r="AC112" i="3"/>
  <c r="AC95" i="3"/>
  <c r="AC103" i="3"/>
  <c r="AC98" i="3"/>
  <c r="AC88" i="3"/>
  <c r="AC75" i="3"/>
  <c r="AC110" i="3"/>
  <c r="AC92" i="3"/>
  <c r="AC74" i="3"/>
  <c r="AC90" i="3"/>
  <c r="AC107" i="3"/>
  <c r="AC108" i="3"/>
  <c r="AC100" i="3"/>
  <c r="AC76" i="3"/>
  <c r="AC87" i="3"/>
  <c r="AC104" i="3"/>
  <c r="AC93" i="3"/>
  <c r="AC85" i="3"/>
  <c r="AC101" i="3"/>
  <c r="AC77" i="3"/>
  <c r="AS91" i="3"/>
  <c r="AS87" i="3"/>
  <c r="AS106" i="3"/>
  <c r="AS74" i="3"/>
  <c r="AS76" i="3"/>
  <c r="AS95" i="3"/>
  <c r="AS92" i="3"/>
  <c r="AS104" i="3"/>
  <c r="AS109" i="3"/>
  <c r="AS97" i="3"/>
  <c r="AS98" i="3"/>
  <c r="AS102" i="3"/>
  <c r="AS89" i="3"/>
  <c r="AS110" i="3"/>
  <c r="AS96" i="3"/>
  <c r="AS100" i="3"/>
  <c r="AS88" i="3"/>
  <c r="AS85" i="3"/>
  <c r="AS77" i="3"/>
  <c r="AS93" i="3"/>
  <c r="AS111" i="3"/>
  <c r="AS99" i="3"/>
  <c r="AS112" i="3"/>
  <c r="AS90" i="3"/>
  <c r="AS113" i="3"/>
  <c r="AS94" i="3"/>
  <c r="AS103" i="3"/>
  <c r="AS75" i="3"/>
  <c r="AS101" i="3"/>
  <c r="AS73" i="3"/>
  <c r="BI107" i="3"/>
  <c r="BI93" i="3"/>
  <c r="BI98" i="3"/>
  <c r="BI87" i="3"/>
  <c r="BI109" i="3"/>
  <c r="BI76" i="3"/>
  <c r="BI108" i="3"/>
  <c r="BI104" i="3"/>
  <c r="BI88" i="3"/>
  <c r="BI91" i="3"/>
  <c r="BI73" i="3"/>
  <c r="BI99" i="3"/>
  <c r="BI100" i="3"/>
  <c r="BI90" i="3"/>
  <c r="BI92" i="3"/>
  <c r="BI106" i="3"/>
  <c r="BI111" i="3"/>
  <c r="BI77" i="3"/>
  <c r="BI75" i="3"/>
  <c r="BI101" i="3"/>
  <c r="BI103" i="3"/>
  <c r="BI113" i="3"/>
  <c r="BI105" i="3"/>
  <c r="BI110" i="3"/>
  <c r="BI112" i="3"/>
  <c r="BI96" i="3"/>
  <c r="BI85" i="3"/>
  <c r="BI74" i="3"/>
  <c r="BI94" i="3"/>
  <c r="BI95" i="3"/>
  <c r="BY107" i="3"/>
  <c r="BY109" i="3"/>
  <c r="BY73" i="3"/>
  <c r="BY103" i="3"/>
  <c r="BY90" i="3"/>
  <c r="BY105" i="3"/>
  <c r="BY93" i="3"/>
  <c r="BY74" i="3"/>
  <c r="BY85" i="3"/>
  <c r="BY101" i="3"/>
  <c r="R110" i="3"/>
  <c r="R104" i="3"/>
  <c r="R91" i="3"/>
  <c r="R96" i="3"/>
  <c r="R109" i="3"/>
  <c r="R88" i="3"/>
  <c r="R97" i="3"/>
  <c r="R101" i="3"/>
  <c r="R100" i="3"/>
  <c r="R99" i="3"/>
  <c r="AS107" i="3"/>
  <c r="AS108" i="3"/>
  <c r="AS105" i="3"/>
  <c r="BI102" i="3"/>
  <c r="BI97" i="3"/>
  <c r="BI89" i="3"/>
  <c r="BY97" i="3"/>
  <c r="BY75" i="3"/>
  <c r="BY89" i="3"/>
  <c r="BY112" i="3"/>
  <c r="BY113" i="3"/>
  <c r="BY106" i="3"/>
  <c r="BY88" i="3"/>
  <c r="BY102" i="3"/>
  <c r="BY77" i="3"/>
  <c r="BY104" i="3"/>
  <c r="BY95" i="3"/>
  <c r="BY87" i="3"/>
  <c r="BY100" i="3"/>
  <c r="BY99" i="3"/>
  <c r="BY108" i="3"/>
  <c r="BY110" i="3"/>
  <c r="BY98" i="3"/>
  <c r="BY94" i="3"/>
  <c r="BY92" i="3"/>
  <c r="BY111" i="3"/>
  <c r="BY91" i="3"/>
  <c r="BY96" i="3"/>
  <c r="BY76" i="3"/>
  <c r="R113" i="3"/>
  <c r="R107" i="3"/>
  <c r="R106" i="3"/>
  <c r="R90" i="3"/>
  <c r="R95" i="3"/>
  <c r="R89" i="3"/>
  <c r="R92" i="3"/>
  <c r="R87" i="3"/>
  <c r="R105" i="3"/>
  <c r="R111" i="3"/>
  <c r="R112" i="3"/>
  <c r="R73" i="3"/>
  <c r="R108" i="3"/>
  <c r="R85" i="3"/>
  <c r="R98" i="3"/>
  <c r="R76" i="3"/>
  <c r="R74" i="3"/>
  <c r="R103" i="3"/>
  <c r="R77" i="3"/>
  <c r="R94" i="3"/>
  <c r="R75" i="3"/>
  <c r="R93" i="3"/>
  <c r="R102" i="3"/>
  <c r="AH99" i="3"/>
  <c r="AH108" i="3"/>
  <c r="AH89" i="3"/>
  <c r="AH76" i="3"/>
  <c r="AH110" i="3"/>
  <c r="AH113" i="3"/>
  <c r="AH96" i="3"/>
  <c r="AH109" i="3"/>
  <c r="AH94" i="3"/>
  <c r="AH91" i="3"/>
  <c r="AH97" i="3"/>
  <c r="AH87" i="3"/>
  <c r="AH73" i="3"/>
  <c r="AH93" i="3"/>
  <c r="AH101" i="3"/>
  <c r="AH95" i="3"/>
  <c r="AH106" i="3"/>
  <c r="AH100" i="3"/>
  <c r="AH88" i="3"/>
  <c r="AH75" i="3"/>
  <c r="AH111" i="3"/>
  <c r="AH85" i="3"/>
  <c r="AH98" i="3"/>
  <c r="AH92" i="3"/>
  <c r="AH105" i="3"/>
  <c r="AH107" i="3"/>
  <c r="AH102" i="3"/>
  <c r="AH103" i="3"/>
  <c r="AH90" i="3"/>
  <c r="AH77" i="3"/>
  <c r="AH104" i="3"/>
  <c r="AH74" i="3"/>
  <c r="AH112" i="3"/>
  <c r="AX108" i="3"/>
  <c r="AX106" i="3"/>
  <c r="AX100" i="3"/>
  <c r="AX102" i="3"/>
  <c r="AX90" i="3"/>
  <c r="AX101" i="3"/>
  <c r="AX85" i="3"/>
  <c r="AX77" i="3"/>
  <c r="AX112" i="3"/>
  <c r="AX113" i="3"/>
  <c r="AX97" i="3"/>
  <c r="AX91" i="3"/>
  <c r="AX99" i="3"/>
  <c r="AX103" i="3"/>
  <c r="AX104" i="3"/>
  <c r="AX109" i="3"/>
  <c r="AX93" i="3"/>
  <c r="AX110" i="3"/>
  <c r="AX88" i="3"/>
  <c r="AX87" i="3"/>
  <c r="BN104" i="3"/>
  <c r="BN88" i="3"/>
  <c r="BN105" i="3"/>
  <c r="BN77" i="3"/>
  <c r="BN113" i="3"/>
  <c r="BN100" i="3"/>
  <c r="BN107" i="3"/>
  <c r="BN103" i="3"/>
  <c r="BN109" i="3"/>
  <c r="BN96" i="3"/>
  <c r="BN92" i="3"/>
  <c r="BN112" i="3"/>
  <c r="BN97" i="3"/>
  <c r="BN106" i="3"/>
  <c r="BN75" i="3"/>
  <c r="BN98" i="3"/>
  <c r="BN93" i="3"/>
  <c r="BN99" i="3"/>
  <c r="BN87" i="3"/>
  <c r="BN101" i="3"/>
  <c r="CD73" i="3"/>
  <c r="CD109" i="3"/>
  <c r="CD110" i="3"/>
  <c r="CD108" i="3"/>
  <c r="CD77" i="3"/>
  <c r="CD96" i="3"/>
  <c r="CD74" i="3"/>
  <c r="CD92" i="3"/>
  <c r="CD89" i="3"/>
  <c r="CD91" i="3"/>
  <c r="CD76" i="3"/>
  <c r="CD94" i="3"/>
  <c r="CD101" i="3"/>
  <c r="CD98" i="3"/>
  <c r="CD106" i="3"/>
  <c r="CD75" i="3"/>
  <c r="CD104" i="3"/>
  <c r="CD107" i="3"/>
  <c r="CD88" i="3"/>
  <c r="CD103" i="3"/>
  <c r="CD100" i="3"/>
  <c r="CD99" i="3"/>
  <c r="CD105" i="3"/>
  <c r="CD93" i="3"/>
  <c r="CD111" i="3"/>
  <c r="CD85" i="3"/>
  <c r="CD95" i="3"/>
  <c r="CD102" i="3"/>
  <c r="CD97" i="3"/>
  <c r="CD87" i="3"/>
  <c r="T98" i="3"/>
  <c r="T112" i="3"/>
  <c r="T94" i="3"/>
  <c r="T76" i="3"/>
  <c r="T92" i="3"/>
  <c r="T113" i="3"/>
  <c r="T107" i="3"/>
  <c r="T105" i="3"/>
  <c r="T108" i="3"/>
  <c r="T110" i="3"/>
  <c r="T106" i="3"/>
  <c r="T95" i="3"/>
  <c r="T73" i="3"/>
  <c r="T74" i="3"/>
  <c r="T111" i="3"/>
  <c r="T101" i="3"/>
  <c r="T75" i="3"/>
  <c r="T103" i="3"/>
  <c r="T77" i="3"/>
  <c r="T102" i="3"/>
  <c r="AX105" i="3"/>
  <c r="AX111" i="3"/>
  <c r="AX92" i="3"/>
  <c r="AX98" i="3"/>
  <c r="AX95" i="3"/>
  <c r="AX73" i="3"/>
  <c r="AX89" i="3"/>
  <c r="AX75" i="3"/>
  <c r="AX96" i="3"/>
  <c r="AX74" i="3"/>
  <c r="AX94" i="3"/>
  <c r="AX76" i="3"/>
  <c r="AX107" i="3"/>
  <c r="BN76" i="3"/>
  <c r="BN73" i="3"/>
  <c r="BN102" i="3"/>
  <c r="BN108" i="3"/>
  <c r="BN89" i="3"/>
  <c r="BN85" i="3"/>
  <c r="BN91" i="3"/>
  <c r="BN111" i="3"/>
  <c r="BN90" i="3"/>
  <c r="BN95" i="3"/>
  <c r="BN110" i="3"/>
  <c r="BN94" i="3"/>
  <c r="BN74" i="3"/>
  <c r="CD113" i="3"/>
  <c r="CD90" i="3"/>
  <c r="CD112" i="3"/>
  <c r="K109" i="3"/>
  <c r="K99" i="3"/>
  <c r="K113" i="3"/>
  <c r="K76" i="3"/>
  <c r="K105" i="3"/>
  <c r="K94" i="3"/>
  <c r="K110" i="3"/>
  <c r="K88" i="3"/>
  <c r="K112" i="3"/>
  <c r="K102" i="3"/>
  <c r="K90" i="3"/>
  <c r="K101" i="3"/>
  <c r="K75" i="3"/>
  <c r="K74" i="3"/>
  <c r="K95" i="3"/>
  <c r="K91" i="3"/>
  <c r="K108" i="3"/>
  <c r="K89" i="3"/>
  <c r="K106" i="3"/>
  <c r="K85" i="3"/>
  <c r="K103" i="3"/>
  <c r="K97" i="3"/>
  <c r="K104" i="3"/>
  <c r="K93" i="3"/>
  <c r="K100" i="3"/>
  <c r="K96" i="3"/>
  <c r="K92" i="3"/>
  <c r="K98" i="3"/>
  <c r="K107" i="3"/>
  <c r="K73" i="3"/>
  <c r="K77" i="3"/>
  <c r="K111" i="3"/>
  <c r="K87" i="3"/>
  <c r="AA75" i="3"/>
  <c r="AA108" i="3"/>
  <c r="AA96" i="3"/>
  <c r="AA95" i="3"/>
  <c r="AA113" i="3"/>
  <c r="AA112" i="3"/>
  <c r="AA91" i="3"/>
  <c r="AA100" i="3"/>
  <c r="AA88" i="3"/>
  <c r="AA76" i="3"/>
  <c r="AA99" i="3"/>
  <c r="AA93" i="3"/>
  <c r="AA85" i="3"/>
  <c r="AA110" i="3"/>
  <c r="AA92" i="3"/>
  <c r="AA111" i="3"/>
  <c r="AA101" i="3"/>
  <c r="AA74" i="3"/>
  <c r="AA73" i="3"/>
  <c r="AA97" i="3"/>
  <c r="AA105" i="3"/>
  <c r="AA94" i="3"/>
  <c r="AA98" i="3"/>
  <c r="AA90" i="3"/>
  <c r="AA77" i="3"/>
  <c r="AA106" i="3"/>
  <c r="AA89" i="3"/>
  <c r="AA109" i="3"/>
  <c r="AA87" i="3"/>
  <c r="AA102" i="3"/>
  <c r="AA104" i="3"/>
  <c r="AA107" i="3"/>
  <c r="AA103" i="3"/>
  <c r="AQ111" i="3"/>
  <c r="AQ107" i="3"/>
  <c r="AQ102" i="3"/>
  <c r="AQ108" i="3"/>
  <c r="AQ74" i="3"/>
  <c r="AQ98" i="3"/>
  <c r="AQ77" i="3"/>
  <c r="AQ85" i="3"/>
  <c r="AQ105" i="3"/>
  <c r="AQ100" i="3"/>
  <c r="AQ109" i="3"/>
  <c r="AQ76" i="3"/>
  <c r="AQ104" i="3"/>
  <c r="AQ73" i="3"/>
  <c r="AQ94" i="3"/>
  <c r="AQ96" i="3"/>
  <c r="AQ113" i="3"/>
  <c r="AQ91" i="3"/>
  <c r="AQ88" i="3"/>
  <c r="AQ99" i="3"/>
  <c r="AQ106" i="3"/>
  <c r="AQ90" i="3"/>
  <c r="AQ75" i="3"/>
  <c r="AQ92" i="3"/>
  <c r="AQ89" i="3"/>
  <c r="AQ112" i="3"/>
  <c r="AQ101" i="3"/>
  <c r="AQ93" i="3"/>
  <c r="AQ103" i="3"/>
  <c r="AQ87" i="3"/>
  <c r="BG109" i="3"/>
  <c r="BG107" i="3"/>
  <c r="BG106" i="3"/>
  <c r="BG108" i="3"/>
  <c r="BG76" i="3"/>
  <c r="BG73" i="3"/>
  <c r="BG87" i="3"/>
  <c r="BG110" i="3"/>
  <c r="BG96" i="3"/>
  <c r="BG93" i="3"/>
  <c r="BW106" i="3"/>
  <c r="BW101" i="3"/>
  <c r="BW88" i="3"/>
  <c r="BW102" i="3"/>
  <c r="BW74" i="3"/>
  <c r="BW110" i="3"/>
  <c r="BW91" i="3"/>
  <c r="BW75" i="3"/>
  <c r="BW108" i="3"/>
  <c r="BW96" i="3"/>
  <c r="BW94" i="3"/>
  <c r="BW93" i="3"/>
  <c r="BW90" i="3"/>
  <c r="BW104" i="3"/>
  <c r="BW73" i="3"/>
  <c r="BW76" i="3"/>
  <c r="BW85" i="3"/>
  <c r="BW99" i="3"/>
  <c r="BW112" i="3"/>
  <c r="BW77" i="3"/>
  <c r="T96" i="3"/>
  <c r="T100" i="3"/>
  <c r="T104" i="3"/>
  <c r="T91" i="3"/>
  <c r="T88" i="3"/>
  <c r="T93" i="3"/>
  <c r="T99" i="3"/>
  <c r="T90" i="3"/>
  <c r="T89" i="3"/>
  <c r="T97" i="3"/>
  <c r="T87" i="3"/>
  <c r="T85" i="3"/>
  <c r="T109" i="3"/>
  <c r="BP111" i="3"/>
  <c r="BP113" i="3"/>
  <c r="BP112" i="3"/>
  <c r="BP85" i="3"/>
  <c r="BP87" i="3"/>
  <c r="BP73" i="3"/>
  <c r="BP103" i="3"/>
  <c r="BP106" i="3"/>
  <c r="BP95" i="3"/>
  <c r="BP100" i="3"/>
  <c r="BP74" i="3"/>
  <c r="BP77" i="3"/>
  <c r="BP108" i="3"/>
  <c r="BP105" i="3"/>
  <c r="BP107" i="3"/>
  <c r="BP93" i="3"/>
  <c r="BP101" i="3"/>
  <c r="BP88" i="3"/>
  <c r="BP90" i="3"/>
  <c r="BP97" i="3"/>
  <c r="BP75" i="3"/>
  <c r="BP94" i="3"/>
  <c r="BP110" i="3"/>
  <c r="BP99" i="3"/>
  <c r="BP76" i="3"/>
  <c r="BP96" i="3"/>
  <c r="BP109" i="3"/>
  <c r="BP91" i="3"/>
  <c r="BP104" i="3"/>
  <c r="BP89" i="3"/>
  <c r="BP98" i="3"/>
  <c r="BP102" i="3"/>
  <c r="BP92" i="3"/>
  <c r="I73" i="3"/>
  <c r="I105" i="3"/>
  <c r="I93" i="3"/>
  <c r="I106" i="3"/>
  <c r="I76" i="3"/>
  <c r="I112" i="3"/>
  <c r="I109" i="3"/>
  <c r="I95" i="3"/>
  <c r="I100" i="3"/>
  <c r="I107" i="3"/>
  <c r="I103" i="3"/>
  <c r="I102" i="3"/>
  <c r="I75" i="3"/>
  <c r="I91" i="3"/>
  <c r="I74" i="3"/>
  <c r="I87" i="3"/>
  <c r="I104" i="3"/>
  <c r="I101" i="3"/>
  <c r="I90" i="3"/>
  <c r="I99" i="3"/>
  <c r="I89" i="3"/>
  <c r="I111" i="3"/>
  <c r="I96" i="3"/>
  <c r="I88" i="3"/>
  <c r="I77" i="3"/>
  <c r="I92" i="3"/>
  <c r="I98" i="3"/>
  <c r="I108" i="3"/>
  <c r="I113" i="3"/>
  <c r="I94" i="3"/>
  <c r="BE89" i="3"/>
  <c r="BE87" i="3"/>
  <c r="BE98" i="3"/>
  <c r="BE76" i="3"/>
  <c r="BE90" i="3"/>
  <c r="BE112" i="3"/>
  <c r="BE73" i="3"/>
  <c r="BE96" i="3"/>
  <c r="BE97" i="3"/>
  <c r="BE93" i="3"/>
  <c r="BE95" i="3"/>
  <c r="BE113" i="3"/>
  <c r="BE102" i="3"/>
  <c r="BE75" i="3"/>
  <c r="BE99" i="3"/>
  <c r="BE107" i="3"/>
  <c r="BE101" i="3"/>
  <c r="BE111" i="3"/>
  <c r="BE85" i="3"/>
  <c r="BE106" i="3"/>
  <c r="AD105" i="3"/>
  <c r="AD113" i="3"/>
  <c r="AD100" i="3"/>
  <c r="AD73" i="3"/>
  <c r="AD108" i="3"/>
  <c r="AD102" i="3"/>
  <c r="AD74" i="3"/>
  <c r="AD90" i="3"/>
  <c r="AD75" i="3"/>
  <c r="AD99" i="3"/>
  <c r="BZ99" i="3"/>
  <c r="BZ75" i="3"/>
  <c r="BZ95" i="3"/>
  <c r="BZ103" i="3"/>
  <c r="BZ91" i="3"/>
  <c r="BZ109" i="3"/>
  <c r="BZ77" i="3"/>
  <c r="BZ113" i="3"/>
  <c r="BZ97" i="3"/>
  <c r="BZ88" i="3"/>
  <c r="BW109" i="3"/>
  <c r="BW89" i="3"/>
  <c r="BW103" i="3"/>
  <c r="BW113" i="3"/>
  <c r="BW95" i="3"/>
  <c r="BW107" i="3"/>
  <c r="BW87" i="3"/>
  <c r="BW97" i="3"/>
  <c r="BW111" i="3"/>
  <c r="BW105" i="3"/>
  <c r="BW92" i="3"/>
  <c r="BW100" i="3"/>
  <c r="BW98" i="3"/>
  <c r="BG75" i="3"/>
  <c r="BG98" i="3"/>
  <c r="BG85" i="3"/>
  <c r="BG101" i="3"/>
  <c r="BG92" i="3"/>
  <c r="BG94" i="3"/>
  <c r="BG91" i="3"/>
  <c r="BG90" i="3"/>
  <c r="BG89" i="3"/>
  <c r="BG111" i="3"/>
  <c r="BG77" i="3"/>
  <c r="BG105" i="3"/>
  <c r="BG104" i="3"/>
  <c r="BG99" i="3"/>
  <c r="BG88" i="3"/>
  <c r="BG112" i="3"/>
  <c r="BG97" i="3"/>
  <c r="BG100" i="3"/>
  <c r="BG74" i="3"/>
  <c r="BG95" i="3"/>
  <c r="BG103" i="3"/>
  <c r="BG102" i="3"/>
  <c r="BG113" i="3"/>
  <c r="AQ95" i="3"/>
  <c r="AQ110" i="3"/>
  <c r="AQ97" i="3"/>
  <c r="I85" i="3"/>
  <c r="I110" i="3"/>
  <c r="I97" i="3"/>
  <c r="BE103" i="3"/>
  <c r="BE88" i="3"/>
  <c r="BE100" i="3"/>
  <c r="BE109" i="3"/>
  <c r="BE92" i="3"/>
  <c r="BE91" i="3"/>
  <c r="BE94" i="3"/>
  <c r="BE108" i="3"/>
  <c r="BE105" i="3"/>
  <c r="BE74" i="3"/>
  <c r="BE77" i="3"/>
  <c r="BE110" i="3"/>
  <c r="BE104" i="3"/>
  <c r="AD96" i="3"/>
  <c r="AD76" i="3"/>
  <c r="AD85" i="3"/>
  <c r="AD88" i="3"/>
  <c r="AD91" i="3"/>
  <c r="AD111" i="3"/>
  <c r="AD94" i="3"/>
  <c r="AD109" i="3"/>
  <c r="AD110" i="3"/>
  <c r="AD92" i="3"/>
  <c r="AD87" i="3"/>
  <c r="AD98" i="3"/>
  <c r="AD112" i="3"/>
  <c r="AD101" i="3"/>
  <c r="AD106" i="3"/>
  <c r="AD77" i="3"/>
  <c r="AD107" i="3"/>
  <c r="AD97" i="3"/>
  <c r="AD103" i="3"/>
  <c r="AD95" i="3"/>
  <c r="AD93" i="3"/>
  <c r="AD89" i="3"/>
  <c r="AD104" i="3"/>
  <c r="BZ102" i="3"/>
  <c r="BZ108" i="3"/>
  <c r="BZ98" i="3"/>
  <c r="BZ89" i="3"/>
  <c r="BZ94" i="3"/>
  <c r="BZ93" i="3"/>
  <c r="BZ92" i="3"/>
  <c r="BZ85" i="3"/>
  <c r="BZ76" i="3"/>
  <c r="BZ105" i="3"/>
  <c r="BZ90" i="3"/>
  <c r="BZ106" i="3"/>
  <c r="BZ112" i="3"/>
  <c r="BZ110" i="3"/>
  <c r="BZ74" i="3"/>
  <c r="BZ104" i="3"/>
  <c r="BZ73" i="3"/>
  <c r="BZ107" i="3"/>
  <c r="BZ96" i="3"/>
  <c r="BZ101" i="3"/>
  <c r="BZ100" i="3"/>
  <c r="BZ87" i="3"/>
  <c r="BZ111" i="3"/>
  <c r="AM95" i="3"/>
  <c r="AM77" i="3"/>
  <c r="AM96" i="3"/>
  <c r="AM101" i="3"/>
  <c r="AM113" i="3"/>
  <c r="AM106" i="3"/>
  <c r="AM105" i="3"/>
  <c r="AM102" i="3"/>
  <c r="AM91" i="3"/>
  <c r="AM108" i="3"/>
  <c r="AM111" i="3"/>
  <c r="AM110" i="3"/>
  <c r="AM87" i="3"/>
  <c r="AM107" i="3"/>
  <c r="AM109" i="3"/>
  <c r="AM85" i="3"/>
  <c r="AM94" i="3"/>
  <c r="AM99" i="3"/>
  <c r="AM88" i="3"/>
  <c r="AM92" i="3"/>
  <c r="AM98" i="3"/>
  <c r="AM75" i="3"/>
  <c r="AM104" i="3"/>
  <c r="AM76" i="3"/>
  <c r="AM103" i="3"/>
  <c r="AM89" i="3"/>
  <c r="AM97" i="3"/>
  <c r="AM90" i="3"/>
  <c r="AM73" i="3"/>
  <c r="AM74" i="3"/>
  <c r="AM93" i="3"/>
  <c r="AM112" i="3"/>
  <c r="AM100" i="3"/>
  <c r="CI107" i="3"/>
  <c r="CI94" i="3"/>
  <c r="CI104" i="3"/>
  <c r="CI75" i="3"/>
  <c r="CI98" i="3"/>
  <c r="CI101" i="3"/>
  <c r="CI110" i="3"/>
  <c r="CI99" i="3"/>
  <c r="CI113" i="3"/>
  <c r="CI88" i="3"/>
  <c r="CI95" i="3"/>
  <c r="CI77" i="3"/>
  <c r="CI85" i="3"/>
  <c r="CI111" i="3"/>
  <c r="CI108" i="3"/>
  <c r="CI92" i="3"/>
  <c r="CI73" i="3"/>
  <c r="CI100" i="3"/>
  <c r="CI109" i="3"/>
  <c r="CI106" i="3"/>
  <c r="CI105" i="3"/>
  <c r="CI102" i="3"/>
  <c r="CI74" i="3"/>
  <c r="CI76" i="3"/>
  <c r="CI96" i="3"/>
  <c r="CI89" i="3"/>
  <c r="CI97" i="3"/>
  <c r="CI91" i="3"/>
  <c r="CI103" i="3"/>
  <c r="CI90" i="3"/>
  <c r="CI112" i="3"/>
  <c r="CI93" i="3"/>
  <c r="CI87" i="3"/>
  <c r="L108" i="3"/>
  <c r="L87" i="3"/>
  <c r="L92" i="3"/>
  <c r="L74" i="3"/>
  <c r="L88" i="3"/>
  <c r="L95" i="3"/>
  <c r="L96" i="3"/>
  <c r="L103" i="3"/>
  <c r="L75" i="3"/>
  <c r="L93" i="3"/>
  <c r="L97" i="3"/>
  <c r="L107" i="3"/>
  <c r="L106" i="3"/>
  <c r="L111" i="3"/>
  <c r="L90" i="3"/>
  <c r="L73" i="3"/>
  <c r="L98" i="3"/>
  <c r="L102" i="3"/>
  <c r="L110" i="3"/>
  <c r="L94" i="3"/>
  <c r="L113" i="3"/>
  <c r="L89" i="3"/>
  <c r="L100" i="3"/>
  <c r="L91" i="3"/>
  <c r="L112" i="3"/>
  <c r="L104" i="3"/>
  <c r="L109" i="3"/>
  <c r="L101" i="3"/>
  <c r="L99" i="3"/>
  <c r="L77" i="3"/>
  <c r="AB87" i="3"/>
  <c r="AB113" i="3"/>
  <c r="AB107" i="3"/>
  <c r="AB77" i="3"/>
  <c r="AB74" i="3"/>
  <c r="AB76" i="3"/>
  <c r="AB111" i="3"/>
  <c r="AB101" i="3"/>
  <c r="AB99" i="3"/>
  <c r="AB85" i="3"/>
  <c r="AB95" i="3"/>
  <c r="AB92" i="3"/>
  <c r="AB104" i="3"/>
  <c r="AB93" i="3"/>
  <c r="AB110" i="3"/>
  <c r="AB105" i="3"/>
  <c r="AB112" i="3"/>
  <c r="AB90" i="3"/>
  <c r="AB108" i="3"/>
  <c r="AB75" i="3"/>
  <c r="AB109" i="3"/>
  <c r="AB88" i="3"/>
  <c r="AB89" i="3"/>
  <c r="AB102" i="3"/>
  <c r="AB96" i="3"/>
  <c r="AB106" i="3"/>
  <c r="AB94" i="3"/>
  <c r="AB103" i="3"/>
  <c r="AB73" i="3"/>
  <c r="AB100" i="3"/>
  <c r="BX102" i="3"/>
  <c r="BX76" i="3"/>
  <c r="BX107" i="3"/>
  <c r="BX110" i="3"/>
  <c r="BX77" i="3"/>
  <c r="BX104" i="3"/>
  <c r="BX93" i="3"/>
  <c r="BX97" i="3"/>
  <c r="BX105" i="3"/>
  <c r="BX74" i="3"/>
  <c r="L105" i="3"/>
  <c r="L76" i="3"/>
  <c r="L85" i="3"/>
  <c r="AB91" i="3"/>
  <c r="AB97" i="3"/>
  <c r="AB98" i="3"/>
  <c r="AR100" i="3"/>
  <c r="AR93" i="3"/>
  <c r="AR106" i="3"/>
  <c r="AR87" i="3"/>
  <c r="AR75" i="3"/>
  <c r="AR74" i="3"/>
  <c r="AR105" i="3"/>
  <c r="AR98" i="3"/>
  <c r="AR113" i="3"/>
  <c r="AR108" i="3"/>
  <c r="AR89" i="3"/>
  <c r="AR85" i="3"/>
  <c r="AR91" i="3"/>
  <c r="AR111" i="3"/>
  <c r="AR97" i="3"/>
  <c r="AR107" i="3"/>
  <c r="AR102" i="3"/>
  <c r="AR95" i="3"/>
  <c r="AR96" i="3"/>
  <c r="AR73" i="3"/>
  <c r="AR76" i="3"/>
  <c r="AR92" i="3"/>
  <c r="AR94" i="3"/>
  <c r="AR110" i="3"/>
  <c r="AR104" i="3"/>
  <c r="AR109" i="3"/>
  <c r="AR99" i="3"/>
  <c r="AR112" i="3"/>
  <c r="AR101" i="3"/>
  <c r="AR103" i="3"/>
  <c r="AR77" i="3"/>
  <c r="AR90" i="3"/>
  <c r="AR88" i="3"/>
  <c r="BH103" i="3"/>
  <c r="BH96" i="3"/>
  <c r="BH85" i="3"/>
  <c r="BH104" i="3"/>
  <c r="BH76" i="3"/>
  <c r="BH95" i="3"/>
  <c r="BH101" i="3"/>
  <c r="BH112" i="3"/>
  <c r="BH73" i="3"/>
  <c r="BH94" i="3"/>
  <c r="BH90" i="3"/>
  <c r="BH108" i="3"/>
  <c r="BH88" i="3"/>
  <c r="BH110" i="3"/>
  <c r="BH98" i="3"/>
  <c r="BH107" i="3"/>
  <c r="BH92" i="3"/>
  <c r="BH97" i="3"/>
  <c r="BH113" i="3"/>
  <c r="BH105" i="3"/>
  <c r="BH106" i="3"/>
  <c r="BH111" i="3"/>
  <c r="BH89" i="3"/>
  <c r="BH102" i="3"/>
  <c r="BH109" i="3"/>
  <c r="BH77" i="3"/>
  <c r="BH87" i="3"/>
  <c r="BH91" i="3"/>
  <c r="BH100" i="3"/>
  <c r="BH93" i="3"/>
  <c r="BH74" i="3"/>
  <c r="BH99" i="3"/>
  <c r="BH75" i="3"/>
  <c r="BX75" i="3"/>
  <c r="BX94" i="3"/>
  <c r="BX87" i="3"/>
  <c r="BX73" i="3"/>
  <c r="BX92" i="3"/>
  <c r="BX113" i="3"/>
  <c r="BX98" i="3"/>
  <c r="BX112" i="3"/>
  <c r="BX91" i="3"/>
  <c r="BX95" i="3"/>
  <c r="BX96" i="3"/>
  <c r="BX85" i="3"/>
  <c r="BX106" i="3"/>
  <c r="BX103" i="3"/>
  <c r="BX109" i="3"/>
  <c r="BX99" i="3"/>
  <c r="BX101" i="3"/>
  <c r="BX100" i="3"/>
  <c r="BX108" i="3"/>
  <c r="BX88" i="3"/>
  <c r="BX89" i="3"/>
  <c r="BX111" i="3"/>
  <c r="BX90" i="3"/>
  <c r="Q111" i="3"/>
  <c r="Q77" i="3"/>
  <c r="Q99" i="3"/>
  <c r="Q107" i="3"/>
  <c r="Q101" i="3"/>
  <c r="Q108" i="3"/>
  <c r="Q98" i="3"/>
  <c r="Q96" i="3"/>
  <c r="Q105" i="3"/>
  <c r="Q110" i="3"/>
  <c r="Q74" i="3"/>
  <c r="Q91" i="3"/>
  <c r="Q85" i="3"/>
  <c r="Q94" i="3"/>
  <c r="Q88" i="3"/>
  <c r="Q113" i="3"/>
  <c r="Q109" i="3"/>
  <c r="Q102" i="3"/>
  <c r="Q100" i="3"/>
  <c r="Q95" i="3"/>
  <c r="Q106" i="3"/>
  <c r="Q104" i="3"/>
  <c r="Q87" i="3"/>
  <c r="Q89" i="3"/>
  <c r="Q93" i="3"/>
  <c r="Q75" i="3"/>
  <c r="Q112" i="3"/>
  <c r="Q92" i="3"/>
  <c r="Q103" i="3"/>
  <c r="Q97" i="3"/>
  <c r="Q73" i="3"/>
  <c r="Q90" i="3"/>
  <c r="Q76" i="3"/>
  <c r="AG106" i="3"/>
  <c r="AG85" i="3"/>
  <c r="AG93" i="3"/>
  <c r="AG99" i="3"/>
  <c r="AG94" i="3"/>
  <c r="AG98" i="3"/>
  <c r="AG88" i="3"/>
  <c r="AG102" i="3"/>
  <c r="AG92" i="3"/>
  <c r="AG89" i="3"/>
  <c r="AG96" i="3"/>
  <c r="AG113" i="3"/>
  <c r="AG77" i="3"/>
  <c r="AG109" i="3"/>
  <c r="AG87" i="3"/>
  <c r="AG91" i="3"/>
  <c r="AG74" i="3"/>
  <c r="AG97" i="3"/>
  <c r="AG111" i="3"/>
  <c r="AG105" i="3"/>
  <c r="AG108" i="3"/>
  <c r="AG76" i="3"/>
  <c r="AG103" i="3"/>
  <c r="AG75" i="3"/>
  <c r="AG107" i="3"/>
  <c r="AG95" i="3"/>
  <c r="AG101" i="3"/>
  <c r="AG110" i="3"/>
  <c r="AG112" i="3"/>
  <c r="AG90" i="3"/>
  <c r="AG73" i="3"/>
  <c r="AG104" i="3"/>
  <c r="AG100" i="3"/>
  <c r="AW90" i="3"/>
  <c r="AW95" i="3"/>
  <c r="AW77" i="3"/>
  <c r="AW109" i="3"/>
  <c r="AW75" i="3"/>
  <c r="AW97" i="3"/>
  <c r="AW73" i="3"/>
  <c r="AW108" i="3"/>
  <c r="AW104" i="3"/>
  <c r="AW99" i="3"/>
  <c r="AW74" i="3"/>
  <c r="AW96" i="3"/>
  <c r="AW103" i="3"/>
  <c r="AW107" i="3"/>
  <c r="AW110" i="3"/>
  <c r="AW94" i="3"/>
  <c r="AW102" i="3"/>
  <c r="AW89" i="3"/>
  <c r="AW100" i="3"/>
  <c r="AW106" i="3"/>
  <c r="AW111" i="3"/>
  <c r="AW113" i="3"/>
  <c r="AW85" i="3"/>
  <c r="AW93" i="3"/>
  <c r="AW98" i="3"/>
  <c r="AW101" i="3"/>
  <c r="AW112" i="3"/>
  <c r="AW88" i="3"/>
  <c r="AW92" i="3"/>
  <c r="AW105" i="3"/>
  <c r="BM112" i="3"/>
  <c r="BM93" i="3"/>
  <c r="BM76" i="3"/>
  <c r="BM111" i="3"/>
  <c r="BM102" i="3"/>
  <c r="BM96" i="3"/>
  <c r="BM105" i="3"/>
  <c r="BM73" i="3"/>
  <c r="BM99" i="3"/>
  <c r="BM95" i="3"/>
  <c r="CC97" i="3"/>
  <c r="CC93" i="3"/>
  <c r="CC74" i="3"/>
  <c r="CC94" i="3"/>
  <c r="CC90" i="3"/>
  <c r="CC99" i="3"/>
  <c r="CC105" i="3"/>
  <c r="CC113" i="3"/>
  <c r="CC100" i="3"/>
  <c r="CC112" i="3"/>
  <c r="AW87" i="3"/>
  <c r="AW91" i="3"/>
  <c r="AW76" i="3"/>
  <c r="BM103" i="3"/>
  <c r="BM104" i="3"/>
  <c r="BM109" i="3"/>
  <c r="BM94" i="3"/>
  <c r="BM89" i="3"/>
  <c r="BM85" i="3"/>
  <c r="BM98" i="3"/>
  <c r="BM77" i="3"/>
  <c r="BM113" i="3"/>
  <c r="BM97" i="3"/>
  <c r="BM88" i="3"/>
  <c r="BM87" i="3"/>
  <c r="BM90" i="3"/>
  <c r="BM75" i="3"/>
  <c r="BM74" i="3"/>
  <c r="BM108" i="3"/>
  <c r="BM107" i="3"/>
  <c r="BM106" i="3"/>
  <c r="BM92" i="3"/>
  <c r="BM91" i="3"/>
  <c r="BM100" i="3"/>
  <c r="BM101" i="3"/>
  <c r="BM110" i="3"/>
  <c r="CC73" i="3"/>
  <c r="CC85" i="3"/>
  <c r="CC104" i="3"/>
  <c r="CC77" i="3"/>
  <c r="CC88" i="3"/>
  <c r="CC76" i="3"/>
  <c r="CC110" i="3"/>
  <c r="CC91" i="3"/>
  <c r="CC108" i="3"/>
  <c r="CC95" i="3"/>
  <c r="CC102" i="3"/>
  <c r="CC109" i="3"/>
  <c r="CC87" i="3"/>
  <c r="CC107" i="3"/>
  <c r="CC96" i="3"/>
  <c r="CC98" i="3"/>
  <c r="CC103" i="3"/>
  <c r="CC89" i="3"/>
  <c r="CC111" i="3"/>
  <c r="CC106" i="3"/>
  <c r="CC75" i="3"/>
  <c r="CC101" i="3"/>
  <c r="CC92" i="3"/>
  <c r="F113" i="3"/>
  <c r="F76" i="3"/>
  <c r="F100" i="3"/>
  <c r="F94" i="3"/>
  <c r="F105" i="3"/>
  <c r="F88" i="3"/>
  <c r="F92" i="3"/>
  <c r="F93" i="3"/>
  <c r="F87" i="3"/>
  <c r="F106" i="3"/>
  <c r="F75" i="3"/>
  <c r="F97" i="3"/>
  <c r="F85" i="3"/>
  <c r="F103" i="3"/>
  <c r="F89" i="3"/>
  <c r="F96" i="3"/>
  <c r="F74" i="3"/>
  <c r="F77" i="3"/>
  <c r="F99" i="3"/>
  <c r="F98" i="3"/>
  <c r="F90" i="3"/>
  <c r="F111" i="3"/>
  <c r="F101" i="3"/>
  <c r="F112" i="3"/>
  <c r="F73" i="3"/>
  <c r="F110" i="3"/>
  <c r="F102" i="3"/>
  <c r="F108" i="3"/>
  <c r="F91" i="3"/>
  <c r="F104" i="3"/>
  <c r="F107" i="3"/>
  <c r="F109" i="3"/>
  <c r="F95" i="3"/>
  <c r="V99" i="3"/>
  <c r="V101" i="3"/>
  <c r="V73" i="3"/>
  <c r="V112" i="3"/>
  <c r="V109" i="3"/>
  <c r="V100" i="3"/>
  <c r="V89" i="3"/>
  <c r="V106" i="3"/>
  <c r="V103" i="3"/>
  <c r="V75" i="3"/>
  <c r="V94" i="3"/>
  <c r="V111" i="3"/>
  <c r="V110" i="3"/>
  <c r="V92" i="3"/>
  <c r="V107" i="3"/>
  <c r="V105" i="3"/>
  <c r="V76" i="3"/>
  <c r="V77" i="3"/>
  <c r="V95" i="3"/>
  <c r="V113" i="3"/>
  <c r="V96" i="3"/>
  <c r="V98" i="3"/>
  <c r="V85" i="3"/>
  <c r="V88" i="3"/>
  <c r="V74" i="3"/>
  <c r="V97" i="3"/>
  <c r="V90" i="3"/>
  <c r="V102" i="3"/>
  <c r="V108" i="3"/>
  <c r="V87" i="3"/>
  <c r="V91" i="3"/>
  <c r="V93" i="3"/>
  <c r="V104" i="3"/>
  <c r="AL104" i="3"/>
  <c r="AL74" i="3"/>
  <c r="AL98" i="3"/>
  <c r="AL92" i="3"/>
  <c r="AL108" i="3"/>
  <c r="AL111" i="3"/>
  <c r="AL103" i="3"/>
  <c r="AL89" i="3"/>
  <c r="AL105" i="3"/>
  <c r="AL75" i="3"/>
  <c r="AL112" i="3"/>
  <c r="AL113" i="3"/>
  <c r="AL110" i="3"/>
  <c r="AL85" i="3"/>
  <c r="AL76" i="3"/>
  <c r="AL96" i="3"/>
  <c r="AL77" i="3"/>
  <c r="AL90" i="3"/>
  <c r="AL100" i="3"/>
  <c r="AL99" i="3"/>
  <c r="BB96" i="3"/>
  <c r="BB73" i="3"/>
  <c r="BB109" i="3"/>
  <c r="BB98" i="3"/>
  <c r="BB108" i="3"/>
  <c r="BB95" i="3"/>
  <c r="BB76" i="3"/>
  <c r="BB89" i="3"/>
  <c r="BB97" i="3"/>
  <c r="BB94" i="3"/>
  <c r="BB113" i="3"/>
  <c r="BB75" i="3"/>
  <c r="BB110" i="3"/>
  <c r="BB74" i="3"/>
  <c r="BB107" i="3"/>
  <c r="BB112" i="3"/>
  <c r="BB106" i="3"/>
  <c r="BB87" i="3"/>
  <c r="BB111" i="3"/>
  <c r="BB101" i="3"/>
  <c r="BB85" i="3"/>
  <c r="BB104" i="3"/>
  <c r="BB102" i="3"/>
  <c r="BB91" i="3"/>
  <c r="BB90" i="3"/>
  <c r="BB77" i="3"/>
  <c r="BB100" i="3"/>
  <c r="BB88" i="3"/>
  <c r="BB93" i="3"/>
  <c r="BB105" i="3"/>
  <c r="BR103" i="3"/>
  <c r="BR87" i="3"/>
  <c r="BR94" i="3"/>
  <c r="BR96" i="3"/>
  <c r="BR92" i="3"/>
  <c r="BR100" i="3"/>
  <c r="BR95" i="3"/>
  <c r="BR74" i="3"/>
  <c r="BR89" i="3"/>
  <c r="BR102" i="3"/>
  <c r="AZ92" i="3"/>
  <c r="AZ89" i="3"/>
  <c r="AZ77" i="3"/>
  <c r="AZ76" i="3"/>
  <c r="AZ109" i="3"/>
  <c r="AZ107" i="3"/>
  <c r="AZ110" i="3"/>
  <c r="AZ97" i="3"/>
  <c r="AZ102" i="3"/>
  <c r="AZ96" i="3"/>
  <c r="AL88" i="3"/>
  <c r="AL87" i="3"/>
  <c r="AL95" i="3"/>
  <c r="AL91" i="3"/>
  <c r="AL73" i="3"/>
  <c r="AL109" i="3"/>
  <c r="AL93" i="3"/>
  <c r="AL101" i="3"/>
  <c r="AL106" i="3"/>
  <c r="AL97" i="3"/>
  <c r="AL94" i="3"/>
  <c r="AL107" i="3"/>
  <c r="AL102" i="3"/>
  <c r="BB92" i="3"/>
  <c r="BB99" i="3"/>
  <c r="BB103" i="3"/>
  <c r="BR112" i="3"/>
  <c r="BR90" i="3"/>
  <c r="BR88" i="3"/>
  <c r="BR91" i="3"/>
  <c r="BR107" i="3"/>
  <c r="BR105" i="3"/>
  <c r="BR113" i="3"/>
  <c r="BR98" i="3"/>
  <c r="BR111" i="3"/>
  <c r="BR101" i="3"/>
  <c r="BR108" i="3"/>
  <c r="BR75" i="3"/>
  <c r="BR76" i="3"/>
  <c r="BR85" i="3"/>
  <c r="BR93" i="3"/>
  <c r="BR99" i="3"/>
  <c r="BR106" i="3"/>
  <c r="BR73" i="3"/>
  <c r="BR109" i="3"/>
  <c r="BR77" i="3"/>
  <c r="BR110" i="3"/>
  <c r="BR97" i="3"/>
  <c r="BR104" i="3"/>
  <c r="CH104" i="3"/>
  <c r="CH91" i="3"/>
  <c r="CH105" i="3"/>
  <c r="CH101" i="3"/>
  <c r="CH77" i="3"/>
  <c r="CH111" i="3"/>
  <c r="CH90" i="3"/>
  <c r="CH107" i="3"/>
  <c r="CH87" i="3"/>
  <c r="CH88" i="3"/>
  <c r="CH108" i="3"/>
  <c r="CH109" i="3"/>
  <c r="CH74" i="3"/>
  <c r="CH97" i="3"/>
  <c r="CH95" i="3"/>
  <c r="CH110" i="3"/>
  <c r="CH85" i="3"/>
  <c r="CH89" i="3"/>
  <c r="CH94" i="3"/>
  <c r="CH73" i="3"/>
  <c r="CH76" i="3"/>
  <c r="CH113" i="3"/>
  <c r="CH96" i="3"/>
  <c r="CH98" i="3"/>
  <c r="CH103" i="3"/>
  <c r="CH100" i="3"/>
  <c r="CH93" i="3"/>
  <c r="CH75" i="3"/>
  <c r="CH112" i="3"/>
  <c r="CH102" i="3"/>
  <c r="CH92" i="3"/>
  <c r="CH106" i="3"/>
  <c r="CH99" i="3"/>
  <c r="O103" i="3"/>
  <c r="O90" i="3"/>
  <c r="O110" i="3"/>
  <c r="O112" i="3"/>
  <c r="O99" i="3"/>
  <c r="O108" i="3"/>
  <c r="O73" i="3"/>
  <c r="O107" i="3"/>
  <c r="O88" i="3"/>
  <c r="O76" i="3"/>
  <c r="O104" i="3"/>
  <c r="O87" i="3"/>
  <c r="O102" i="3"/>
  <c r="O100" i="3"/>
  <c r="O94" i="3"/>
  <c r="O97" i="3"/>
  <c r="O93" i="3"/>
  <c r="O109" i="3"/>
  <c r="O74" i="3"/>
  <c r="O92" i="3"/>
  <c r="O113" i="3"/>
  <c r="O91" i="3"/>
  <c r="O111" i="3"/>
  <c r="O98" i="3"/>
  <c r="O106" i="3"/>
  <c r="O77" i="3"/>
  <c r="O85" i="3"/>
  <c r="O95" i="3"/>
  <c r="O96" i="3"/>
  <c r="O89" i="3"/>
  <c r="O101" i="3"/>
  <c r="O105" i="3"/>
  <c r="O75" i="3"/>
  <c r="AE90" i="3"/>
  <c r="AE85" i="3"/>
  <c r="AE108" i="3"/>
  <c r="AE91" i="3"/>
  <c r="AE99" i="3"/>
  <c r="AE101" i="3"/>
  <c r="AE110" i="3"/>
  <c r="AE76" i="3"/>
  <c r="AE103" i="3"/>
  <c r="AE107" i="3"/>
  <c r="AE74" i="3"/>
  <c r="AE87" i="3"/>
  <c r="AE89" i="3"/>
  <c r="AE112" i="3"/>
  <c r="AE109" i="3"/>
  <c r="AE105" i="3"/>
  <c r="AE95" i="3"/>
  <c r="AE98" i="3"/>
  <c r="AE97" i="3"/>
  <c r="AE106" i="3"/>
  <c r="AE94" i="3"/>
  <c r="AE102" i="3"/>
  <c r="AE111" i="3"/>
  <c r="AE77" i="3"/>
  <c r="AE96" i="3"/>
  <c r="AE75" i="3"/>
  <c r="AE100" i="3"/>
  <c r="AE104" i="3"/>
  <c r="AE88" i="3"/>
  <c r="AE113" i="3"/>
  <c r="AE93" i="3"/>
  <c r="AE92" i="3"/>
  <c r="AE73" i="3"/>
  <c r="AU102" i="3"/>
  <c r="AU105" i="3"/>
  <c r="AU73" i="3"/>
  <c r="AU85" i="3"/>
  <c r="AU97" i="3"/>
  <c r="AU112" i="3"/>
  <c r="AU90" i="3"/>
  <c r="AU108" i="3"/>
  <c r="AU99" i="3"/>
  <c r="AU91" i="3"/>
  <c r="AU93" i="3"/>
  <c r="AU87" i="3"/>
  <c r="AU88" i="3"/>
  <c r="AU101" i="3"/>
  <c r="AU77" i="3"/>
  <c r="AU96" i="3"/>
  <c r="AU103" i="3"/>
  <c r="AU89" i="3"/>
  <c r="AU76" i="3"/>
  <c r="AU109" i="3"/>
  <c r="AU74" i="3"/>
  <c r="AU107" i="3"/>
  <c r="AU95" i="3"/>
  <c r="AU106" i="3"/>
  <c r="AU94" i="3"/>
  <c r="AU100" i="3"/>
  <c r="AU104" i="3"/>
  <c r="AU92" i="3"/>
  <c r="AU75" i="3"/>
  <c r="AU98" i="3"/>
  <c r="BK106" i="3"/>
  <c r="BK94" i="3"/>
  <c r="BK91" i="3"/>
  <c r="BK111" i="3"/>
  <c r="BK75" i="3"/>
  <c r="BK100" i="3"/>
  <c r="BK89" i="3"/>
  <c r="BK96" i="3"/>
  <c r="BK110" i="3"/>
  <c r="BK102" i="3"/>
  <c r="BK85" i="3"/>
  <c r="BK104" i="3"/>
  <c r="BK109" i="3"/>
  <c r="BK76" i="3"/>
  <c r="BK112" i="3"/>
  <c r="BK90" i="3"/>
  <c r="BK74" i="3"/>
  <c r="BK73" i="3"/>
  <c r="BK88" i="3"/>
  <c r="BK105" i="3"/>
  <c r="BK107" i="3"/>
  <c r="BK113" i="3"/>
  <c r="BK99" i="3"/>
  <c r="BK77" i="3"/>
  <c r="BK108" i="3"/>
  <c r="BK95" i="3"/>
  <c r="BK93" i="3"/>
  <c r="BK103" i="3"/>
  <c r="BK92" i="3"/>
  <c r="BK98" i="3"/>
  <c r="CA97" i="3"/>
  <c r="CA111" i="3"/>
  <c r="CA87" i="3"/>
  <c r="CA74" i="3"/>
  <c r="CA109" i="3"/>
  <c r="CA99" i="3"/>
  <c r="CA105" i="3"/>
  <c r="CA92" i="3"/>
  <c r="CA93" i="3"/>
  <c r="CA77" i="3"/>
  <c r="AZ105" i="3"/>
  <c r="AZ101" i="3"/>
  <c r="AZ113" i="3"/>
  <c r="AZ112" i="3"/>
  <c r="AZ106" i="3"/>
  <c r="AZ90" i="3"/>
  <c r="AZ75" i="3"/>
  <c r="AZ87" i="3"/>
  <c r="AZ94" i="3"/>
  <c r="AZ108" i="3"/>
  <c r="AZ99" i="3"/>
  <c r="AZ103" i="3"/>
  <c r="AZ95" i="3"/>
  <c r="AZ73" i="3"/>
  <c r="AZ111" i="3"/>
  <c r="AZ88" i="3"/>
  <c r="AZ98" i="3"/>
  <c r="AZ100" i="3"/>
  <c r="AZ85" i="3"/>
  <c r="AZ93" i="3"/>
  <c r="AZ74" i="3"/>
  <c r="AZ91" i="3"/>
  <c r="AZ104" i="3"/>
  <c r="Y73" i="3"/>
  <c r="Y112" i="3"/>
  <c r="Y104" i="3"/>
  <c r="Y111" i="3"/>
  <c r="Y98" i="3"/>
  <c r="Y76" i="3"/>
  <c r="Y113" i="3"/>
  <c r="Y85" i="3"/>
  <c r="Y108" i="3"/>
  <c r="Y95" i="3"/>
  <c r="Y92" i="3"/>
  <c r="Y100" i="3"/>
  <c r="Y90" i="3"/>
  <c r="Y107" i="3"/>
  <c r="Y99" i="3"/>
  <c r="Y75" i="3"/>
  <c r="Y106" i="3"/>
  <c r="Y88" i="3"/>
  <c r="Y101" i="3"/>
  <c r="Y87" i="3"/>
  <c r="Y77" i="3"/>
  <c r="Y74" i="3"/>
  <c r="Y105" i="3"/>
  <c r="Y91" i="3"/>
  <c r="Y110" i="3"/>
  <c r="Y103" i="3"/>
  <c r="Y97" i="3"/>
  <c r="Y102" i="3"/>
  <c r="Y96" i="3"/>
  <c r="Y94" i="3"/>
  <c r="Y109" i="3"/>
  <c r="Y89" i="3"/>
  <c r="Y93" i="3"/>
  <c r="BU93" i="3"/>
  <c r="BU103" i="3"/>
  <c r="BU109" i="3"/>
  <c r="BU107" i="3"/>
  <c r="BU110" i="3"/>
  <c r="BU99" i="3"/>
  <c r="BU112" i="3"/>
  <c r="BU111" i="3"/>
  <c r="BU76" i="3"/>
  <c r="BU96" i="3"/>
  <c r="BU75" i="3"/>
  <c r="BU88" i="3"/>
  <c r="BU73" i="3"/>
  <c r="BU102" i="3"/>
  <c r="BU98" i="3"/>
  <c r="BU106" i="3"/>
  <c r="BU113" i="3"/>
  <c r="BU74" i="3"/>
  <c r="BU101" i="3"/>
  <c r="BU92" i="3"/>
  <c r="BU95" i="3"/>
  <c r="BU105" i="3"/>
  <c r="BU108" i="3"/>
  <c r="BU91" i="3"/>
  <c r="BU94" i="3"/>
  <c r="BU100" i="3"/>
  <c r="BU85" i="3"/>
  <c r="BU89" i="3"/>
  <c r="BU90" i="3"/>
  <c r="BU77" i="3"/>
  <c r="BU87" i="3"/>
  <c r="BU104" i="3"/>
  <c r="BU97" i="3"/>
  <c r="AT113" i="3"/>
  <c r="AT97" i="3"/>
  <c r="AT106" i="3"/>
  <c r="AT76" i="3"/>
  <c r="AT104" i="3"/>
  <c r="AT108" i="3"/>
  <c r="AT93" i="3"/>
  <c r="AT73" i="3"/>
  <c r="AT105" i="3"/>
  <c r="AT96" i="3"/>
  <c r="AT91" i="3"/>
  <c r="AT74" i="3"/>
  <c r="AT75" i="3"/>
  <c r="AT100" i="3"/>
  <c r="AT87" i="3"/>
  <c r="AT111" i="3"/>
  <c r="AT77" i="3"/>
  <c r="AT89" i="3"/>
  <c r="AT102" i="3"/>
  <c r="AT98" i="3"/>
  <c r="W107" i="3"/>
  <c r="W90" i="3"/>
  <c r="W91" i="3"/>
  <c r="W111" i="3"/>
  <c r="W105" i="3"/>
  <c r="W74" i="3"/>
  <c r="W102" i="3"/>
  <c r="W89" i="3"/>
  <c r="W76" i="3"/>
  <c r="W96" i="3"/>
  <c r="AU110" i="3"/>
  <c r="AU111" i="3"/>
  <c r="AU113" i="3"/>
  <c r="BK87" i="3"/>
  <c r="BK101" i="3"/>
  <c r="BK97" i="3"/>
  <c r="CA98" i="3"/>
  <c r="CA94" i="3"/>
  <c r="CA112" i="3"/>
  <c r="CA89" i="3"/>
  <c r="CA106" i="3"/>
  <c r="CA76" i="3"/>
  <c r="CA85" i="3"/>
  <c r="CA75" i="3"/>
  <c r="CA95" i="3"/>
  <c r="CA113" i="3"/>
  <c r="CA107" i="3"/>
  <c r="CA102" i="3"/>
  <c r="CA88" i="3"/>
  <c r="CA101" i="3"/>
  <c r="CA73" i="3"/>
  <c r="CA110" i="3"/>
  <c r="CA100" i="3"/>
  <c r="CA108" i="3"/>
  <c r="CA96" i="3"/>
  <c r="CA90" i="3"/>
  <c r="CA103" i="3"/>
  <c r="CA91" i="3"/>
  <c r="CA104" i="3"/>
  <c r="AT109" i="3"/>
  <c r="AT94" i="3"/>
  <c r="AT103" i="3"/>
  <c r="AT95" i="3"/>
  <c r="AT110" i="3"/>
  <c r="AT101" i="3"/>
  <c r="AT92" i="3"/>
  <c r="AT85" i="3"/>
  <c r="AT107" i="3"/>
  <c r="AT90" i="3"/>
  <c r="AT88" i="3"/>
  <c r="AT112" i="3"/>
  <c r="AT99" i="3"/>
  <c r="W113" i="3"/>
  <c r="W110" i="3"/>
  <c r="W99" i="3"/>
  <c r="W108" i="3"/>
  <c r="W85" i="3"/>
  <c r="W103" i="3"/>
  <c r="W112" i="3"/>
  <c r="W88" i="3"/>
  <c r="W92" i="3"/>
  <c r="W73" i="3"/>
  <c r="W95" i="3"/>
  <c r="W100" i="3"/>
  <c r="W93" i="3"/>
  <c r="W77" i="3"/>
  <c r="W101" i="3"/>
  <c r="W75" i="3"/>
  <c r="W94" i="3"/>
  <c r="W104" i="3"/>
  <c r="W106" i="3"/>
  <c r="W98" i="3"/>
  <c r="W87" i="3"/>
  <c r="W109" i="3"/>
  <c r="W97" i="3"/>
  <c r="BS95" i="3"/>
  <c r="BS93" i="3"/>
  <c r="BS100" i="3"/>
  <c r="BS112" i="3"/>
  <c r="BS76" i="3"/>
  <c r="BS101" i="3"/>
  <c r="BS104" i="3"/>
  <c r="BS74" i="3"/>
  <c r="BS102" i="3"/>
  <c r="BS92" i="3"/>
  <c r="BS85" i="3"/>
  <c r="BS89" i="3"/>
  <c r="BS96" i="3"/>
  <c r="BS90" i="3"/>
  <c r="BS106" i="3"/>
  <c r="BS87" i="3"/>
  <c r="BS103" i="3"/>
  <c r="BS113" i="3"/>
  <c r="BS73" i="3"/>
  <c r="BS105" i="3"/>
  <c r="BS97" i="3"/>
  <c r="BS107" i="3"/>
  <c r="BS77" i="3"/>
  <c r="BS110" i="3"/>
  <c r="BS91" i="3"/>
  <c r="BS109" i="3"/>
  <c r="BS99" i="3"/>
  <c r="BS98" i="3"/>
  <c r="BS108" i="3"/>
  <c r="BS88" i="3"/>
  <c r="BS75" i="3"/>
  <c r="BS94" i="3"/>
  <c r="BS111" i="3"/>
  <c r="P93" i="3"/>
  <c r="P92" i="3"/>
  <c r="P89" i="3"/>
  <c r="P100" i="3"/>
  <c r="P107" i="3"/>
  <c r="P91" i="3"/>
  <c r="P111" i="3"/>
  <c r="P113" i="3"/>
  <c r="P101" i="3"/>
  <c r="P73" i="3"/>
  <c r="P77" i="3"/>
  <c r="P75" i="3"/>
  <c r="P95" i="3"/>
  <c r="P112" i="3"/>
  <c r="P88" i="3"/>
  <c r="P110" i="3"/>
  <c r="P85" i="3"/>
  <c r="P98" i="3"/>
  <c r="P109" i="3"/>
  <c r="P87" i="3"/>
  <c r="P97" i="3"/>
  <c r="P102" i="3"/>
  <c r="P96" i="3"/>
  <c r="P94" i="3"/>
  <c r="P99" i="3"/>
  <c r="P76" i="3"/>
  <c r="P105" i="3"/>
  <c r="P104" i="3"/>
  <c r="P74" i="3"/>
  <c r="P90" i="3"/>
  <c r="P103" i="3"/>
  <c r="P108" i="3"/>
  <c r="P106" i="3"/>
  <c r="AF91" i="3"/>
  <c r="AF92" i="3"/>
  <c r="AF94" i="3"/>
  <c r="AF87" i="3"/>
  <c r="AF77" i="3"/>
  <c r="AF110" i="3"/>
  <c r="AF107" i="3"/>
  <c r="AF108" i="3"/>
  <c r="AF73" i="3"/>
  <c r="AF106" i="3"/>
  <c r="AF88" i="3"/>
  <c r="AF96" i="3"/>
  <c r="AF90" i="3"/>
  <c r="AF89" i="3"/>
  <c r="AF111" i="3"/>
  <c r="AF74" i="3"/>
  <c r="AF104" i="3"/>
  <c r="AF97" i="3"/>
  <c r="AF98" i="3"/>
  <c r="AF109" i="3"/>
  <c r="AF112" i="3"/>
  <c r="AF76" i="3"/>
  <c r="AF103" i="3"/>
  <c r="AF113" i="3"/>
  <c r="AF100" i="3"/>
  <c r="AF75" i="3"/>
  <c r="AF105" i="3"/>
  <c r="AF101" i="3"/>
  <c r="AF93" i="3"/>
  <c r="AF102" i="3"/>
  <c r="AF99" i="3"/>
  <c r="AF85" i="3"/>
  <c r="AF95" i="3"/>
  <c r="AV87" i="3"/>
  <c r="AV112" i="3"/>
  <c r="AV74" i="3"/>
  <c r="AV107" i="3"/>
  <c r="AV102" i="3"/>
  <c r="AV104" i="3"/>
  <c r="AV76" i="3"/>
  <c r="AV89" i="3"/>
  <c r="AV93" i="3"/>
  <c r="AV96" i="3"/>
  <c r="AV99" i="3"/>
  <c r="AV75" i="3"/>
  <c r="AV100" i="3"/>
  <c r="AV106" i="3"/>
  <c r="AV73" i="3"/>
  <c r="AV103" i="3"/>
  <c r="AV108" i="3"/>
  <c r="AV95" i="3"/>
  <c r="AV113" i="3"/>
  <c r="AV98" i="3"/>
  <c r="BL102" i="3"/>
  <c r="BL97" i="3"/>
  <c r="BL110" i="3"/>
  <c r="BL108" i="3"/>
  <c r="BL106" i="3"/>
  <c r="BL109" i="3"/>
  <c r="BL89" i="3"/>
  <c r="BL93" i="3"/>
  <c r="BL75" i="3"/>
  <c r="BL90" i="3"/>
  <c r="CB97" i="3"/>
  <c r="CB113" i="3"/>
  <c r="CB109" i="3"/>
  <c r="CB94" i="3"/>
  <c r="CB76" i="3"/>
  <c r="CB107" i="3"/>
  <c r="CB99" i="3"/>
  <c r="CB73" i="3"/>
  <c r="CB110" i="3"/>
  <c r="CB112" i="3"/>
  <c r="U104" i="3"/>
  <c r="U107" i="3"/>
  <c r="U106" i="3"/>
  <c r="U91" i="3"/>
  <c r="U112" i="3"/>
  <c r="U87" i="3"/>
  <c r="U102" i="3"/>
  <c r="U110" i="3"/>
  <c r="U99" i="3"/>
  <c r="U103" i="3"/>
  <c r="AV90" i="3"/>
  <c r="AV110" i="3"/>
  <c r="AV101" i="3"/>
  <c r="AV92" i="3"/>
  <c r="AV111" i="3"/>
  <c r="AV97" i="3"/>
  <c r="AV109" i="3"/>
  <c r="AV94" i="3"/>
  <c r="AV91" i="3"/>
  <c r="AV85" i="3"/>
  <c r="AV105" i="3"/>
  <c r="AV88" i="3"/>
  <c r="AV77" i="3"/>
  <c r="BL95" i="3"/>
  <c r="BL77" i="3"/>
  <c r="BL91" i="3"/>
  <c r="BL101" i="3"/>
  <c r="BL87" i="3"/>
  <c r="BL105" i="3"/>
  <c r="BL94" i="3"/>
  <c r="BL92" i="3"/>
  <c r="BL112" i="3"/>
  <c r="BL88" i="3"/>
  <c r="BL107" i="3"/>
  <c r="BL111" i="3"/>
  <c r="BL100" i="3"/>
  <c r="BL74" i="3"/>
  <c r="BL73" i="3"/>
  <c r="BL113" i="3"/>
  <c r="BL104" i="3"/>
  <c r="BL98" i="3"/>
  <c r="BL85" i="3"/>
  <c r="BL99" i="3"/>
  <c r="BL96" i="3"/>
  <c r="BL76" i="3"/>
  <c r="BL103" i="3"/>
  <c r="CB111" i="3"/>
  <c r="CB96" i="3"/>
  <c r="CB105" i="3"/>
  <c r="CB108" i="3"/>
  <c r="CB104" i="3"/>
  <c r="CB95" i="3"/>
  <c r="CB89" i="3"/>
  <c r="CB100" i="3"/>
  <c r="CB91" i="3"/>
  <c r="CB87" i="3"/>
  <c r="CB103" i="3"/>
  <c r="CB106" i="3"/>
  <c r="CB92" i="3"/>
  <c r="CB88" i="3"/>
  <c r="CB77" i="3"/>
  <c r="CB85" i="3"/>
  <c r="CB98" i="3"/>
  <c r="CB90" i="3"/>
  <c r="CB101" i="3"/>
  <c r="CB93" i="3"/>
  <c r="CB74" i="3"/>
  <c r="CB102" i="3"/>
  <c r="CB75" i="3"/>
  <c r="U92" i="3"/>
  <c r="U96" i="3"/>
  <c r="U85" i="3"/>
  <c r="U77" i="3"/>
  <c r="U95" i="3"/>
  <c r="U74" i="3"/>
  <c r="U113" i="3"/>
  <c r="U90" i="3"/>
  <c r="U93" i="3"/>
  <c r="U73" i="3"/>
  <c r="U108" i="3"/>
  <c r="U109" i="3"/>
  <c r="U88" i="3"/>
  <c r="U75" i="3"/>
  <c r="U98" i="3"/>
  <c r="U97" i="3"/>
  <c r="U89" i="3"/>
  <c r="U105" i="3"/>
  <c r="U76" i="3"/>
  <c r="U111" i="3"/>
  <c r="U101" i="3"/>
  <c r="U94" i="3"/>
  <c r="U100" i="3"/>
  <c r="AK109" i="3"/>
  <c r="AK91" i="3"/>
  <c r="AK87" i="3"/>
  <c r="AK77" i="3"/>
  <c r="AK95" i="3"/>
  <c r="AK88" i="3"/>
  <c r="AK103" i="3"/>
  <c r="AK73" i="3"/>
  <c r="AK94" i="3"/>
  <c r="AK106" i="3"/>
  <c r="AK76" i="3"/>
  <c r="AK107" i="3"/>
  <c r="AK75" i="3"/>
  <c r="AK97" i="3"/>
  <c r="AK100" i="3"/>
  <c r="AK104" i="3"/>
  <c r="AK111" i="3"/>
  <c r="AK108" i="3"/>
  <c r="AK105" i="3"/>
  <c r="AK113" i="3"/>
  <c r="AK89" i="3"/>
  <c r="AK110" i="3"/>
  <c r="AK99" i="3"/>
  <c r="AK85" i="3"/>
  <c r="AK96" i="3"/>
  <c r="AK101" i="3"/>
  <c r="AK90" i="3"/>
  <c r="AK102" i="3"/>
  <c r="AK93" i="3"/>
  <c r="AK98" i="3"/>
  <c r="BA112" i="3"/>
  <c r="BA75" i="3"/>
  <c r="BA107" i="3"/>
  <c r="BA94" i="3"/>
  <c r="BA102" i="3"/>
  <c r="BA73" i="3"/>
  <c r="BA91" i="3"/>
  <c r="BA97" i="3"/>
  <c r="BA105" i="3"/>
  <c r="BA100" i="3"/>
  <c r="BA111" i="3"/>
  <c r="BA93" i="3"/>
  <c r="BA90" i="3"/>
  <c r="BA92" i="3"/>
  <c r="BA87" i="3"/>
  <c r="BA109" i="3"/>
  <c r="BA89" i="3"/>
  <c r="BA98" i="3"/>
  <c r="BA85" i="3"/>
  <c r="BA88" i="3"/>
  <c r="BA99" i="3"/>
  <c r="BA95" i="3"/>
  <c r="BA103" i="3"/>
  <c r="BA110" i="3"/>
  <c r="BA76" i="3"/>
  <c r="BA77" i="3"/>
  <c r="BA74" i="3"/>
  <c r="BA101" i="3"/>
  <c r="BA108" i="3"/>
  <c r="BA96" i="3"/>
  <c r="BQ85" i="3"/>
  <c r="BQ100" i="3"/>
  <c r="BQ108" i="3"/>
  <c r="BQ88" i="3"/>
  <c r="BQ106" i="3"/>
  <c r="BQ109" i="3"/>
  <c r="BQ101" i="3"/>
  <c r="BQ91" i="3"/>
  <c r="BQ93" i="3"/>
  <c r="BQ75" i="3"/>
  <c r="BQ73" i="3"/>
  <c r="BQ98" i="3"/>
  <c r="BQ99" i="3"/>
  <c r="BQ112" i="3"/>
  <c r="BQ110" i="3"/>
  <c r="BQ92" i="3"/>
  <c r="BQ95" i="3"/>
  <c r="BQ97" i="3"/>
  <c r="BQ113" i="3"/>
  <c r="BQ103" i="3"/>
  <c r="BQ104" i="3"/>
  <c r="BQ94" i="3"/>
  <c r="BQ87" i="3"/>
  <c r="BQ96" i="3"/>
  <c r="BQ89" i="3"/>
  <c r="BQ76" i="3"/>
  <c r="BQ111" i="3"/>
  <c r="BQ105" i="3"/>
  <c r="BQ74" i="3"/>
  <c r="BQ102" i="3"/>
  <c r="CG107" i="3"/>
  <c r="CG97" i="3"/>
  <c r="CG92" i="3"/>
  <c r="CG108" i="3"/>
  <c r="CG93" i="3"/>
  <c r="CG87" i="3"/>
  <c r="CG96" i="3"/>
  <c r="CG76" i="3"/>
  <c r="CG104" i="3"/>
  <c r="CG75" i="3"/>
  <c r="J105" i="3"/>
  <c r="J110" i="3"/>
  <c r="J103" i="3"/>
  <c r="J88" i="3"/>
  <c r="J76" i="3"/>
  <c r="J109" i="3"/>
  <c r="J91" i="3"/>
  <c r="J99" i="3"/>
  <c r="J94" i="3"/>
  <c r="J93" i="3"/>
  <c r="Z97" i="3"/>
  <c r="Z107" i="3"/>
  <c r="Z111" i="3"/>
  <c r="Z109" i="3"/>
  <c r="Z93" i="3"/>
  <c r="Z89" i="3"/>
  <c r="Z99" i="3"/>
  <c r="Z75" i="3"/>
  <c r="Z102" i="3"/>
  <c r="Z103" i="3"/>
  <c r="AK92" i="3"/>
  <c r="AK112" i="3"/>
  <c r="AK74" i="3"/>
  <c r="BA106" i="3"/>
  <c r="BA104" i="3"/>
  <c r="BA113" i="3"/>
  <c r="BQ90" i="3"/>
  <c r="BQ107" i="3"/>
  <c r="BQ77" i="3"/>
  <c r="CG91" i="3"/>
  <c r="CG103" i="3"/>
  <c r="CG85" i="3"/>
  <c r="CG73" i="3"/>
  <c r="CG98" i="3"/>
  <c r="CG111" i="3"/>
  <c r="CG109" i="3"/>
  <c r="CG95" i="3"/>
  <c r="CG100" i="3"/>
  <c r="CG94" i="3"/>
  <c r="CG88" i="3"/>
  <c r="CG106" i="3"/>
  <c r="CG77" i="3"/>
  <c r="CG89" i="3"/>
  <c r="CG101" i="3"/>
  <c r="CG90" i="3"/>
  <c r="CG99" i="3"/>
  <c r="CG105" i="3"/>
  <c r="CG110" i="3"/>
  <c r="CG102" i="3"/>
  <c r="CG74" i="3"/>
  <c r="CG113" i="3"/>
  <c r="CG112" i="3"/>
  <c r="J108" i="3"/>
  <c r="J74" i="3"/>
  <c r="J89" i="3"/>
  <c r="J95" i="3"/>
  <c r="J106" i="3"/>
  <c r="J102" i="3"/>
  <c r="J111" i="3"/>
  <c r="J73" i="3"/>
  <c r="J97" i="3"/>
  <c r="J112" i="3"/>
  <c r="J104" i="3"/>
  <c r="J92" i="3"/>
  <c r="J75" i="3"/>
  <c r="J101" i="3"/>
  <c r="J96" i="3"/>
  <c r="J107" i="3"/>
  <c r="J90" i="3"/>
  <c r="J77" i="3"/>
  <c r="J85" i="3"/>
  <c r="J100" i="3"/>
  <c r="J113" i="3"/>
  <c r="J98" i="3"/>
  <c r="J87" i="3"/>
  <c r="Z101" i="3"/>
  <c r="Z108" i="3"/>
  <c r="Z98" i="3"/>
  <c r="Z91" i="3"/>
  <c r="Z105" i="3"/>
  <c r="Z76" i="3"/>
  <c r="Z113" i="3"/>
  <c r="Z87" i="3"/>
  <c r="Z100" i="3"/>
  <c r="Z73" i="3"/>
  <c r="Z92" i="3"/>
  <c r="Z106" i="3"/>
  <c r="Z85" i="3"/>
  <c r="Z104" i="3"/>
  <c r="Z94" i="3"/>
  <c r="Z95" i="3"/>
  <c r="Z96" i="3"/>
  <c r="Z112" i="3"/>
  <c r="Z110" i="3"/>
  <c r="Z77" i="3"/>
  <c r="Z88" i="3"/>
  <c r="Z74" i="3"/>
  <c r="Z90" i="3"/>
  <c r="AP105" i="3"/>
  <c r="AP76" i="3"/>
  <c r="AP106" i="3"/>
  <c r="AP92" i="3"/>
  <c r="AP94" i="3"/>
  <c r="AP75" i="3"/>
  <c r="AP100" i="3"/>
  <c r="AP95" i="3"/>
  <c r="AP110" i="3"/>
  <c r="AP102" i="3"/>
  <c r="AP103" i="3"/>
  <c r="AP109" i="3"/>
  <c r="AP111" i="3"/>
  <c r="AP107" i="3"/>
  <c r="AP101" i="3"/>
  <c r="AP87" i="3"/>
  <c r="AP98" i="3"/>
  <c r="AP112" i="3"/>
  <c r="AP93" i="3"/>
  <c r="AP73" i="3"/>
  <c r="AP113" i="3"/>
  <c r="AP91" i="3"/>
  <c r="AP89" i="3"/>
  <c r="AP90" i="3"/>
  <c r="AP97" i="3"/>
  <c r="AP77" i="3"/>
  <c r="AP99" i="3"/>
  <c r="AP96" i="3"/>
  <c r="AP104" i="3"/>
  <c r="AP108" i="3"/>
  <c r="BF76" i="3"/>
  <c r="BF73" i="3"/>
  <c r="BF110" i="3"/>
  <c r="BF104" i="3"/>
  <c r="BF112" i="3"/>
  <c r="BF94" i="3"/>
  <c r="BF113" i="3"/>
  <c r="BF97" i="3"/>
  <c r="BF87" i="3"/>
  <c r="BF111" i="3"/>
  <c r="BF106" i="3"/>
  <c r="BF99" i="3"/>
  <c r="BF91" i="3"/>
  <c r="BF101" i="3"/>
  <c r="BF90" i="3"/>
  <c r="BF107" i="3"/>
  <c r="BF103" i="3"/>
  <c r="BF88" i="3"/>
  <c r="BF95" i="3"/>
  <c r="BF109" i="3"/>
  <c r="AI109" i="3"/>
  <c r="AI95" i="3"/>
  <c r="AI99" i="3"/>
  <c r="AI88" i="3"/>
  <c r="AI93" i="3"/>
  <c r="AI77" i="3"/>
  <c r="AI111" i="3"/>
  <c r="AI74" i="3"/>
  <c r="AI102" i="3"/>
  <c r="AI89" i="3"/>
  <c r="BF108" i="3"/>
  <c r="BF92" i="3"/>
  <c r="BF100" i="3"/>
  <c r="BF74" i="3"/>
  <c r="BF75" i="3"/>
  <c r="BF89" i="3"/>
  <c r="BF85" i="3"/>
  <c r="BF77" i="3"/>
  <c r="BF105" i="3"/>
  <c r="BF96" i="3"/>
  <c r="BF93" i="3"/>
  <c r="BF102" i="3"/>
  <c r="BF98" i="3"/>
  <c r="S93" i="3"/>
  <c r="S97" i="3"/>
  <c r="S95" i="3"/>
  <c r="S74" i="3"/>
  <c r="S106" i="3"/>
  <c r="S77" i="3"/>
  <c r="S90" i="3"/>
  <c r="S88" i="3"/>
  <c r="S100" i="3"/>
  <c r="S111" i="3"/>
  <c r="S101" i="3"/>
  <c r="S85" i="3"/>
  <c r="S91" i="3"/>
  <c r="S92" i="3"/>
  <c r="S113" i="3"/>
  <c r="S109" i="3"/>
  <c r="S102" i="3"/>
  <c r="S96" i="3"/>
  <c r="S98" i="3"/>
  <c r="S87" i="3"/>
  <c r="S108" i="3"/>
  <c r="S110" i="3"/>
  <c r="S75" i="3"/>
  <c r="S107" i="3"/>
  <c r="S99" i="3"/>
  <c r="S103" i="3"/>
  <c r="S76" i="3"/>
  <c r="S105" i="3"/>
  <c r="S104" i="3"/>
  <c r="S94" i="3"/>
  <c r="S112" i="3"/>
  <c r="S89" i="3"/>
  <c r="S73" i="3"/>
  <c r="CE106" i="3"/>
  <c r="CE105" i="3"/>
  <c r="CE104" i="3"/>
  <c r="CE112" i="3"/>
  <c r="CE76" i="3"/>
  <c r="CE111" i="3"/>
  <c r="CE100" i="3"/>
  <c r="CE101" i="3"/>
  <c r="CE73" i="3"/>
  <c r="CE108" i="3"/>
  <c r="CE87" i="3"/>
  <c r="CE113" i="3"/>
  <c r="CE77" i="3"/>
  <c r="CE93" i="3"/>
  <c r="CE88" i="3"/>
  <c r="CE110" i="3"/>
  <c r="CE92" i="3"/>
  <c r="CE99" i="3"/>
  <c r="CE107" i="3"/>
  <c r="CE91" i="3"/>
  <c r="CE98" i="3"/>
  <c r="CE90" i="3"/>
  <c r="CE109" i="3"/>
  <c r="CE89" i="3"/>
  <c r="CE95" i="3"/>
  <c r="CE94" i="3"/>
  <c r="CE97" i="3"/>
  <c r="CE96" i="3"/>
  <c r="CE74" i="3"/>
  <c r="CE102" i="3"/>
  <c r="BV111" i="3"/>
  <c r="BV77" i="3"/>
  <c r="BV92" i="3"/>
  <c r="BV105" i="3"/>
  <c r="BV102" i="3"/>
  <c r="BV99" i="3"/>
  <c r="BV94" i="3"/>
  <c r="BV101" i="3"/>
  <c r="BV73" i="3"/>
  <c r="BV107" i="3"/>
  <c r="BV93" i="3"/>
  <c r="BV108" i="3"/>
  <c r="BV87" i="3"/>
  <c r="BV95" i="3"/>
  <c r="BV74" i="3"/>
  <c r="BV75" i="3"/>
  <c r="BV113" i="3"/>
  <c r="BV88" i="3"/>
  <c r="BV76" i="3"/>
  <c r="BV96" i="3"/>
  <c r="BV91" i="3"/>
  <c r="BV104" i="3"/>
  <c r="BV109" i="3"/>
  <c r="BV110" i="3"/>
  <c r="BV90" i="3"/>
  <c r="BV106" i="3"/>
  <c r="BV97" i="3"/>
  <c r="BV98" i="3"/>
  <c r="BV100" i="3"/>
  <c r="BV103" i="3"/>
  <c r="BV89" i="3"/>
  <c r="BV112" i="3"/>
  <c r="BV85" i="3"/>
  <c r="AI94" i="3"/>
  <c r="AI76" i="3"/>
  <c r="AI104" i="3"/>
  <c r="AI91" i="3"/>
  <c r="AI101" i="3"/>
  <c r="AI96" i="3"/>
  <c r="AI98" i="3"/>
  <c r="AI87" i="3"/>
  <c r="AI110" i="3"/>
  <c r="AI75" i="3"/>
  <c r="AI105" i="3"/>
  <c r="AI108" i="3"/>
  <c r="AI100" i="3"/>
  <c r="AI92" i="3"/>
  <c r="AI103" i="3"/>
  <c r="AI113" i="3"/>
  <c r="AI112" i="3"/>
  <c r="AI73" i="3"/>
  <c r="AI90" i="3"/>
  <c r="AI85" i="3"/>
  <c r="AI107" i="3"/>
  <c r="AI106" i="3"/>
  <c r="AI97" i="3"/>
  <c r="AP74" i="3"/>
  <c r="AP88" i="3"/>
  <c r="AP85" i="3"/>
  <c r="AY106" i="3"/>
  <c r="AY99" i="3"/>
  <c r="AY75" i="3"/>
  <c r="AY101" i="3"/>
  <c r="AY76" i="3"/>
  <c r="AY109" i="3"/>
  <c r="AY103" i="3"/>
  <c r="AY91" i="3"/>
  <c r="AY95" i="3"/>
  <c r="AY100" i="3"/>
  <c r="AY89" i="3"/>
  <c r="AY112" i="3"/>
  <c r="AY87" i="3"/>
  <c r="AY108" i="3"/>
  <c r="AY73" i="3"/>
  <c r="AY93" i="3"/>
  <c r="AY104" i="3"/>
  <c r="AY77" i="3"/>
  <c r="AY96" i="3"/>
  <c r="AY90" i="3"/>
  <c r="AY92" i="3"/>
  <c r="AY85" i="3"/>
  <c r="AY102" i="3"/>
  <c r="AY110" i="3"/>
  <c r="AY98" i="3"/>
  <c r="AY111" i="3"/>
  <c r="AY105" i="3"/>
  <c r="AY88" i="3"/>
  <c r="AY94" i="3"/>
  <c r="AY74" i="3"/>
  <c r="AY113" i="3"/>
  <c r="AY107" i="3"/>
  <c r="AY97" i="3"/>
  <c r="BO111" i="3"/>
  <c r="BO75" i="3"/>
  <c r="BO87" i="3"/>
  <c r="BO91" i="3"/>
  <c r="BO99" i="3"/>
  <c r="BO101" i="3"/>
  <c r="BO96" i="3"/>
  <c r="BO85" i="3"/>
  <c r="BO98" i="3"/>
  <c r="BO106" i="3"/>
  <c r="BO110" i="3"/>
  <c r="BO92" i="3"/>
  <c r="BO76" i="3"/>
  <c r="BO94" i="3"/>
  <c r="BO102" i="3"/>
  <c r="BO97" i="3"/>
  <c r="BO108" i="3"/>
  <c r="BO105" i="3"/>
  <c r="BO77" i="3"/>
  <c r="BO104" i="3"/>
  <c r="BO109" i="3"/>
  <c r="BO88" i="3"/>
  <c r="BO90" i="3"/>
  <c r="BO112" i="3"/>
  <c r="BO95" i="3"/>
  <c r="BO89" i="3"/>
  <c r="BO103" i="3"/>
  <c r="BO93" i="3"/>
  <c r="BO113" i="3"/>
  <c r="BO73" i="3"/>
  <c r="AJ85" i="3"/>
  <c r="AJ75" i="3"/>
  <c r="AJ113" i="3"/>
  <c r="AJ99" i="3"/>
  <c r="AJ73" i="3"/>
  <c r="AJ110" i="3"/>
  <c r="AJ94" i="3"/>
  <c r="AJ88" i="3"/>
  <c r="AJ106" i="3"/>
  <c r="AJ104" i="3"/>
  <c r="AJ89" i="3"/>
  <c r="AJ90" i="3"/>
  <c r="AJ109" i="3"/>
  <c r="AJ77" i="3"/>
  <c r="AJ98" i="3"/>
  <c r="AJ101" i="3"/>
  <c r="AJ103" i="3"/>
  <c r="AJ93" i="3"/>
  <c r="AJ107" i="3"/>
  <c r="AJ97" i="3"/>
  <c r="AJ76" i="3"/>
  <c r="AJ100" i="3"/>
  <c r="AJ108" i="3"/>
  <c r="AJ92" i="3"/>
  <c r="AJ87" i="3"/>
  <c r="AJ111" i="3"/>
  <c r="AJ112" i="3"/>
  <c r="AJ95" i="3"/>
  <c r="AJ74" i="3"/>
  <c r="AJ91" i="3"/>
  <c r="AJ96" i="3"/>
  <c r="AJ105" i="3"/>
  <c r="AJ102" i="3"/>
  <c r="CF110" i="3"/>
  <c r="CF108" i="3"/>
  <c r="CF113" i="3"/>
  <c r="CF105" i="3"/>
  <c r="CF73" i="3"/>
  <c r="CF94" i="3"/>
  <c r="CF89" i="3"/>
  <c r="CF112" i="3"/>
  <c r="CF91" i="3"/>
  <c r="CF97" i="3"/>
  <c r="CF93" i="3"/>
  <c r="CF77" i="3"/>
  <c r="CF92" i="3"/>
  <c r="CF87" i="3"/>
  <c r="CF98" i="3"/>
  <c r="CF109" i="3"/>
  <c r="CF75" i="3"/>
  <c r="CF101" i="3"/>
  <c r="CF106" i="3"/>
  <c r="CF107" i="3"/>
  <c r="CF102" i="3"/>
  <c r="CF90" i="3"/>
  <c r="CF85" i="3"/>
  <c r="CF99" i="3"/>
  <c r="CF104" i="3"/>
  <c r="CF96" i="3"/>
  <c r="CF111" i="3"/>
  <c r="CF88" i="3"/>
  <c r="CF95" i="3"/>
  <c r="CF103" i="3"/>
  <c r="AO99" i="3"/>
  <c r="AO74" i="3"/>
  <c r="AO105" i="3"/>
  <c r="AO113" i="3"/>
  <c r="AO108" i="3"/>
  <c r="AO76" i="3"/>
  <c r="AO87" i="3"/>
  <c r="AO93" i="3"/>
  <c r="AO95" i="3"/>
  <c r="AO88" i="3"/>
  <c r="AO77" i="3"/>
  <c r="AO110" i="3"/>
  <c r="AO91" i="3"/>
  <c r="AO73" i="3"/>
  <c r="AO85" i="3"/>
  <c r="AO75" i="3"/>
  <c r="AO112" i="3"/>
  <c r="AO106" i="3"/>
  <c r="AO96" i="3"/>
  <c r="AO107" i="3"/>
  <c r="AO90" i="3"/>
  <c r="AO94" i="3"/>
  <c r="AO92" i="3"/>
  <c r="AO103" i="3"/>
  <c r="AO97" i="3"/>
  <c r="AO98" i="3"/>
  <c r="AO109" i="3"/>
  <c r="AO104" i="3"/>
  <c r="AO111" i="3"/>
  <c r="AO102" i="3"/>
  <c r="AO101" i="3"/>
  <c r="AO100" i="3"/>
  <c r="AO89" i="3"/>
  <c r="CK108" i="3"/>
  <c r="CK113" i="3"/>
  <c r="CK87" i="3"/>
  <c r="CK107" i="3"/>
  <c r="CK89" i="3"/>
  <c r="CK109" i="3"/>
  <c r="CK111" i="3"/>
  <c r="CK75" i="3"/>
  <c r="CK98" i="3"/>
  <c r="CK88" i="3"/>
  <c r="CK90" i="3"/>
  <c r="CK96" i="3"/>
  <c r="CK85" i="3"/>
  <c r="CK76" i="3"/>
  <c r="CK105" i="3"/>
  <c r="CK112" i="3"/>
  <c r="CK93" i="3"/>
  <c r="CK106" i="3"/>
  <c r="CK74" i="3"/>
  <c r="CK92" i="3"/>
  <c r="CK97" i="3"/>
  <c r="CK104" i="3"/>
  <c r="CK91" i="3"/>
  <c r="CK73" i="3"/>
  <c r="CK101" i="3"/>
  <c r="CK77" i="3"/>
  <c r="CK95" i="3"/>
  <c r="CK110" i="3"/>
  <c r="CK99" i="3"/>
  <c r="CK103" i="3"/>
  <c r="CK100" i="3"/>
  <c r="CK102" i="3"/>
  <c r="CK94" i="3"/>
  <c r="N108" i="3"/>
  <c r="N95" i="3"/>
  <c r="N109" i="3"/>
  <c r="N107" i="3"/>
  <c r="N106" i="3"/>
  <c r="N73" i="3"/>
  <c r="N112" i="3"/>
  <c r="N96" i="3"/>
  <c r="N89" i="3"/>
  <c r="N100" i="3"/>
  <c r="N111" i="3"/>
  <c r="N90" i="3"/>
  <c r="N77" i="3"/>
  <c r="N110" i="3"/>
  <c r="N74" i="3"/>
  <c r="N76" i="3"/>
  <c r="N104" i="3"/>
  <c r="N101" i="3"/>
  <c r="N92" i="3"/>
  <c r="N87" i="3"/>
  <c r="N75" i="3"/>
  <c r="N98" i="3"/>
  <c r="N88" i="3"/>
  <c r="N94" i="3"/>
  <c r="N103" i="3"/>
  <c r="N102" i="3"/>
  <c r="N91" i="3"/>
  <c r="N97" i="3"/>
  <c r="N105" i="3"/>
  <c r="N99" i="3"/>
  <c r="N93" i="3"/>
  <c r="N113" i="3"/>
  <c r="N85" i="3"/>
  <c r="BJ88" i="3"/>
  <c r="BJ108" i="3"/>
  <c r="BJ110" i="3"/>
  <c r="BJ104" i="3"/>
  <c r="BJ113" i="3"/>
  <c r="BJ74" i="3"/>
  <c r="BJ73" i="3"/>
  <c r="BJ96" i="3"/>
  <c r="BJ97" i="3"/>
  <c r="BJ109" i="3"/>
  <c r="BJ105" i="3"/>
  <c r="BJ76" i="3"/>
  <c r="BJ94" i="3"/>
  <c r="BJ93" i="3"/>
  <c r="BJ112" i="3"/>
  <c r="BJ89" i="3"/>
  <c r="BJ106" i="3"/>
  <c r="BJ103" i="3"/>
  <c r="BJ87" i="3"/>
  <c r="BJ92" i="3"/>
  <c r="BJ91" i="3"/>
  <c r="BJ100" i="3"/>
  <c r="BJ101" i="3"/>
  <c r="BJ95" i="3"/>
  <c r="BJ107" i="3"/>
  <c r="BJ102" i="3"/>
  <c r="BJ99" i="3"/>
  <c r="BJ77" i="3"/>
  <c r="BJ98" i="3"/>
  <c r="BJ85" i="3"/>
  <c r="BJ111" i="3"/>
  <c r="BJ75" i="3"/>
  <c r="BJ90" i="3"/>
  <c r="G85" i="3"/>
  <c r="G100" i="3"/>
  <c r="G92" i="3"/>
  <c r="G88" i="3"/>
  <c r="G75" i="3"/>
  <c r="G77" i="3"/>
  <c r="G105" i="3"/>
  <c r="G108" i="3"/>
  <c r="G97" i="3"/>
  <c r="G96" i="3"/>
  <c r="G73" i="3"/>
  <c r="G93" i="3"/>
  <c r="G111" i="3"/>
  <c r="G101" i="3"/>
  <c r="G87" i="3"/>
  <c r="G104" i="3"/>
  <c r="G90" i="3"/>
  <c r="G106" i="3"/>
  <c r="G95" i="3"/>
  <c r="G99" i="3"/>
  <c r="G112" i="3"/>
  <c r="G103" i="3"/>
  <c r="G94" i="3"/>
  <c r="G98" i="3"/>
  <c r="G110" i="3"/>
  <c r="G91" i="3"/>
  <c r="G102" i="3"/>
  <c r="G107" i="3"/>
  <c r="G109" i="3"/>
  <c r="G74" i="3"/>
  <c r="G113" i="3"/>
  <c r="G76" i="3"/>
  <c r="G89" i="3"/>
  <c r="BC103" i="3"/>
  <c r="BC88" i="3"/>
  <c r="BC94" i="3"/>
  <c r="BC75" i="3"/>
  <c r="BC105" i="3"/>
  <c r="BC110" i="3"/>
  <c r="BC111" i="3"/>
  <c r="BC97" i="3"/>
  <c r="BC108" i="3"/>
  <c r="BC76" i="3"/>
  <c r="BC92" i="3"/>
  <c r="BC100" i="3"/>
  <c r="BC93" i="3"/>
  <c r="BC77" i="3"/>
  <c r="BC101" i="3"/>
  <c r="BC91" i="3"/>
  <c r="BC107" i="3"/>
  <c r="BC85" i="3"/>
  <c r="BC73" i="3"/>
  <c r="BC109" i="3"/>
  <c r="BC113" i="3"/>
  <c r="BC104" i="3"/>
  <c r="BC87" i="3"/>
  <c r="BC99" i="3"/>
  <c r="BC96" i="3"/>
  <c r="BC98" i="3"/>
  <c r="BC112" i="3"/>
  <c r="BC89" i="3"/>
  <c r="BC95" i="3"/>
  <c r="BC102" i="3"/>
  <c r="BC90" i="3"/>
  <c r="BC106" i="3"/>
  <c r="BC74" i="3"/>
  <c r="BO74" i="3"/>
  <c r="BO100" i="3"/>
  <c r="BO107" i="3"/>
  <c r="CE103" i="3"/>
  <c r="CE75" i="3"/>
  <c r="CE85" i="3"/>
  <c r="CF76" i="3"/>
  <c r="CF74" i="3"/>
  <c r="CF100" i="3"/>
  <c r="B138" i="3" l="1"/>
  <c r="B136" i="3"/>
  <c r="B134" i="3"/>
  <c r="B130" i="3"/>
  <c r="B128" i="3"/>
  <c r="B126" i="3"/>
  <c r="CG140" i="3" l="1"/>
  <c r="CG141" i="3" s="1"/>
  <c r="CC140" i="3"/>
  <c r="CC141" i="3" s="1"/>
  <c r="BY140" i="3"/>
  <c r="BY141" i="3" s="1"/>
  <c r="BU140" i="3"/>
  <c r="BU141" i="3" s="1"/>
  <c r="BQ140" i="3"/>
  <c r="BQ141" i="3" s="1"/>
  <c r="BM140" i="3"/>
  <c r="BM141" i="3" s="1"/>
  <c r="BI140" i="3"/>
  <c r="BI141" i="3" s="1"/>
  <c r="BE140" i="3"/>
  <c r="BE141" i="3" s="1"/>
  <c r="BA140" i="3"/>
  <c r="BA141" i="3" s="1"/>
  <c r="AW140" i="3"/>
  <c r="AW141" i="3" s="1"/>
  <c r="AS140" i="3"/>
  <c r="AS141" i="3" s="1"/>
  <c r="AO140" i="3"/>
  <c r="AO141" i="3" s="1"/>
  <c r="AK140" i="3"/>
  <c r="AK141" i="3" s="1"/>
  <c r="AG140" i="3"/>
  <c r="AG141" i="3" s="1"/>
  <c r="AC140" i="3"/>
  <c r="AC141" i="3" s="1"/>
  <c r="Y140" i="3"/>
  <c r="Y141" i="3" s="1"/>
  <c r="U140" i="3"/>
  <c r="U141" i="3" s="1"/>
  <c r="Q140" i="3"/>
  <c r="Q141" i="3" s="1"/>
  <c r="M140" i="3"/>
  <c r="M141" i="3" s="1"/>
  <c r="I140" i="3"/>
  <c r="I141" i="3" s="1"/>
  <c r="E140" i="3"/>
  <c r="E141" i="3" s="1"/>
  <c r="CF140" i="3"/>
  <c r="CF141" i="3" s="1"/>
  <c r="CB140" i="3"/>
  <c r="CB141" i="3" s="1"/>
  <c r="BX140" i="3"/>
  <c r="BX141" i="3" s="1"/>
  <c r="BT140" i="3"/>
  <c r="BT141" i="3" s="1"/>
  <c r="BP140" i="3"/>
  <c r="BP141" i="3" s="1"/>
  <c r="BL140" i="3"/>
  <c r="BL141" i="3" s="1"/>
  <c r="BH140" i="3"/>
  <c r="BH141" i="3" s="1"/>
  <c r="BD140" i="3"/>
  <c r="BD141" i="3" s="1"/>
  <c r="AZ140" i="3"/>
  <c r="AZ141" i="3" s="1"/>
  <c r="AV140" i="3"/>
  <c r="AV141" i="3" s="1"/>
  <c r="AR140" i="3"/>
  <c r="AR141" i="3" s="1"/>
  <c r="AN140" i="3"/>
  <c r="AN141" i="3" s="1"/>
  <c r="AJ140" i="3"/>
  <c r="AJ141" i="3" s="1"/>
  <c r="AF140" i="3"/>
  <c r="AF141" i="3" s="1"/>
  <c r="AB140" i="3"/>
  <c r="AB141" i="3" s="1"/>
  <c r="X140" i="3"/>
  <c r="X141" i="3" s="1"/>
  <c r="T140" i="3"/>
  <c r="T141" i="3" s="1"/>
  <c r="P140" i="3"/>
  <c r="P141" i="3" s="1"/>
  <c r="L140" i="3"/>
  <c r="L141" i="3" s="1"/>
  <c r="H140" i="3"/>
  <c r="H141" i="3" s="1"/>
  <c r="D140" i="3"/>
  <c r="D141" i="3" s="1"/>
  <c r="CE140" i="3"/>
  <c r="CE141" i="3" s="1"/>
  <c r="CA140" i="3"/>
  <c r="CA141" i="3" s="1"/>
  <c r="BW140" i="3"/>
  <c r="BW141" i="3" s="1"/>
  <c r="BS140" i="3"/>
  <c r="BS141" i="3" s="1"/>
  <c r="BO140" i="3"/>
  <c r="BO141" i="3" s="1"/>
  <c r="BK140" i="3"/>
  <c r="BK141" i="3" s="1"/>
  <c r="BG140" i="3"/>
  <c r="BG141" i="3" s="1"/>
  <c r="BC140" i="3"/>
  <c r="BC141" i="3" s="1"/>
  <c r="AY140" i="3"/>
  <c r="AY141" i="3" s="1"/>
  <c r="AU140" i="3"/>
  <c r="AU141" i="3" s="1"/>
  <c r="AQ140" i="3"/>
  <c r="AQ141" i="3" s="1"/>
  <c r="AM140" i="3"/>
  <c r="AM141" i="3" s="1"/>
  <c r="AI140" i="3"/>
  <c r="AI141" i="3" s="1"/>
  <c r="AE140" i="3"/>
  <c r="AE141" i="3" s="1"/>
  <c r="AA140" i="3"/>
  <c r="AA141" i="3" s="1"/>
  <c r="W140" i="3"/>
  <c r="W141" i="3" s="1"/>
  <c r="S140" i="3"/>
  <c r="S141" i="3" s="1"/>
  <c r="O140" i="3"/>
  <c r="O141" i="3" s="1"/>
  <c r="K140" i="3"/>
  <c r="K141" i="3" s="1"/>
  <c r="G140" i="3"/>
  <c r="G141" i="3" s="1"/>
  <c r="C140" i="3"/>
  <c r="C141" i="3" s="1"/>
  <c r="CD140" i="3"/>
  <c r="CD141" i="3" s="1"/>
  <c r="BN140" i="3"/>
  <c r="BN141" i="3" s="1"/>
  <c r="AX140" i="3"/>
  <c r="AX141" i="3" s="1"/>
  <c r="AH140" i="3"/>
  <c r="AH141" i="3" s="1"/>
  <c r="R140" i="3"/>
  <c r="R141" i="3" s="1"/>
  <c r="B140" i="3"/>
  <c r="B141" i="3" s="1"/>
  <c r="BZ140" i="3"/>
  <c r="BZ141" i="3" s="1"/>
  <c r="BJ140" i="3"/>
  <c r="BJ141" i="3" s="1"/>
  <c r="AT140" i="3"/>
  <c r="AT141" i="3" s="1"/>
  <c r="AD140" i="3"/>
  <c r="AD141" i="3" s="1"/>
  <c r="N140" i="3"/>
  <c r="N141" i="3" s="1"/>
  <c r="BV140" i="3"/>
  <c r="BV141" i="3" s="1"/>
  <c r="BF140" i="3"/>
  <c r="BF141" i="3" s="1"/>
  <c r="AP140" i="3"/>
  <c r="AP141" i="3" s="1"/>
  <c r="Z140" i="3"/>
  <c r="Z141" i="3" s="1"/>
  <c r="J140" i="3"/>
  <c r="J141" i="3" s="1"/>
  <c r="BR140" i="3"/>
  <c r="BR141" i="3" s="1"/>
  <c r="F140" i="3"/>
  <c r="F141" i="3" s="1"/>
  <c r="CH140" i="3"/>
  <c r="CH141" i="3" s="1"/>
  <c r="V140" i="3"/>
  <c r="V141" i="3" s="1"/>
  <c r="BB140" i="3"/>
  <c r="BB141" i="3" s="1"/>
  <c r="AL140" i="3"/>
  <c r="AL141" i="3" s="1"/>
  <c r="CG132" i="3"/>
  <c r="CG133" i="3" s="1"/>
  <c r="CC132" i="3"/>
  <c r="CC133" i="3" s="1"/>
  <c r="BY132" i="3"/>
  <c r="BY133" i="3" s="1"/>
  <c r="BU132" i="3"/>
  <c r="BU133" i="3" s="1"/>
  <c r="BQ132" i="3"/>
  <c r="BQ133" i="3" s="1"/>
  <c r="BM132" i="3"/>
  <c r="BM133" i="3" s="1"/>
  <c r="BI132" i="3"/>
  <c r="BI133" i="3" s="1"/>
  <c r="BE132" i="3"/>
  <c r="BE133" i="3" s="1"/>
  <c r="BA132" i="3"/>
  <c r="BA133" i="3" s="1"/>
  <c r="AW132" i="3"/>
  <c r="AW133" i="3" s="1"/>
  <c r="AS132" i="3"/>
  <c r="AS133" i="3" s="1"/>
  <c r="AO132" i="3"/>
  <c r="AO133" i="3" s="1"/>
  <c r="AK132" i="3"/>
  <c r="AK133" i="3" s="1"/>
  <c r="AG132" i="3"/>
  <c r="AG133" i="3" s="1"/>
  <c r="AC132" i="3"/>
  <c r="AC133" i="3" s="1"/>
  <c r="Y132" i="3"/>
  <c r="Y133" i="3" s="1"/>
  <c r="U132" i="3"/>
  <c r="U133" i="3" s="1"/>
  <c r="Q132" i="3"/>
  <c r="Q133" i="3" s="1"/>
  <c r="M132" i="3"/>
  <c r="M133" i="3" s="1"/>
  <c r="I132" i="3"/>
  <c r="I133" i="3" s="1"/>
  <c r="E132" i="3"/>
  <c r="E133" i="3" s="1"/>
  <c r="CF132" i="3"/>
  <c r="CF133" i="3" s="1"/>
  <c r="CB132" i="3"/>
  <c r="CB133" i="3" s="1"/>
  <c r="BX132" i="3"/>
  <c r="BX133" i="3" s="1"/>
  <c r="BT132" i="3"/>
  <c r="BT133" i="3" s="1"/>
  <c r="BP132" i="3"/>
  <c r="BP133" i="3" s="1"/>
  <c r="BL132" i="3"/>
  <c r="BL133" i="3" s="1"/>
  <c r="BH132" i="3"/>
  <c r="BH133" i="3" s="1"/>
  <c r="BD132" i="3"/>
  <c r="BD133" i="3" s="1"/>
  <c r="AZ132" i="3"/>
  <c r="AZ133" i="3" s="1"/>
  <c r="AV132" i="3"/>
  <c r="AV133" i="3" s="1"/>
  <c r="AR132" i="3"/>
  <c r="AR133" i="3" s="1"/>
  <c r="AN132" i="3"/>
  <c r="AN133" i="3" s="1"/>
  <c r="AJ132" i="3"/>
  <c r="AJ133" i="3" s="1"/>
  <c r="AF132" i="3"/>
  <c r="AF133" i="3" s="1"/>
  <c r="AB132" i="3"/>
  <c r="AB133" i="3" s="1"/>
  <c r="X132" i="3"/>
  <c r="X133" i="3" s="1"/>
  <c r="T132" i="3"/>
  <c r="T133" i="3" s="1"/>
  <c r="P132" i="3"/>
  <c r="P133" i="3" s="1"/>
  <c r="L132" i="3"/>
  <c r="L133" i="3" s="1"/>
  <c r="H132" i="3"/>
  <c r="H133" i="3" s="1"/>
  <c r="CH132" i="3"/>
  <c r="CH133" i="3" s="1"/>
  <c r="BZ132" i="3"/>
  <c r="BZ133" i="3" s="1"/>
  <c r="BR132" i="3"/>
  <c r="BR133" i="3" s="1"/>
  <c r="BJ132" i="3"/>
  <c r="BJ133" i="3" s="1"/>
  <c r="BB132" i="3"/>
  <c r="BB133" i="3" s="1"/>
  <c r="AT132" i="3"/>
  <c r="AT133" i="3" s="1"/>
  <c r="AL132" i="3"/>
  <c r="AL133" i="3" s="1"/>
  <c r="AD132" i="3"/>
  <c r="AD133" i="3" s="1"/>
  <c r="V132" i="3"/>
  <c r="V133" i="3" s="1"/>
  <c r="N132" i="3"/>
  <c r="N133" i="3" s="1"/>
  <c r="F132" i="3"/>
  <c r="F133" i="3" s="1"/>
  <c r="CE132" i="3"/>
  <c r="CE133" i="3" s="1"/>
  <c r="BW132" i="3"/>
  <c r="BW133" i="3" s="1"/>
  <c r="BO132" i="3"/>
  <c r="BO133" i="3" s="1"/>
  <c r="BG132" i="3"/>
  <c r="BG133" i="3" s="1"/>
  <c r="AY132" i="3"/>
  <c r="AY133" i="3" s="1"/>
  <c r="AQ132" i="3"/>
  <c r="AQ133" i="3" s="1"/>
  <c r="AI132" i="3"/>
  <c r="AI133" i="3" s="1"/>
  <c r="AA132" i="3"/>
  <c r="AA133" i="3" s="1"/>
  <c r="S132" i="3"/>
  <c r="S133" i="3" s="1"/>
  <c r="K132" i="3"/>
  <c r="K133" i="3" s="1"/>
  <c r="D132" i="3"/>
  <c r="D133" i="3" s="1"/>
  <c r="CD132" i="3"/>
  <c r="CD133" i="3" s="1"/>
  <c r="BV132" i="3"/>
  <c r="BV133" i="3" s="1"/>
  <c r="BN132" i="3"/>
  <c r="BN133" i="3" s="1"/>
  <c r="BF132" i="3"/>
  <c r="BF133" i="3" s="1"/>
  <c r="AX132" i="3"/>
  <c r="AX133" i="3" s="1"/>
  <c r="AP132" i="3"/>
  <c r="AP133" i="3" s="1"/>
  <c r="AH132" i="3"/>
  <c r="AH133" i="3" s="1"/>
  <c r="Z132" i="3"/>
  <c r="Z133" i="3" s="1"/>
  <c r="R132" i="3"/>
  <c r="R133" i="3" s="1"/>
  <c r="J132" i="3"/>
  <c r="J133" i="3" s="1"/>
  <c r="C132" i="3"/>
  <c r="C133" i="3" s="1"/>
  <c r="BC132" i="3"/>
  <c r="BC133" i="3" s="1"/>
  <c r="W132" i="3"/>
  <c r="W133" i="3" s="1"/>
  <c r="BK132" i="3"/>
  <c r="BK133" i="3" s="1"/>
  <c r="AE132" i="3"/>
  <c r="AE133" i="3" s="1"/>
  <c r="B132" i="3"/>
  <c r="B133" i="3" s="1"/>
  <c r="BS132" i="3"/>
  <c r="BS133" i="3" s="1"/>
  <c r="G132" i="3"/>
  <c r="G133" i="3" s="1"/>
  <c r="AU132" i="3"/>
  <c r="AU133" i="3" s="1"/>
  <c r="AM132" i="3"/>
  <c r="AM133" i="3" s="1"/>
  <c r="O132" i="3"/>
  <c r="O133" i="3" s="1"/>
  <c r="CA132" i="3"/>
  <c r="CA133" i="3" s="1"/>
  <c r="DV2" i="3" l="1"/>
  <c r="AP2" i="3"/>
  <c r="EL2" i="3"/>
  <c r="BF2" i="3"/>
  <c r="DI2" i="3"/>
  <c r="AC2" i="3"/>
  <c r="EO2" i="3"/>
  <c r="BI2" i="3"/>
  <c r="G2" i="3"/>
  <c r="CM2" i="3"/>
  <c r="DR2" i="3"/>
  <c r="AL2" i="3"/>
  <c r="EX2" i="3"/>
  <c r="BR2" i="3"/>
  <c r="CW2" i="3"/>
  <c r="Q2" i="3"/>
  <c r="EC2" i="3"/>
  <c r="AW2" i="3"/>
  <c r="FI2" i="3"/>
  <c r="CC2" i="3"/>
  <c r="CY2" i="3"/>
  <c r="S2" i="3"/>
  <c r="DO2" i="3"/>
  <c r="AI2" i="3"/>
  <c r="EE2" i="3"/>
  <c r="AY2" i="3"/>
  <c r="EU2" i="3"/>
  <c r="BO2" i="3"/>
  <c r="FK2" i="3"/>
  <c r="CE2" i="3"/>
  <c r="CV2" i="3"/>
  <c r="P2" i="3"/>
  <c r="DL2" i="3"/>
  <c r="AF2" i="3"/>
  <c r="EB2" i="3"/>
  <c r="AV2" i="3"/>
  <c r="ER2" i="3"/>
  <c r="BL2" i="3"/>
  <c r="FH2" i="3"/>
  <c r="CB2" i="3"/>
  <c r="ED2" i="3"/>
  <c r="AX2" i="3"/>
  <c r="DN2" i="3"/>
  <c r="AH2" i="3"/>
  <c r="CL2" i="3"/>
  <c r="F2" i="3"/>
  <c r="DQ2" i="3"/>
  <c r="AK2" i="3"/>
  <c r="EW2" i="3"/>
  <c r="BQ2" i="3"/>
  <c r="CT2" i="3"/>
  <c r="N2" i="3"/>
  <c r="DZ2" i="3"/>
  <c r="AT2" i="3"/>
  <c r="FF2" i="3"/>
  <c r="BZ2" i="3"/>
  <c r="DE2" i="3"/>
  <c r="Y2" i="3"/>
  <c r="EK2" i="3"/>
  <c r="BE2" i="3"/>
  <c r="FQ2" i="3"/>
  <c r="CK2" i="3"/>
  <c r="W2" i="3"/>
  <c r="DC2" i="3"/>
  <c r="AM2" i="3"/>
  <c r="DS2" i="3"/>
  <c r="BC2" i="3"/>
  <c r="EI2" i="3"/>
  <c r="BS2" i="3"/>
  <c r="EY2" i="3"/>
  <c r="CI2" i="3"/>
  <c r="FO2" i="3"/>
  <c r="CZ2" i="3"/>
  <c r="T2" i="3"/>
  <c r="DP2" i="3"/>
  <c r="AJ2" i="3"/>
  <c r="EF2" i="3"/>
  <c r="AZ2" i="3"/>
  <c r="EV2" i="3"/>
  <c r="BP2" i="3"/>
  <c r="FL2" i="3"/>
  <c r="CF2" i="3"/>
  <c r="FJ2" i="3"/>
  <c r="CD2" i="3"/>
  <c r="CP2" i="3"/>
  <c r="J2" i="3"/>
  <c r="ET2" i="3"/>
  <c r="BN2" i="3"/>
  <c r="CS2" i="3"/>
  <c r="M2" i="3"/>
  <c r="DY2" i="3"/>
  <c r="AS2" i="3"/>
  <c r="FE2" i="3"/>
  <c r="BY2" i="3"/>
  <c r="DB2" i="3"/>
  <c r="V2" i="3"/>
  <c r="EH2" i="3"/>
  <c r="BB2" i="3"/>
  <c r="FN2" i="3"/>
  <c r="CH2" i="3"/>
  <c r="DM2" i="3"/>
  <c r="AG2" i="3"/>
  <c r="ES2" i="3"/>
  <c r="BM2" i="3"/>
  <c r="K2" i="3"/>
  <c r="CQ2" i="3"/>
  <c r="AA2" i="3"/>
  <c r="DG2" i="3"/>
  <c r="AQ2" i="3"/>
  <c r="DW2" i="3"/>
  <c r="BG2" i="3"/>
  <c r="EM2" i="3"/>
  <c r="BW2" i="3"/>
  <c r="FC2" i="3"/>
  <c r="CN2" i="3"/>
  <c r="H2" i="3"/>
  <c r="DD2" i="3"/>
  <c r="X2" i="3"/>
  <c r="DT2" i="3"/>
  <c r="AN2" i="3"/>
  <c r="EJ2" i="3"/>
  <c r="BD2" i="3"/>
  <c r="EZ2" i="3"/>
  <c r="BT2" i="3"/>
  <c r="FP2" i="3"/>
  <c r="CJ2" i="3"/>
  <c r="CX2" i="3"/>
  <c r="R2" i="3"/>
  <c r="FB2" i="3"/>
  <c r="BV2" i="3"/>
  <c r="DF2" i="3"/>
  <c r="Z2" i="3"/>
  <c r="DA2" i="3"/>
  <c r="U2" i="3"/>
  <c r="EG2" i="3"/>
  <c r="BA2" i="3"/>
  <c r="FM2" i="3"/>
  <c r="CG2" i="3"/>
  <c r="DJ2" i="3"/>
  <c r="AD2" i="3"/>
  <c r="EP2" i="3"/>
  <c r="BJ2" i="3"/>
  <c r="CO2" i="3"/>
  <c r="I2" i="3"/>
  <c r="DU2" i="3"/>
  <c r="AO2" i="3"/>
  <c r="FA2" i="3"/>
  <c r="BU2" i="3"/>
  <c r="O2" i="3"/>
  <c r="CU2" i="3"/>
  <c r="AE2" i="3"/>
  <c r="DK2" i="3"/>
  <c r="EA2" i="3"/>
  <c r="AU2" i="3"/>
  <c r="EQ2" i="3"/>
  <c r="BK2" i="3"/>
  <c r="FG2" i="3"/>
  <c r="CA2" i="3"/>
  <c r="CR2" i="3"/>
  <c r="L2" i="3"/>
  <c r="DH2" i="3"/>
  <c r="AB2" i="3"/>
  <c r="DX2" i="3"/>
  <c r="AR2" i="3"/>
  <c r="EN2" i="3"/>
  <c r="BH2" i="3"/>
  <c r="FD2" i="3"/>
  <c r="BX2" i="3"/>
  <c r="G52" i="3"/>
  <c r="G32" i="3"/>
  <c r="G48" i="3"/>
  <c r="G33" i="3"/>
  <c r="G35" i="3"/>
  <c r="G18" i="3"/>
  <c r="G42" i="3"/>
  <c r="G25" i="3"/>
  <c r="G51" i="3"/>
  <c r="G30" i="3"/>
  <c r="G41" i="3"/>
  <c r="G20" i="3"/>
  <c r="G49" i="3"/>
  <c r="G31" i="3"/>
  <c r="G46" i="3"/>
  <c r="G24" i="3"/>
  <c r="G47" i="3"/>
  <c r="G14" i="3"/>
  <c r="G38" i="3"/>
  <c r="G4" i="3"/>
  <c r="G44" i="3"/>
  <c r="G29" i="3"/>
  <c r="G53" i="3"/>
  <c r="G37" i="3"/>
  <c r="G17" i="3"/>
  <c r="G39" i="3"/>
  <c r="G26" i="3"/>
  <c r="G50" i="3"/>
  <c r="G28" i="3"/>
  <c r="G36" i="3"/>
  <c r="G19" i="3"/>
  <c r="G45" i="3"/>
  <c r="G34" i="3"/>
  <c r="G11" i="3"/>
  <c r="G12" i="3"/>
  <c r="G5" i="3"/>
  <c r="G7" i="3"/>
  <c r="G13" i="3"/>
  <c r="G21" i="3"/>
  <c r="G8" i="3"/>
  <c r="G10" i="3"/>
  <c r="AM41" i="3"/>
  <c r="AM20" i="3"/>
  <c r="AM35" i="3"/>
  <c r="AM17" i="3"/>
  <c r="AM42" i="3"/>
  <c r="AM25" i="3"/>
  <c r="AM52" i="3"/>
  <c r="AM32" i="3"/>
  <c r="AM38" i="3"/>
  <c r="AM4" i="3"/>
  <c r="AM50" i="3"/>
  <c r="AM31" i="3"/>
  <c r="AM46" i="3"/>
  <c r="AM24" i="3"/>
  <c r="AM51" i="3"/>
  <c r="AM30" i="3"/>
  <c r="AM49" i="3"/>
  <c r="AM28" i="3"/>
  <c r="AM44" i="3"/>
  <c r="AM29" i="3"/>
  <c r="AM53" i="3"/>
  <c r="AM37" i="3"/>
  <c r="AM18" i="3"/>
  <c r="AM47" i="3"/>
  <c r="AM14" i="3"/>
  <c r="AM48" i="3"/>
  <c r="AM33" i="3"/>
  <c r="AM36" i="3"/>
  <c r="AM19" i="3"/>
  <c r="AM45" i="3"/>
  <c r="AM34" i="3"/>
  <c r="AM39" i="3"/>
  <c r="AM26" i="3"/>
  <c r="AM11" i="3"/>
  <c r="AM12" i="3"/>
  <c r="AM5" i="3"/>
  <c r="AM7" i="3"/>
  <c r="AM13" i="3"/>
  <c r="AM21" i="3"/>
  <c r="AM8" i="3"/>
  <c r="AM10" i="3"/>
  <c r="BS48" i="3"/>
  <c r="BS33" i="3"/>
  <c r="BS36" i="3"/>
  <c r="BS19" i="3"/>
  <c r="BS50" i="3"/>
  <c r="BS34" i="3"/>
  <c r="BS39" i="3"/>
  <c r="BS24" i="3"/>
  <c r="BS41" i="3"/>
  <c r="BS20" i="3"/>
  <c r="BS35" i="3"/>
  <c r="BS17" i="3"/>
  <c r="BS42" i="3"/>
  <c r="BS25" i="3"/>
  <c r="BS52" i="3"/>
  <c r="BS32" i="3"/>
  <c r="BS38" i="3"/>
  <c r="BS4" i="3"/>
  <c r="BS49" i="3"/>
  <c r="BS31" i="3"/>
  <c r="BS46" i="3"/>
  <c r="BS26" i="3"/>
  <c r="BS45" i="3"/>
  <c r="BS30" i="3"/>
  <c r="BS51" i="3"/>
  <c r="BS28" i="3"/>
  <c r="BS44" i="3"/>
  <c r="BS29" i="3"/>
  <c r="BS53" i="3"/>
  <c r="BS37" i="3"/>
  <c r="BS18" i="3"/>
  <c r="BS47" i="3"/>
  <c r="BS14" i="3"/>
  <c r="BS11" i="3"/>
  <c r="BS12" i="3"/>
  <c r="BS5" i="3"/>
  <c r="BS7" i="3"/>
  <c r="BS13" i="3"/>
  <c r="BS21" i="3"/>
  <c r="BS8" i="3"/>
  <c r="BS10" i="3"/>
  <c r="K38" i="3"/>
  <c r="K18" i="3"/>
  <c r="K50" i="3"/>
  <c r="K34" i="3"/>
  <c r="K47" i="3"/>
  <c r="K26" i="3"/>
  <c r="K44" i="3"/>
  <c r="K33" i="3"/>
  <c r="K45" i="3"/>
  <c r="K31" i="3"/>
  <c r="K42" i="3"/>
  <c r="K25" i="3"/>
  <c r="K52" i="3"/>
  <c r="K32" i="3"/>
  <c r="K36" i="3"/>
  <c r="K20" i="3"/>
  <c r="K46" i="3"/>
  <c r="K29" i="3"/>
  <c r="K51" i="3"/>
  <c r="K24" i="3"/>
  <c r="K48" i="3"/>
  <c r="K30" i="3"/>
  <c r="K37" i="3"/>
  <c r="K4" i="3"/>
  <c r="K39" i="3"/>
  <c r="K19" i="3"/>
  <c r="K53" i="3"/>
  <c r="K35" i="3"/>
  <c r="K17" i="3"/>
  <c r="K41" i="3"/>
  <c r="K14" i="3"/>
  <c r="K49" i="3"/>
  <c r="K28" i="3"/>
  <c r="K11" i="3"/>
  <c r="K12" i="3"/>
  <c r="K5" i="3"/>
  <c r="K7" i="3"/>
  <c r="K13" i="3"/>
  <c r="K21" i="3"/>
  <c r="K8" i="3"/>
  <c r="K10" i="3"/>
  <c r="AQ52" i="3"/>
  <c r="AQ32" i="3"/>
  <c r="AQ44" i="3"/>
  <c r="AQ33" i="3"/>
  <c r="AQ35" i="3"/>
  <c r="AQ17" i="3"/>
  <c r="AQ42" i="3"/>
  <c r="AQ25" i="3"/>
  <c r="AQ48" i="3"/>
  <c r="AQ30" i="3"/>
  <c r="AQ36" i="3"/>
  <c r="AQ20" i="3"/>
  <c r="AQ45" i="3"/>
  <c r="AQ31" i="3"/>
  <c r="AQ51" i="3"/>
  <c r="AQ26" i="3"/>
  <c r="AQ41" i="3"/>
  <c r="AQ14" i="3"/>
  <c r="AQ37" i="3"/>
  <c r="AQ4" i="3"/>
  <c r="AQ46" i="3"/>
  <c r="AQ29" i="3"/>
  <c r="AQ53" i="3"/>
  <c r="AQ38" i="3"/>
  <c r="AQ18" i="3"/>
  <c r="AQ47" i="3"/>
  <c r="AQ24" i="3"/>
  <c r="AQ49" i="3"/>
  <c r="AQ28" i="3"/>
  <c r="AQ39" i="3"/>
  <c r="AQ19" i="3"/>
  <c r="AQ50" i="3"/>
  <c r="AQ34" i="3"/>
  <c r="AQ11" i="3"/>
  <c r="AQ12" i="3"/>
  <c r="AQ5" i="3"/>
  <c r="AQ7" i="3"/>
  <c r="AQ13" i="3"/>
  <c r="AQ21" i="3"/>
  <c r="AQ8" i="3"/>
  <c r="AQ10" i="3"/>
  <c r="BW49" i="3"/>
  <c r="BW31" i="3"/>
  <c r="BW46" i="3"/>
  <c r="BW29" i="3"/>
  <c r="BW52" i="3"/>
  <c r="BW32" i="3"/>
  <c r="BW41" i="3"/>
  <c r="BW14" i="3"/>
  <c r="BW44" i="3"/>
  <c r="BW33" i="3"/>
  <c r="BW39" i="3"/>
  <c r="BW19" i="3"/>
  <c r="BW50" i="3"/>
  <c r="BW34" i="3"/>
  <c r="BW37" i="3"/>
  <c r="BW4" i="3"/>
  <c r="BW36" i="3"/>
  <c r="BW20" i="3"/>
  <c r="BW53" i="3"/>
  <c r="BW38" i="3"/>
  <c r="BW18" i="3"/>
  <c r="BW42" i="3"/>
  <c r="BW25" i="3"/>
  <c r="BW51" i="3"/>
  <c r="BW28" i="3"/>
  <c r="BW35" i="3"/>
  <c r="BW17" i="3"/>
  <c r="BW45" i="3"/>
  <c r="BW26" i="3"/>
  <c r="BW47" i="3"/>
  <c r="BW24" i="3"/>
  <c r="BW48" i="3"/>
  <c r="BW30" i="3"/>
  <c r="BW11" i="3"/>
  <c r="BW12" i="3"/>
  <c r="BW5" i="3"/>
  <c r="BW7" i="3"/>
  <c r="BW13" i="3"/>
  <c r="BW21" i="3"/>
  <c r="BW8" i="3"/>
  <c r="BW10" i="3"/>
  <c r="O39" i="3"/>
  <c r="O24" i="3"/>
  <c r="O52" i="3"/>
  <c r="O32" i="3"/>
  <c r="O51" i="3"/>
  <c r="O20" i="3"/>
  <c r="O45" i="3"/>
  <c r="O31" i="3"/>
  <c r="O53" i="3"/>
  <c r="O38" i="3"/>
  <c r="O17" i="3"/>
  <c r="O44" i="3"/>
  <c r="O30" i="3"/>
  <c r="O37" i="3"/>
  <c r="O4" i="3"/>
  <c r="O47" i="3"/>
  <c r="O29" i="3"/>
  <c r="O48" i="3"/>
  <c r="O34" i="3"/>
  <c r="O36" i="3"/>
  <c r="O14" i="3"/>
  <c r="O49" i="3"/>
  <c r="O28" i="3"/>
  <c r="O46" i="3"/>
  <c r="O19" i="3"/>
  <c r="O41" i="3"/>
  <c r="O25" i="3"/>
  <c r="O50" i="3"/>
  <c r="O26" i="3"/>
  <c r="O42" i="3"/>
  <c r="O33" i="3"/>
  <c r="O35" i="3"/>
  <c r="O18" i="3"/>
  <c r="O11" i="3"/>
  <c r="O12" i="3"/>
  <c r="O5" i="3"/>
  <c r="O7" i="3"/>
  <c r="O13" i="3"/>
  <c r="O21" i="3"/>
  <c r="O8" i="3"/>
  <c r="O10" i="3"/>
  <c r="AP49" i="3"/>
  <c r="AP32" i="3"/>
  <c r="AP44" i="3"/>
  <c r="AP30" i="3"/>
  <c r="AP52" i="3"/>
  <c r="AP33" i="3"/>
  <c r="AP37" i="3"/>
  <c r="AP25" i="3"/>
  <c r="AP47" i="3"/>
  <c r="AP34" i="3"/>
  <c r="AP48" i="3"/>
  <c r="AP20" i="3"/>
  <c r="AP45" i="3"/>
  <c r="AP31" i="3"/>
  <c r="AP39" i="3"/>
  <c r="AP24" i="3"/>
  <c r="AP41" i="3"/>
  <c r="AP14" i="3"/>
  <c r="AP53" i="3"/>
  <c r="AP36" i="3"/>
  <c r="AP17" i="3"/>
  <c r="AP42" i="3"/>
  <c r="AP4" i="3"/>
  <c r="AP50" i="3"/>
  <c r="AP29" i="3"/>
  <c r="AP35" i="3"/>
  <c r="AP18" i="3"/>
  <c r="AP46" i="3"/>
  <c r="AP28" i="3"/>
  <c r="AP38" i="3"/>
  <c r="AP19" i="3"/>
  <c r="AP51" i="3"/>
  <c r="AP26" i="3"/>
  <c r="AP5" i="3"/>
  <c r="AP7" i="3"/>
  <c r="AP12" i="3"/>
  <c r="AP13" i="3"/>
  <c r="AP21" i="3"/>
  <c r="AP8" i="3"/>
  <c r="AP10" i="3"/>
  <c r="AP11" i="3"/>
  <c r="AC39" i="3"/>
  <c r="AC28" i="3"/>
  <c r="AC49" i="3"/>
  <c r="AC14" i="3"/>
  <c r="AC46" i="3"/>
  <c r="AC29" i="3"/>
  <c r="AC45" i="3"/>
  <c r="AC19" i="3"/>
  <c r="AC42" i="3"/>
  <c r="AC25" i="3"/>
  <c r="AC41" i="3"/>
  <c r="AC18" i="3"/>
  <c r="AC50" i="3"/>
  <c r="AC26" i="3"/>
  <c r="AC51" i="3"/>
  <c r="AC34" i="3"/>
  <c r="AC37" i="3"/>
  <c r="AC24" i="3"/>
  <c r="AC47" i="3"/>
  <c r="AC33" i="3"/>
  <c r="AC36" i="3"/>
  <c r="AC20" i="3"/>
  <c r="AC44" i="3"/>
  <c r="AC32" i="3"/>
  <c r="AC52" i="3"/>
  <c r="AC30" i="3"/>
  <c r="AC38" i="3"/>
  <c r="AC31" i="3"/>
  <c r="AC53" i="3"/>
  <c r="AC35" i="3"/>
  <c r="AC17" i="3"/>
  <c r="AC48" i="3"/>
  <c r="AC4" i="3"/>
  <c r="AC8" i="3"/>
  <c r="AC5" i="3"/>
  <c r="AC7" i="3"/>
  <c r="AC13" i="3"/>
  <c r="AC21" i="3"/>
  <c r="AC10" i="3"/>
  <c r="AC11" i="3"/>
  <c r="AC12" i="3"/>
  <c r="BR47" i="3"/>
  <c r="BR25" i="3"/>
  <c r="BR35" i="3"/>
  <c r="BR17" i="3"/>
  <c r="BR42" i="3"/>
  <c r="BR30" i="3"/>
  <c r="BR52" i="3"/>
  <c r="BR33" i="3"/>
  <c r="BR36" i="3"/>
  <c r="BR24" i="3"/>
  <c r="BR51" i="3"/>
  <c r="BR32" i="3"/>
  <c r="BR44" i="3"/>
  <c r="BR20" i="3"/>
  <c r="BR45" i="3"/>
  <c r="BR31" i="3"/>
  <c r="BR50" i="3"/>
  <c r="BR29" i="3"/>
  <c r="BR48" i="3"/>
  <c r="BR34" i="3"/>
  <c r="BR53" i="3"/>
  <c r="BR39" i="3"/>
  <c r="BR18" i="3"/>
  <c r="BR37" i="3"/>
  <c r="BR4" i="3"/>
  <c r="BR49" i="3"/>
  <c r="BR26" i="3"/>
  <c r="BR41" i="3"/>
  <c r="BR14" i="3"/>
  <c r="BR46" i="3"/>
  <c r="BR28" i="3"/>
  <c r="BR38" i="3"/>
  <c r="BR19" i="3"/>
  <c r="BR7" i="3"/>
  <c r="BR5" i="3"/>
  <c r="BR12" i="3"/>
  <c r="BR13" i="3"/>
  <c r="BR21" i="3"/>
  <c r="BR8" i="3"/>
  <c r="BR10" i="3"/>
  <c r="BR11" i="3"/>
  <c r="AW50" i="3"/>
  <c r="AW33" i="3"/>
  <c r="AW39" i="3"/>
  <c r="AW26" i="3"/>
  <c r="AW52" i="3"/>
  <c r="AW34" i="3"/>
  <c r="AW38" i="3"/>
  <c r="AW25" i="3"/>
  <c r="AW48" i="3"/>
  <c r="AW31" i="3"/>
  <c r="AW42" i="3"/>
  <c r="AW20" i="3"/>
  <c r="AW46" i="3"/>
  <c r="AW32" i="3"/>
  <c r="AW36" i="3"/>
  <c r="AW24" i="3"/>
  <c r="AW44" i="3"/>
  <c r="AW14" i="3"/>
  <c r="AW53" i="3"/>
  <c r="AW35" i="3"/>
  <c r="AW18" i="3"/>
  <c r="AW45" i="3"/>
  <c r="AW4" i="3"/>
  <c r="AW51" i="3"/>
  <c r="AW30" i="3"/>
  <c r="AW37" i="3"/>
  <c r="AW17" i="3"/>
  <c r="AW47" i="3"/>
  <c r="AW29" i="3"/>
  <c r="AW41" i="3"/>
  <c r="AW19" i="3"/>
  <c r="AW49" i="3"/>
  <c r="AW28" i="3"/>
  <c r="AW8" i="3"/>
  <c r="AW5" i="3"/>
  <c r="AW7" i="3"/>
  <c r="AW13" i="3"/>
  <c r="AW21" i="3"/>
  <c r="AW10" i="3"/>
  <c r="AW11" i="3"/>
  <c r="AW12" i="3"/>
  <c r="S44" i="3"/>
  <c r="S33" i="3"/>
  <c r="S50" i="3"/>
  <c r="S19" i="3"/>
  <c r="S45" i="3"/>
  <c r="S34" i="3"/>
  <c r="S47" i="3"/>
  <c r="S26" i="3"/>
  <c r="S36" i="3"/>
  <c r="S20" i="3"/>
  <c r="S37" i="3"/>
  <c r="S18" i="3"/>
  <c r="S42" i="3"/>
  <c r="S25" i="3"/>
  <c r="S52" i="3"/>
  <c r="S32" i="3"/>
  <c r="S35" i="3"/>
  <c r="S4" i="3"/>
  <c r="S51" i="3"/>
  <c r="S31" i="3"/>
  <c r="S39" i="3"/>
  <c r="S24" i="3"/>
  <c r="S48" i="3"/>
  <c r="S30" i="3"/>
  <c r="S49" i="3"/>
  <c r="S28" i="3"/>
  <c r="S46" i="3"/>
  <c r="S29" i="3"/>
  <c r="S53" i="3"/>
  <c r="S38" i="3"/>
  <c r="S17" i="3"/>
  <c r="S41" i="3"/>
  <c r="S14" i="3"/>
  <c r="S11" i="3"/>
  <c r="S12" i="3"/>
  <c r="S5" i="3"/>
  <c r="S7" i="3"/>
  <c r="S13" i="3"/>
  <c r="S21" i="3"/>
  <c r="S8" i="3"/>
  <c r="S10" i="3"/>
  <c r="AY42" i="3"/>
  <c r="AY25" i="3"/>
  <c r="AY47" i="3"/>
  <c r="AY26" i="3"/>
  <c r="AY44" i="3"/>
  <c r="AY33" i="3"/>
  <c r="AY37" i="3"/>
  <c r="AY17" i="3"/>
  <c r="AY39" i="3"/>
  <c r="AY24" i="3"/>
  <c r="AY52" i="3"/>
  <c r="AY32" i="3"/>
  <c r="AY36" i="3"/>
  <c r="AY20" i="3"/>
  <c r="AY51" i="3"/>
  <c r="AY31" i="3"/>
  <c r="AY53" i="3"/>
  <c r="AY38" i="3"/>
  <c r="AY18" i="3"/>
  <c r="AY48" i="3"/>
  <c r="AY30" i="3"/>
  <c r="AY35" i="3"/>
  <c r="AY4" i="3"/>
  <c r="AY46" i="3"/>
  <c r="AY29" i="3"/>
  <c r="AY45" i="3"/>
  <c r="AY34" i="3"/>
  <c r="AY41" i="3"/>
  <c r="AY14" i="3"/>
  <c r="AY49" i="3"/>
  <c r="AY28" i="3"/>
  <c r="AY50" i="3"/>
  <c r="AY19" i="3"/>
  <c r="AY11" i="3"/>
  <c r="AY12" i="3"/>
  <c r="AY5" i="3"/>
  <c r="AY7" i="3"/>
  <c r="AY13" i="3"/>
  <c r="AY21" i="3"/>
  <c r="AY8" i="3"/>
  <c r="AY10" i="3"/>
  <c r="CE36" i="3"/>
  <c r="CE14" i="3"/>
  <c r="CE37" i="3"/>
  <c r="CE17" i="3"/>
  <c r="CE42" i="3"/>
  <c r="CE29" i="3"/>
  <c r="CE52" i="3"/>
  <c r="CE32" i="3"/>
  <c r="CE35" i="3"/>
  <c r="CE4" i="3"/>
  <c r="CE49" i="3"/>
  <c r="CE31" i="3"/>
  <c r="CE39" i="3"/>
  <c r="CE19" i="3"/>
  <c r="CE48" i="3"/>
  <c r="CE34" i="3"/>
  <c r="CE51" i="3"/>
  <c r="CE28" i="3"/>
  <c r="CE46" i="3"/>
  <c r="CE33" i="3"/>
  <c r="CE53" i="3"/>
  <c r="CE38" i="3"/>
  <c r="CE18" i="3"/>
  <c r="CE41" i="3"/>
  <c r="CE25" i="3"/>
  <c r="CE44" i="3"/>
  <c r="CE30" i="3"/>
  <c r="CE50" i="3"/>
  <c r="CE20" i="3"/>
  <c r="CE45" i="3"/>
  <c r="CE26" i="3"/>
  <c r="CE47" i="3"/>
  <c r="CE24" i="3"/>
  <c r="CE11" i="3"/>
  <c r="CE12" i="3"/>
  <c r="CE5" i="3"/>
  <c r="CE7" i="3"/>
  <c r="CE13" i="3"/>
  <c r="CE21" i="3"/>
  <c r="CE8" i="3"/>
  <c r="CE10" i="3"/>
  <c r="AF46" i="3"/>
  <c r="AF24" i="3"/>
  <c r="AF42" i="3"/>
  <c r="AF20" i="3"/>
  <c r="AF52" i="3"/>
  <c r="AF32" i="3"/>
  <c r="AF35" i="3"/>
  <c r="AF18" i="3"/>
  <c r="AF51" i="3"/>
  <c r="AF14" i="3"/>
  <c r="AF49" i="3"/>
  <c r="AF31" i="3"/>
  <c r="AF45" i="3"/>
  <c r="AF4" i="3"/>
  <c r="AF44" i="3"/>
  <c r="AF30" i="3"/>
  <c r="AF53" i="3"/>
  <c r="AF36" i="3"/>
  <c r="AF17" i="3"/>
  <c r="AF47" i="3"/>
  <c r="AF29" i="3"/>
  <c r="AF37" i="3"/>
  <c r="AF19" i="3"/>
  <c r="AF41" i="3"/>
  <c r="AF28" i="3"/>
  <c r="AF50" i="3"/>
  <c r="AF33" i="3"/>
  <c r="AF39" i="3"/>
  <c r="AF26" i="3"/>
  <c r="AF48" i="3"/>
  <c r="AF34" i="3"/>
  <c r="AF38" i="3"/>
  <c r="AF25" i="3"/>
  <c r="AF8" i="3"/>
  <c r="AF10" i="3"/>
  <c r="AF11" i="3"/>
  <c r="AF12" i="3"/>
  <c r="AF5" i="3"/>
  <c r="AF7" i="3"/>
  <c r="AF13" i="3"/>
  <c r="AF21" i="3"/>
  <c r="BL39" i="3"/>
  <c r="BL4" i="3"/>
  <c r="BL35" i="3"/>
  <c r="BL18" i="3"/>
  <c r="BL41" i="3"/>
  <c r="BL28" i="3"/>
  <c r="BL51" i="3"/>
  <c r="BL31" i="3"/>
  <c r="BL37" i="3"/>
  <c r="BL19" i="3"/>
  <c r="BL48" i="3"/>
  <c r="BL34" i="3"/>
  <c r="BL38" i="3"/>
  <c r="BL14" i="3"/>
  <c r="BL50" i="3"/>
  <c r="BL33" i="3"/>
  <c r="BL49" i="3"/>
  <c r="BL26" i="3"/>
  <c r="BL52" i="3"/>
  <c r="BL32" i="3"/>
  <c r="BL53" i="3"/>
  <c r="BL36" i="3"/>
  <c r="BL17" i="3"/>
  <c r="BL46" i="3"/>
  <c r="BL24" i="3"/>
  <c r="BL47" i="3"/>
  <c r="BL29" i="3"/>
  <c r="BL45" i="3"/>
  <c r="BL25" i="3"/>
  <c r="BL44" i="3"/>
  <c r="BL30" i="3"/>
  <c r="BL42" i="3"/>
  <c r="BL20" i="3"/>
  <c r="BL8" i="3"/>
  <c r="BL10" i="3"/>
  <c r="BL11" i="3"/>
  <c r="BL12" i="3"/>
  <c r="BL5" i="3"/>
  <c r="BL7" i="3"/>
  <c r="BL13" i="3"/>
  <c r="BL21" i="3"/>
  <c r="AX48" i="3"/>
  <c r="AX20" i="3"/>
  <c r="AX52" i="3"/>
  <c r="AX33" i="3"/>
  <c r="AX41" i="3"/>
  <c r="AX25" i="3"/>
  <c r="AX46" i="3"/>
  <c r="AX32" i="3"/>
  <c r="AX53" i="3"/>
  <c r="AX35" i="3"/>
  <c r="AX18" i="3"/>
  <c r="AX45" i="3"/>
  <c r="AX31" i="3"/>
  <c r="AX38" i="3"/>
  <c r="AX24" i="3"/>
  <c r="AX44" i="3"/>
  <c r="AX34" i="3"/>
  <c r="AX51" i="3"/>
  <c r="AX28" i="3"/>
  <c r="AX37" i="3"/>
  <c r="AX4" i="3"/>
  <c r="AX50" i="3"/>
  <c r="AX29" i="3"/>
  <c r="AX49" i="3"/>
  <c r="AX14" i="3"/>
  <c r="AX42" i="3"/>
  <c r="AX30" i="3"/>
  <c r="AX39" i="3"/>
  <c r="AX19" i="3"/>
  <c r="AX47" i="3"/>
  <c r="AX26" i="3"/>
  <c r="AX36" i="3"/>
  <c r="AX17" i="3"/>
  <c r="AX7" i="3"/>
  <c r="AX5" i="3"/>
  <c r="AX12" i="3"/>
  <c r="AX13" i="3"/>
  <c r="AX21" i="3"/>
  <c r="AX8" i="3"/>
  <c r="AX10" i="3"/>
  <c r="AX11" i="3"/>
  <c r="F44" i="3"/>
  <c r="F34" i="3"/>
  <c r="F47" i="3"/>
  <c r="F14" i="3"/>
  <c r="F49" i="3"/>
  <c r="F28" i="3"/>
  <c r="F38" i="3"/>
  <c r="F19" i="3"/>
  <c r="F37" i="3"/>
  <c r="F25" i="3"/>
  <c r="F35" i="3"/>
  <c r="F18" i="3"/>
  <c r="F48" i="3"/>
  <c r="F26" i="3"/>
  <c r="F52" i="3"/>
  <c r="F33" i="3"/>
  <c r="F36" i="3"/>
  <c r="F24" i="3"/>
  <c r="F46" i="3"/>
  <c r="F32" i="3"/>
  <c r="F41" i="3"/>
  <c r="F20" i="3"/>
  <c r="F45" i="3"/>
  <c r="F31" i="3"/>
  <c r="F50" i="3"/>
  <c r="F29" i="3"/>
  <c r="F51" i="3"/>
  <c r="F30" i="3"/>
  <c r="F53" i="3"/>
  <c r="F39" i="3"/>
  <c r="F17" i="3"/>
  <c r="F42" i="3"/>
  <c r="F4" i="3"/>
  <c r="F12" i="3"/>
  <c r="F8" i="3"/>
  <c r="F11" i="3"/>
  <c r="F21" i="3"/>
  <c r="F5" i="3"/>
  <c r="F13" i="3"/>
  <c r="F10" i="3"/>
  <c r="F7" i="3"/>
  <c r="BQ36" i="3"/>
  <c r="BQ18" i="3"/>
  <c r="BQ50" i="3"/>
  <c r="BQ29" i="3"/>
  <c r="BQ45" i="3"/>
  <c r="BQ19" i="3"/>
  <c r="BQ44" i="3"/>
  <c r="BQ28" i="3"/>
  <c r="BQ47" i="3"/>
  <c r="BQ33" i="3"/>
  <c r="BQ38" i="3"/>
  <c r="BQ26" i="3"/>
  <c r="BQ51" i="3"/>
  <c r="BQ34" i="3"/>
  <c r="BQ42" i="3"/>
  <c r="BQ25" i="3"/>
  <c r="BQ39" i="3"/>
  <c r="BQ31" i="3"/>
  <c r="BQ37" i="3"/>
  <c r="BQ20" i="3"/>
  <c r="BQ46" i="3"/>
  <c r="BQ32" i="3"/>
  <c r="BQ41" i="3"/>
  <c r="BQ24" i="3"/>
  <c r="BQ52" i="3"/>
  <c r="BQ14" i="3"/>
  <c r="BQ53" i="3"/>
  <c r="BQ35" i="3"/>
  <c r="BQ17" i="3"/>
  <c r="BQ48" i="3"/>
  <c r="BQ4" i="3"/>
  <c r="BQ49" i="3"/>
  <c r="BQ30" i="3"/>
  <c r="BQ5" i="3"/>
  <c r="BQ7" i="3"/>
  <c r="BQ13" i="3"/>
  <c r="BQ21" i="3"/>
  <c r="BQ8" i="3"/>
  <c r="BQ10" i="3"/>
  <c r="BQ11" i="3"/>
  <c r="BQ12" i="3"/>
  <c r="AT46" i="3"/>
  <c r="AT28" i="3"/>
  <c r="AT37" i="3"/>
  <c r="AT4" i="3"/>
  <c r="AT50" i="3"/>
  <c r="AT29" i="3"/>
  <c r="AT41" i="3"/>
  <c r="AT14" i="3"/>
  <c r="AT42" i="3"/>
  <c r="AT30" i="3"/>
  <c r="AT39" i="3"/>
  <c r="AT19" i="3"/>
  <c r="AT45" i="3"/>
  <c r="AT26" i="3"/>
  <c r="AT35" i="3"/>
  <c r="AT18" i="3"/>
  <c r="AT36" i="3"/>
  <c r="AT20" i="3"/>
  <c r="AT52" i="3"/>
  <c r="AT33" i="3"/>
  <c r="AT47" i="3"/>
  <c r="AT25" i="3"/>
  <c r="AT51" i="3"/>
  <c r="AT32" i="3"/>
  <c r="AT53" i="3"/>
  <c r="AT44" i="3"/>
  <c r="AT17" i="3"/>
  <c r="AT49" i="3"/>
  <c r="AT31" i="3"/>
  <c r="AT38" i="3"/>
  <c r="AT24" i="3"/>
  <c r="AT48" i="3"/>
  <c r="AT34" i="3"/>
  <c r="AT5" i="3"/>
  <c r="AT7" i="3"/>
  <c r="AT12" i="3"/>
  <c r="AT13" i="3"/>
  <c r="AT21" i="3"/>
  <c r="AT8" i="3"/>
  <c r="AT10" i="3"/>
  <c r="AT11" i="3"/>
  <c r="Y51" i="3"/>
  <c r="Y35" i="3"/>
  <c r="Y39" i="3"/>
  <c r="Y31" i="3"/>
  <c r="Y53" i="3"/>
  <c r="Y34" i="3"/>
  <c r="Y17" i="3"/>
  <c r="Y38" i="3"/>
  <c r="Y4" i="3"/>
  <c r="Y48" i="3"/>
  <c r="Y28" i="3"/>
  <c r="Y42" i="3"/>
  <c r="Y14" i="3"/>
  <c r="Y49" i="3"/>
  <c r="Y29" i="3"/>
  <c r="Y41" i="3"/>
  <c r="Y19" i="3"/>
  <c r="Y44" i="3"/>
  <c r="Y25" i="3"/>
  <c r="Y37" i="3"/>
  <c r="Y18" i="3"/>
  <c r="Y45" i="3"/>
  <c r="Y26" i="3"/>
  <c r="Y52" i="3"/>
  <c r="Y30" i="3"/>
  <c r="Y36" i="3"/>
  <c r="Y24" i="3"/>
  <c r="Y47" i="3"/>
  <c r="Y33" i="3"/>
  <c r="Y50" i="3"/>
  <c r="Y20" i="3"/>
  <c r="Y46" i="3"/>
  <c r="Y32" i="3"/>
  <c r="Y8" i="3"/>
  <c r="Y5" i="3"/>
  <c r="Y7" i="3"/>
  <c r="Y13" i="3"/>
  <c r="Y21" i="3"/>
  <c r="Y10" i="3"/>
  <c r="Y11" i="3"/>
  <c r="Y12" i="3"/>
  <c r="CK36" i="3"/>
  <c r="CK24" i="3"/>
  <c r="CK49" i="3"/>
  <c r="CK33" i="3"/>
  <c r="CK50" i="3"/>
  <c r="CK20" i="3"/>
  <c r="CK51" i="3"/>
  <c r="CK32" i="3"/>
  <c r="CK47" i="3"/>
  <c r="CK30" i="3"/>
  <c r="CK39" i="3"/>
  <c r="CK31" i="3"/>
  <c r="CK53" i="3"/>
  <c r="CK35" i="3"/>
  <c r="CK17" i="3"/>
  <c r="CK38" i="3"/>
  <c r="CK4" i="3"/>
  <c r="CK48" i="3"/>
  <c r="CK28" i="3"/>
  <c r="CK42" i="3"/>
  <c r="CK14" i="3"/>
  <c r="CK46" i="3"/>
  <c r="CK29" i="3"/>
  <c r="CK41" i="3"/>
  <c r="CK19" i="3"/>
  <c r="CK44" i="3"/>
  <c r="CK25" i="3"/>
  <c r="CK37" i="3"/>
  <c r="CK18" i="3"/>
  <c r="CK45" i="3"/>
  <c r="CK26" i="3"/>
  <c r="CK52" i="3"/>
  <c r="CK34" i="3"/>
  <c r="CK5" i="3"/>
  <c r="CK7" i="3"/>
  <c r="CK13" i="3"/>
  <c r="CK21" i="3"/>
  <c r="CK8" i="3"/>
  <c r="CK10" i="3"/>
  <c r="CK11" i="3"/>
  <c r="CK12" i="3"/>
  <c r="T49" i="3"/>
  <c r="T33" i="3"/>
  <c r="T50" i="3"/>
  <c r="T26" i="3"/>
  <c r="T48" i="3"/>
  <c r="T34" i="3"/>
  <c r="T38" i="3"/>
  <c r="T25" i="3"/>
  <c r="T41" i="3"/>
  <c r="T24" i="3"/>
  <c r="T36" i="3"/>
  <c r="T20" i="3"/>
  <c r="T51" i="3"/>
  <c r="T32" i="3"/>
  <c r="T37" i="3"/>
  <c r="T18" i="3"/>
  <c r="T46" i="3"/>
  <c r="T14" i="3"/>
  <c r="T52" i="3"/>
  <c r="T31" i="3"/>
  <c r="T39" i="3"/>
  <c r="T4" i="3"/>
  <c r="T44" i="3"/>
  <c r="T30" i="3"/>
  <c r="T53" i="3"/>
  <c r="T42" i="3"/>
  <c r="T17" i="3"/>
  <c r="T47" i="3"/>
  <c r="T29" i="3"/>
  <c r="T35" i="3"/>
  <c r="T19" i="3"/>
  <c r="T45" i="3"/>
  <c r="T28" i="3"/>
  <c r="T8" i="3"/>
  <c r="T10" i="3"/>
  <c r="T11" i="3"/>
  <c r="T12" i="3"/>
  <c r="T5" i="3"/>
  <c r="T7" i="3"/>
  <c r="T13" i="3"/>
  <c r="T21" i="3"/>
  <c r="AZ52" i="3"/>
  <c r="AZ31" i="3"/>
  <c r="AZ51" i="3"/>
  <c r="AZ29" i="3"/>
  <c r="AZ37" i="3"/>
  <c r="AZ18" i="3"/>
  <c r="AZ41" i="3"/>
  <c r="AZ28" i="3"/>
  <c r="AZ47" i="3"/>
  <c r="AZ33" i="3"/>
  <c r="AZ39" i="3"/>
  <c r="AZ4" i="3"/>
  <c r="AZ44" i="3"/>
  <c r="AZ34" i="3"/>
  <c r="AZ46" i="3"/>
  <c r="AZ14" i="3"/>
  <c r="AZ50" i="3"/>
  <c r="AZ24" i="3"/>
  <c r="AZ35" i="3"/>
  <c r="AZ19" i="3"/>
  <c r="AZ45" i="3"/>
  <c r="AZ32" i="3"/>
  <c r="AZ53" i="3"/>
  <c r="AZ42" i="3"/>
  <c r="AZ17" i="3"/>
  <c r="AZ36" i="3"/>
  <c r="AZ20" i="3"/>
  <c r="AZ48" i="3"/>
  <c r="AZ26" i="3"/>
  <c r="AZ38" i="3"/>
  <c r="AZ25" i="3"/>
  <c r="AZ49" i="3"/>
  <c r="AZ30" i="3"/>
  <c r="AZ8" i="3"/>
  <c r="AZ10" i="3"/>
  <c r="AZ11" i="3"/>
  <c r="AZ12" i="3"/>
  <c r="AZ5" i="3"/>
  <c r="AZ7" i="3"/>
  <c r="AZ13" i="3"/>
  <c r="AZ21" i="3"/>
  <c r="CF46" i="3"/>
  <c r="CF14" i="3"/>
  <c r="CF52" i="3"/>
  <c r="CF31" i="3"/>
  <c r="CF39" i="3"/>
  <c r="CF4" i="3"/>
  <c r="CF44" i="3"/>
  <c r="CF34" i="3"/>
  <c r="CF53" i="3"/>
  <c r="CF42" i="3"/>
  <c r="CF17" i="3"/>
  <c r="CF49" i="3"/>
  <c r="CF33" i="3"/>
  <c r="CF35" i="3"/>
  <c r="CF19" i="3"/>
  <c r="CF45" i="3"/>
  <c r="CF32" i="3"/>
  <c r="CF51" i="3"/>
  <c r="CF30" i="3"/>
  <c r="CF50" i="3"/>
  <c r="CF24" i="3"/>
  <c r="CF48" i="3"/>
  <c r="CF26" i="3"/>
  <c r="CF38" i="3"/>
  <c r="CF25" i="3"/>
  <c r="CF41" i="3"/>
  <c r="CF28" i="3"/>
  <c r="CF36" i="3"/>
  <c r="CF20" i="3"/>
  <c r="CF47" i="3"/>
  <c r="CF29" i="3"/>
  <c r="CF37" i="3"/>
  <c r="CF18" i="3"/>
  <c r="CF8" i="3"/>
  <c r="CF10" i="3"/>
  <c r="CF11" i="3"/>
  <c r="CF12" i="3"/>
  <c r="CF5" i="3"/>
  <c r="CF7" i="3"/>
  <c r="CF13" i="3"/>
  <c r="CF21" i="3"/>
  <c r="J52" i="3"/>
  <c r="J33" i="3"/>
  <c r="J51" i="3"/>
  <c r="J34" i="3"/>
  <c r="J35" i="3"/>
  <c r="J18" i="3"/>
  <c r="J44" i="3"/>
  <c r="J26" i="3"/>
  <c r="J45" i="3"/>
  <c r="J31" i="3"/>
  <c r="J37" i="3"/>
  <c r="J25" i="3"/>
  <c r="J46" i="3"/>
  <c r="J32" i="3"/>
  <c r="J48" i="3"/>
  <c r="J20" i="3"/>
  <c r="J42" i="3"/>
  <c r="J4" i="3"/>
  <c r="J38" i="3"/>
  <c r="J24" i="3"/>
  <c r="J47" i="3"/>
  <c r="J30" i="3"/>
  <c r="J53" i="3"/>
  <c r="J36" i="3"/>
  <c r="J17" i="3"/>
  <c r="J39" i="3"/>
  <c r="J19" i="3"/>
  <c r="J50" i="3"/>
  <c r="J29" i="3"/>
  <c r="J41" i="3"/>
  <c r="J14" i="3"/>
  <c r="J49" i="3"/>
  <c r="J28" i="3"/>
  <c r="J5" i="3"/>
  <c r="J7" i="3"/>
  <c r="J12" i="3"/>
  <c r="J13" i="3"/>
  <c r="J21" i="3"/>
  <c r="J8" i="3"/>
  <c r="J10" i="3"/>
  <c r="J11" i="3"/>
  <c r="M50" i="3"/>
  <c r="M32" i="3"/>
  <c r="M48" i="3"/>
  <c r="M25" i="3"/>
  <c r="M47" i="3"/>
  <c r="M33" i="3"/>
  <c r="M45" i="3"/>
  <c r="M20" i="3"/>
  <c r="M38" i="3"/>
  <c r="M4" i="3"/>
  <c r="M37" i="3"/>
  <c r="M24" i="3"/>
  <c r="M39" i="3"/>
  <c r="M31" i="3"/>
  <c r="M53" i="3"/>
  <c r="M35" i="3"/>
  <c r="M17" i="3"/>
  <c r="M36" i="3"/>
  <c r="M19" i="3"/>
  <c r="M52" i="3"/>
  <c r="M30" i="3"/>
  <c r="M42" i="3"/>
  <c r="M14" i="3"/>
  <c r="M46" i="3"/>
  <c r="M29" i="3"/>
  <c r="M51" i="3"/>
  <c r="M34" i="3"/>
  <c r="M44" i="3"/>
  <c r="M28" i="3"/>
  <c r="M41" i="3"/>
  <c r="M18" i="3"/>
  <c r="M49" i="3"/>
  <c r="M26" i="3"/>
  <c r="M8" i="3"/>
  <c r="M5" i="3"/>
  <c r="M7" i="3"/>
  <c r="M13" i="3"/>
  <c r="M21" i="3"/>
  <c r="M10" i="3"/>
  <c r="M11" i="3"/>
  <c r="M12" i="3"/>
  <c r="BY38" i="3"/>
  <c r="BY4" i="3"/>
  <c r="BY37" i="3"/>
  <c r="BY24" i="3"/>
  <c r="BY39" i="3"/>
  <c r="BY31" i="3"/>
  <c r="BY53" i="3"/>
  <c r="BY35" i="3"/>
  <c r="BY17" i="3"/>
  <c r="BY36" i="3"/>
  <c r="BY19" i="3"/>
  <c r="BY51" i="3"/>
  <c r="BY30" i="3"/>
  <c r="BY42" i="3"/>
  <c r="BY14" i="3"/>
  <c r="BY46" i="3"/>
  <c r="BY29" i="3"/>
  <c r="BY52" i="3"/>
  <c r="BY34" i="3"/>
  <c r="BY44" i="3"/>
  <c r="BY28" i="3"/>
  <c r="BY41" i="3"/>
  <c r="BY18" i="3"/>
  <c r="BY49" i="3"/>
  <c r="BY26" i="3"/>
  <c r="BY50" i="3"/>
  <c r="BY32" i="3"/>
  <c r="BY48" i="3"/>
  <c r="BY25" i="3"/>
  <c r="BY47" i="3"/>
  <c r="BY33" i="3"/>
  <c r="BY45" i="3"/>
  <c r="BY20" i="3"/>
  <c r="BY5" i="3"/>
  <c r="BY7" i="3"/>
  <c r="BY13" i="3"/>
  <c r="BY21" i="3"/>
  <c r="BY8" i="3"/>
  <c r="BY10" i="3"/>
  <c r="BY11" i="3"/>
  <c r="BY12" i="3"/>
  <c r="BB47" i="3"/>
  <c r="BB4" i="3"/>
  <c r="BB36" i="3"/>
  <c r="BB24" i="3"/>
  <c r="BB37" i="3"/>
  <c r="BB34" i="3"/>
  <c r="BB53" i="3"/>
  <c r="BB39" i="3"/>
  <c r="BB18" i="3"/>
  <c r="BB38" i="3"/>
  <c r="BB19" i="3"/>
  <c r="BB50" i="3"/>
  <c r="BB29" i="3"/>
  <c r="BB51" i="3"/>
  <c r="BB14" i="3"/>
  <c r="BB45" i="3"/>
  <c r="BB28" i="3"/>
  <c r="BB52" i="3"/>
  <c r="BB33" i="3"/>
  <c r="BB42" i="3"/>
  <c r="BB26" i="3"/>
  <c r="BB35" i="3"/>
  <c r="BB17" i="3"/>
  <c r="BB49" i="3"/>
  <c r="BB30" i="3"/>
  <c r="BB48" i="3"/>
  <c r="BB31" i="3"/>
  <c r="BB41" i="3"/>
  <c r="BB25" i="3"/>
  <c r="BB46" i="3"/>
  <c r="BB32" i="3"/>
  <c r="BB44" i="3"/>
  <c r="BB20" i="3"/>
  <c r="BB7" i="3"/>
  <c r="BB5" i="3"/>
  <c r="BB12" i="3"/>
  <c r="BB13" i="3"/>
  <c r="BB21" i="3"/>
  <c r="BB8" i="3"/>
  <c r="BB10" i="3"/>
  <c r="BB11" i="3"/>
  <c r="AG51" i="3"/>
  <c r="AG30" i="3"/>
  <c r="AG39" i="3"/>
  <c r="AG31" i="3"/>
  <c r="AG53" i="3"/>
  <c r="AG35" i="3"/>
  <c r="AG18" i="3"/>
  <c r="AG38" i="3"/>
  <c r="AG4" i="3"/>
  <c r="AG48" i="3"/>
  <c r="AG28" i="3"/>
  <c r="AG44" i="3"/>
  <c r="AG14" i="3"/>
  <c r="AG47" i="3"/>
  <c r="AG29" i="3"/>
  <c r="AG41" i="3"/>
  <c r="AG19" i="3"/>
  <c r="AG49" i="3"/>
  <c r="AG25" i="3"/>
  <c r="AG37" i="3"/>
  <c r="AG17" i="3"/>
  <c r="AG45" i="3"/>
  <c r="AG26" i="3"/>
  <c r="AG52" i="3"/>
  <c r="AG34" i="3"/>
  <c r="AG36" i="3"/>
  <c r="AG24" i="3"/>
  <c r="AG50" i="3"/>
  <c r="AG33" i="3"/>
  <c r="AG42" i="3"/>
  <c r="AG20" i="3"/>
  <c r="AG46" i="3"/>
  <c r="AG32" i="3"/>
  <c r="AG8" i="3"/>
  <c r="AG5" i="3"/>
  <c r="AG7" i="3"/>
  <c r="AG13" i="3"/>
  <c r="AG21" i="3"/>
  <c r="AG10" i="3"/>
  <c r="AG11" i="3"/>
  <c r="AG12" i="3"/>
  <c r="X51" i="3"/>
  <c r="X37" i="3"/>
  <c r="X17" i="3"/>
  <c r="X50" i="3"/>
  <c r="X29" i="3"/>
  <c r="X36" i="3"/>
  <c r="X19" i="3"/>
  <c r="X49" i="3"/>
  <c r="X28" i="3"/>
  <c r="X47" i="3"/>
  <c r="X33" i="3"/>
  <c r="X39" i="3"/>
  <c r="X26" i="3"/>
  <c r="X44" i="3"/>
  <c r="X34" i="3"/>
  <c r="X38" i="3"/>
  <c r="X25" i="3"/>
  <c r="X46" i="3"/>
  <c r="X24" i="3"/>
  <c r="X35" i="3"/>
  <c r="X20" i="3"/>
  <c r="X41" i="3"/>
  <c r="X32" i="3"/>
  <c r="X42" i="3"/>
  <c r="X18" i="3"/>
  <c r="X53" i="3"/>
  <c r="X14" i="3"/>
  <c r="X48" i="3"/>
  <c r="X31" i="3"/>
  <c r="X45" i="3"/>
  <c r="X4" i="3"/>
  <c r="X52" i="3"/>
  <c r="X30" i="3"/>
  <c r="X8" i="3"/>
  <c r="X10" i="3"/>
  <c r="X11" i="3"/>
  <c r="X12" i="3"/>
  <c r="X5" i="3"/>
  <c r="X7" i="3"/>
  <c r="X13" i="3"/>
  <c r="X21" i="3"/>
  <c r="BD52" i="3"/>
  <c r="BD26" i="3"/>
  <c r="BD53" i="3"/>
  <c r="BD32" i="3"/>
  <c r="BD48" i="3"/>
  <c r="BD37" i="3"/>
  <c r="BD17" i="3"/>
  <c r="BD46" i="3"/>
  <c r="BD24" i="3"/>
  <c r="BD41" i="3"/>
  <c r="BD29" i="3"/>
  <c r="BD45" i="3"/>
  <c r="BD25" i="3"/>
  <c r="BD47" i="3"/>
  <c r="BD30" i="3"/>
  <c r="BD35" i="3"/>
  <c r="BD20" i="3"/>
  <c r="BD39" i="3"/>
  <c r="BD4" i="3"/>
  <c r="BD42" i="3"/>
  <c r="BD18" i="3"/>
  <c r="BD49" i="3"/>
  <c r="BD28" i="3"/>
  <c r="BD44" i="3"/>
  <c r="BD31" i="3"/>
  <c r="BD36" i="3"/>
  <c r="BD19" i="3"/>
  <c r="BD51" i="3"/>
  <c r="BD34" i="3"/>
  <c r="BD38" i="3"/>
  <c r="BD14" i="3"/>
  <c r="BD50" i="3"/>
  <c r="BD33" i="3"/>
  <c r="BD8" i="3"/>
  <c r="BD10" i="3"/>
  <c r="BD11" i="3"/>
  <c r="BD12" i="3"/>
  <c r="BD5" i="3"/>
  <c r="BD7" i="3"/>
  <c r="BD13" i="3"/>
  <c r="BD21" i="3"/>
  <c r="CJ47" i="3"/>
  <c r="CJ30" i="3"/>
  <c r="CJ39" i="3"/>
  <c r="CJ24" i="3"/>
  <c r="CJ44" i="3"/>
  <c r="CJ26" i="3"/>
  <c r="CJ38" i="3"/>
  <c r="CJ25" i="3"/>
  <c r="CJ46" i="3"/>
  <c r="CJ28" i="3"/>
  <c r="CJ35" i="3"/>
  <c r="CJ20" i="3"/>
  <c r="CJ41" i="3"/>
  <c r="CJ29" i="3"/>
  <c r="CJ42" i="3"/>
  <c r="CJ18" i="3"/>
  <c r="CJ53" i="3"/>
  <c r="CJ14" i="3"/>
  <c r="CJ48" i="3"/>
  <c r="CJ31" i="3"/>
  <c r="CJ45" i="3"/>
  <c r="CJ4" i="3"/>
  <c r="CJ52" i="3"/>
  <c r="CJ34" i="3"/>
  <c r="CJ51" i="3"/>
  <c r="CJ37" i="3"/>
  <c r="CJ17" i="3"/>
  <c r="CJ50" i="3"/>
  <c r="CJ33" i="3"/>
  <c r="CJ36" i="3"/>
  <c r="CJ19" i="3"/>
  <c r="CJ49" i="3"/>
  <c r="CJ32" i="3"/>
  <c r="CJ8" i="3"/>
  <c r="CJ10" i="3"/>
  <c r="CJ11" i="3"/>
  <c r="CJ12" i="3"/>
  <c r="CJ5" i="3"/>
  <c r="CJ7" i="3"/>
  <c r="CJ13" i="3"/>
  <c r="CJ21" i="3"/>
  <c r="BV46" i="3"/>
  <c r="BV31" i="3"/>
  <c r="BV37" i="3"/>
  <c r="BV25" i="3"/>
  <c r="BV50" i="3"/>
  <c r="BV32" i="3"/>
  <c r="BV48" i="3"/>
  <c r="BV20" i="3"/>
  <c r="BV42" i="3"/>
  <c r="BV4" i="3"/>
  <c r="BV39" i="3"/>
  <c r="BV24" i="3"/>
  <c r="BV47" i="3"/>
  <c r="BV34" i="3"/>
  <c r="BV53" i="3"/>
  <c r="BV36" i="3"/>
  <c r="BV17" i="3"/>
  <c r="BV38" i="3"/>
  <c r="BV19" i="3"/>
  <c r="BV51" i="3"/>
  <c r="BV29" i="3"/>
  <c r="BV41" i="3"/>
  <c r="BV14" i="3"/>
  <c r="BV49" i="3"/>
  <c r="BV28" i="3"/>
  <c r="BV52" i="3"/>
  <c r="BV33" i="3"/>
  <c r="BV45" i="3"/>
  <c r="BV26" i="3"/>
  <c r="BV35" i="3"/>
  <c r="BV18" i="3"/>
  <c r="BV44" i="3"/>
  <c r="BV30" i="3"/>
  <c r="BV5" i="3"/>
  <c r="BV7" i="3"/>
  <c r="BV12" i="3"/>
  <c r="BV13" i="3"/>
  <c r="BV21" i="3"/>
  <c r="BV8" i="3"/>
  <c r="BV10" i="3"/>
  <c r="BV11" i="3"/>
  <c r="U37" i="3"/>
  <c r="U20" i="3"/>
  <c r="U51" i="3"/>
  <c r="U30" i="3"/>
  <c r="U48" i="3"/>
  <c r="U25" i="3"/>
  <c r="U47" i="3"/>
  <c r="U29" i="3"/>
  <c r="U53" i="3"/>
  <c r="U34" i="3"/>
  <c r="U17" i="3"/>
  <c r="U46" i="3"/>
  <c r="U32" i="3"/>
  <c r="U45" i="3"/>
  <c r="U24" i="3"/>
  <c r="U39" i="3"/>
  <c r="U31" i="3"/>
  <c r="U50" i="3"/>
  <c r="U35" i="3"/>
  <c r="U38" i="3"/>
  <c r="U4" i="3"/>
  <c r="U49" i="3"/>
  <c r="U33" i="3"/>
  <c r="U42" i="3"/>
  <c r="U14" i="3"/>
  <c r="U52" i="3"/>
  <c r="U26" i="3"/>
  <c r="U41" i="3"/>
  <c r="U19" i="3"/>
  <c r="U44" i="3"/>
  <c r="U28" i="3"/>
  <c r="U36" i="3"/>
  <c r="U18" i="3"/>
  <c r="U8" i="3"/>
  <c r="U5" i="3"/>
  <c r="U7" i="3"/>
  <c r="U13" i="3"/>
  <c r="U21" i="3"/>
  <c r="U10" i="3"/>
  <c r="U11" i="3"/>
  <c r="U12" i="3"/>
  <c r="CG53" i="3"/>
  <c r="CG35" i="3"/>
  <c r="CG17" i="3"/>
  <c r="CG46" i="3"/>
  <c r="CG32" i="3"/>
  <c r="CG45" i="3"/>
  <c r="CG24" i="3"/>
  <c r="CG39" i="3"/>
  <c r="CG31" i="3"/>
  <c r="CG50" i="3"/>
  <c r="CG29" i="3"/>
  <c r="CG38" i="3"/>
  <c r="CG4" i="3"/>
  <c r="CG49" i="3"/>
  <c r="CG30" i="3"/>
  <c r="CG42" i="3"/>
  <c r="CG14" i="3"/>
  <c r="CG52" i="3"/>
  <c r="CG26" i="3"/>
  <c r="CG41" i="3"/>
  <c r="CG19" i="3"/>
  <c r="CG44" i="3"/>
  <c r="CG28" i="3"/>
  <c r="CG36" i="3"/>
  <c r="CG18" i="3"/>
  <c r="CG37" i="3"/>
  <c r="CG20" i="3"/>
  <c r="CG51" i="3"/>
  <c r="CG34" i="3"/>
  <c r="CG48" i="3"/>
  <c r="CG25" i="3"/>
  <c r="CG47" i="3"/>
  <c r="CG33" i="3"/>
  <c r="CG5" i="3"/>
  <c r="CG7" i="3"/>
  <c r="CG13" i="3"/>
  <c r="CG21" i="3"/>
  <c r="CG8" i="3"/>
  <c r="CG10" i="3"/>
  <c r="CG11" i="3"/>
  <c r="CG12" i="3"/>
  <c r="BJ53" i="3"/>
  <c r="BJ35" i="3"/>
  <c r="BJ17" i="3"/>
  <c r="BJ49" i="3"/>
  <c r="BJ31" i="3"/>
  <c r="BJ39" i="3"/>
  <c r="BJ24" i="3"/>
  <c r="BJ48" i="3"/>
  <c r="BJ34" i="3"/>
  <c r="BJ51" i="3"/>
  <c r="BJ28" i="3"/>
  <c r="BJ37" i="3"/>
  <c r="BJ4" i="3"/>
  <c r="BJ50" i="3"/>
  <c r="BJ29" i="3"/>
  <c r="BJ41" i="3"/>
  <c r="BJ14" i="3"/>
  <c r="BJ42" i="3"/>
  <c r="BJ30" i="3"/>
  <c r="BJ44" i="3"/>
  <c r="BJ19" i="3"/>
  <c r="BJ45" i="3"/>
  <c r="BJ26" i="3"/>
  <c r="BJ38" i="3"/>
  <c r="BJ18" i="3"/>
  <c r="BJ36" i="3"/>
  <c r="BJ20" i="3"/>
  <c r="BJ52" i="3"/>
  <c r="BJ33" i="3"/>
  <c r="BJ47" i="3"/>
  <c r="BJ25" i="3"/>
  <c r="BJ46" i="3"/>
  <c r="BJ32" i="3"/>
  <c r="BJ5" i="3"/>
  <c r="BJ7" i="3"/>
  <c r="BJ12" i="3"/>
  <c r="BJ13" i="3"/>
  <c r="BJ21" i="3"/>
  <c r="BJ8" i="3"/>
  <c r="BJ10" i="3"/>
  <c r="BJ11" i="3"/>
  <c r="AO41" i="3"/>
  <c r="AO19" i="3"/>
  <c r="AO51" i="3"/>
  <c r="AO30" i="3"/>
  <c r="AO44" i="3"/>
  <c r="AO14" i="3"/>
  <c r="AO49" i="3"/>
  <c r="AO29" i="3"/>
  <c r="AO52" i="3"/>
  <c r="AO34" i="3"/>
  <c r="AO48" i="3"/>
  <c r="AO28" i="3"/>
  <c r="AO37" i="3"/>
  <c r="AO18" i="3"/>
  <c r="AO50" i="3"/>
  <c r="AO4" i="3"/>
  <c r="AO46" i="3"/>
  <c r="AO32" i="3"/>
  <c r="AO38" i="3"/>
  <c r="AO25" i="3"/>
  <c r="AO47" i="3"/>
  <c r="AO33" i="3"/>
  <c r="AO42" i="3"/>
  <c r="AO20" i="3"/>
  <c r="AO45" i="3"/>
  <c r="AO26" i="3"/>
  <c r="AO36" i="3"/>
  <c r="AO24" i="3"/>
  <c r="AO39" i="3"/>
  <c r="AO31" i="3"/>
  <c r="AO53" i="3"/>
  <c r="AO35" i="3"/>
  <c r="AO17" i="3"/>
  <c r="AO8" i="3"/>
  <c r="AO5" i="3"/>
  <c r="AO7" i="3"/>
  <c r="AO13" i="3"/>
  <c r="AO21" i="3"/>
  <c r="AO10" i="3"/>
  <c r="AO11" i="3"/>
  <c r="AO12" i="3"/>
  <c r="AU38" i="3"/>
  <c r="AU4" i="3"/>
  <c r="AU45" i="3"/>
  <c r="AU31" i="3"/>
  <c r="AU39" i="3"/>
  <c r="AU24" i="3"/>
  <c r="AU44" i="3"/>
  <c r="AU30" i="3"/>
  <c r="AU49" i="3"/>
  <c r="AU28" i="3"/>
  <c r="AU47" i="3"/>
  <c r="AU29" i="3"/>
  <c r="AU53" i="3"/>
  <c r="AU35" i="3"/>
  <c r="AU17" i="3"/>
  <c r="AU36" i="3"/>
  <c r="AU14" i="3"/>
  <c r="AU42" i="3"/>
  <c r="AU33" i="3"/>
  <c r="AU46" i="3"/>
  <c r="AU19" i="3"/>
  <c r="AU48" i="3"/>
  <c r="AU34" i="3"/>
  <c r="AU50" i="3"/>
  <c r="AU26" i="3"/>
  <c r="AU51" i="3"/>
  <c r="AU20" i="3"/>
  <c r="AU37" i="3"/>
  <c r="AU18" i="3"/>
  <c r="AU41" i="3"/>
  <c r="AU25" i="3"/>
  <c r="AU52" i="3"/>
  <c r="AU32" i="3"/>
  <c r="AU11" i="3"/>
  <c r="AU12" i="3"/>
  <c r="AU5" i="3"/>
  <c r="AU7" i="3"/>
  <c r="AU13" i="3"/>
  <c r="AU21" i="3"/>
  <c r="AU8" i="3"/>
  <c r="AU10" i="3"/>
  <c r="CA53" i="3"/>
  <c r="CA35" i="3"/>
  <c r="CA17" i="3"/>
  <c r="CA48" i="3"/>
  <c r="CA34" i="3"/>
  <c r="CA38" i="3"/>
  <c r="CA4" i="3"/>
  <c r="CA42" i="3"/>
  <c r="CA33" i="3"/>
  <c r="CA45" i="3"/>
  <c r="CA26" i="3"/>
  <c r="CA41" i="3"/>
  <c r="CA25" i="3"/>
  <c r="CA51" i="3"/>
  <c r="CA28" i="3"/>
  <c r="CA46" i="3"/>
  <c r="CA20" i="3"/>
  <c r="CA47" i="3"/>
  <c r="CA29" i="3"/>
  <c r="CA50" i="3"/>
  <c r="CA24" i="3"/>
  <c r="CA44" i="3"/>
  <c r="CA30" i="3"/>
  <c r="CA37" i="3"/>
  <c r="CA18" i="3"/>
  <c r="CA39" i="3"/>
  <c r="CA19" i="3"/>
  <c r="CA52" i="3"/>
  <c r="CA32" i="3"/>
  <c r="CA36" i="3"/>
  <c r="CA14" i="3"/>
  <c r="CA49" i="3"/>
  <c r="CA31" i="3"/>
  <c r="CA11" i="3"/>
  <c r="CA12" i="3"/>
  <c r="CA5" i="3"/>
  <c r="CA7" i="3"/>
  <c r="CA13" i="3"/>
  <c r="CA21" i="3"/>
  <c r="CA8" i="3"/>
  <c r="CA10" i="3"/>
  <c r="AB42" i="3"/>
  <c r="AB20" i="3"/>
  <c r="AB48" i="3"/>
  <c r="AB34" i="3"/>
  <c r="AB38" i="3"/>
  <c r="AB25" i="3"/>
  <c r="AB53" i="3"/>
  <c r="AB33" i="3"/>
  <c r="AB50" i="3"/>
  <c r="AB31" i="3"/>
  <c r="AB47" i="3"/>
  <c r="AB32" i="3"/>
  <c r="AB46" i="3"/>
  <c r="AB18" i="3"/>
  <c r="AB45" i="3"/>
  <c r="AB24" i="3"/>
  <c r="AB51" i="3"/>
  <c r="AB29" i="3"/>
  <c r="AB39" i="3"/>
  <c r="AB4" i="3"/>
  <c r="AB44" i="3"/>
  <c r="AB30" i="3"/>
  <c r="AB35" i="3"/>
  <c r="AB14" i="3"/>
  <c r="AB41" i="3"/>
  <c r="AB26" i="3"/>
  <c r="AB36" i="3"/>
  <c r="AB19" i="3"/>
  <c r="AB49" i="3"/>
  <c r="AB28" i="3"/>
  <c r="AB52" i="3"/>
  <c r="AB37" i="3"/>
  <c r="AB17" i="3"/>
  <c r="AB8" i="3"/>
  <c r="AB10" i="3"/>
  <c r="AB11" i="3"/>
  <c r="AB12" i="3"/>
  <c r="AB5" i="3"/>
  <c r="AB7" i="3"/>
  <c r="AB13" i="3"/>
  <c r="AB21" i="3"/>
  <c r="BH36" i="3"/>
  <c r="BH18" i="3"/>
  <c r="BH53" i="3"/>
  <c r="BH30" i="3"/>
  <c r="BH35" i="3"/>
  <c r="BH20" i="3"/>
  <c r="BH49" i="3"/>
  <c r="BH29" i="3"/>
  <c r="BH44" i="3"/>
  <c r="BH34" i="3"/>
  <c r="BH41" i="3"/>
  <c r="BH28" i="3"/>
  <c r="BH50" i="3"/>
  <c r="BH31" i="3"/>
  <c r="BH51" i="3"/>
  <c r="BH4" i="3"/>
  <c r="BH45" i="3"/>
  <c r="BH32" i="3"/>
  <c r="BH46" i="3"/>
  <c r="BH14" i="3"/>
  <c r="BH47" i="3"/>
  <c r="BH33" i="3"/>
  <c r="BH42" i="3"/>
  <c r="BH19" i="3"/>
  <c r="BH38" i="3"/>
  <c r="BH25" i="3"/>
  <c r="BH52" i="3"/>
  <c r="BH37" i="3"/>
  <c r="BH17" i="3"/>
  <c r="BH39" i="3"/>
  <c r="BH24" i="3"/>
  <c r="BH48" i="3"/>
  <c r="BH26" i="3"/>
  <c r="BH8" i="3"/>
  <c r="BH10" i="3"/>
  <c r="BH11" i="3"/>
  <c r="BH12" i="3"/>
  <c r="BH5" i="3"/>
  <c r="BH7" i="3"/>
  <c r="BH13" i="3"/>
  <c r="BH21" i="3"/>
  <c r="W51" i="3"/>
  <c r="W30" i="3"/>
  <c r="W41" i="3"/>
  <c r="W20" i="3"/>
  <c r="W50" i="3"/>
  <c r="W31" i="3"/>
  <c r="W46" i="3"/>
  <c r="W24" i="3"/>
  <c r="W47" i="3"/>
  <c r="W14" i="3"/>
  <c r="W38" i="3"/>
  <c r="W4" i="3"/>
  <c r="W44" i="3"/>
  <c r="W29" i="3"/>
  <c r="W53" i="3"/>
  <c r="W37" i="3"/>
  <c r="W17" i="3"/>
  <c r="W39" i="3"/>
  <c r="W26" i="3"/>
  <c r="W49" i="3"/>
  <c r="W28" i="3"/>
  <c r="W36" i="3"/>
  <c r="W19" i="3"/>
  <c r="W45" i="3"/>
  <c r="W34" i="3"/>
  <c r="W52" i="3"/>
  <c r="W32" i="3"/>
  <c r="W48" i="3"/>
  <c r="W33" i="3"/>
  <c r="W35" i="3"/>
  <c r="W18" i="3"/>
  <c r="W42" i="3"/>
  <c r="W25" i="3"/>
  <c r="W11" i="3"/>
  <c r="W12" i="3"/>
  <c r="W5" i="3"/>
  <c r="W7" i="3"/>
  <c r="W13" i="3"/>
  <c r="W21" i="3"/>
  <c r="W8" i="3"/>
  <c r="W10" i="3"/>
  <c r="BC51" i="3"/>
  <c r="BC28" i="3"/>
  <c r="BC44" i="3"/>
  <c r="BC29" i="3"/>
  <c r="BC53" i="3"/>
  <c r="BC37" i="3"/>
  <c r="BC18" i="3"/>
  <c r="BC47" i="3"/>
  <c r="BC14" i="3"/>
  <c r="BC48" i="3"/>
  <c r="BC33" i="3"/>
  <c r="BC36" i="3"/>
  <c r="BC19" i="3"/>
  <c r="BC50" i="3"/>
  <c r="BC34" i="3"/>
  <c r="BC39" i="3"/>
  <c r="BC24" i="3"/>
  <c r="BC41" i="3"/>
  <c r="BC20" i="3"/>
  <c r="BC35" i="3"/>
  <c r="BC17" i="3"/>
  <c r="BC42" i="3"/>
  <c r="BC25" i="3"/>
  <c r="BC52" i="3"/>
  <c r="BC32" i="3"/>
  <c r="BC38" i="3"/>
  <c r="BC4" i="3"/>
  <c r="BC49" i="3"/>
  <c r="BC31" i="3"/>
  <c r="BC46" i="3"/>
  <c r="BC26" i="3"/>
  <c r="BC45" i="3"/>
  <c r="BC30" i="3"/>
  <c r="BC11" i="3"/>
  <c r="BC12" i="3"/>
  <c r="BC5" i="3"/>
  <c r="BC7" i="3"/>
  <c r="BC13" i="3"/>
  <c r="BC21" i="3"/>
  <c r="BC8" i="3"/>
  <c r="BC10" i="3"/>
  <c r="CI36" i="3"/>
  <c r="CI20" i="3"/>
  <c r="CI53" i="3"/>
  <c r="CI37" i="3"/>
  <c r="CI18" i="3"/>
  <c r="CI47" i="3"/>
  <c r="CI25" i="3"/>
  <c r="CI51" i="3"/>
  <c r="CI28" i="3"/>
  <c r="CI35" i="3"/>
  <c r="CI17" i="3"/>
  <c r="CI50" i="3"/>
  <c r="CI26" i="3"/>
  <c r="CI39" i="3"/>
  <c r="CI24" i="3"/>
  <c r="CI48" i="3"/>
  <c r="CI30" i="3"/>
  <c r="CI49" i="3"/>
  <c r="CI31" i="3"/>
  <c r="CI42" i="3"/>
  <c r="CI29" i="3"/>
  <c r="CI52" i="3"/>
  <c r="CI32" i="3"/>
  <c r="CI41" i="3"/>
  <c r="CI14" i="3"/>
  <c r="CI44" i="3"/>
  <c r="CI33" i="3"/>
  <c r="CI46" i="3"/>
  <c r="CI19" i="3"/>
  <c r="CI45" i="3"/>
  <c r="CI34" i="3"/>
  <c r="CI38" i="3"/>
  <c r="CI4" i="3"/>
  <c r="CI11" i="3"/>
  <c r="CI12" i="3"/>
  <c r="CI5" i="3"/>
  <c r="CI7" i="3"/>
  <c r="CI13" i="3"/>
  <c r="CI21" i="3"/>
  <c r="CI8" i="3"/>
  <c r="CI10" i="3"/>
  <c r="AA53" i="3"/>
  <c r="AA38" i="3"/>
  <c r="AA17" i="3"/>
  <c r="AA48" i="3"/>
  <c r="AA30" i="3"/>
  <c r="AA37" i="3"/>
  <c r="AA4" i="3"/>
  <c r="AA46" i="3"/>
  <c r="AA29" i="3"/>
  <c r="AA50" i="3"/>
  <c r="AA34" i="3"/>
  <c r="AA51" i="3"/>
  <c r="AA14" i="3"/>
  <c r="AA49" i="3"/>
  <c r="AA28" i="3"/>
  <c r="AA36" i="3"/>
  <c r="AA19" i="3"/>
  <c r="AA42" i="3"/>
  <c r="AA25" i="3"/>
  <c r="AA47" i="3"/>
  <c r="AA26" i="3"/>
  <c r="AA44" i="3"/>
  <c r="AA33" i="3"/>
  <c r="AA35" i="3"/>
  <c r="AA18" i="3"/>
  <c r="AA39" i="3"/>
  <c r="AA24" i="3"/>
  <c r="AA52" i="3"/>
  <c r="AA32" i="3"/>
  <c r="AA41" i="3"/>
  <c r="AA20" i="3"/>
  <c r="AA45" i="3"/>
  <c r="AA31" i="3"/>
  <c r="AA11" i="3"/>
  <c r="AA12" i="3"/>
  <c r="AA5" i="3"/>
  <c r="AA7" i="3"/>
  <c r="AA13" i="3"/>
  <c r="AA21" i="3"/>
  <c r="AA8" i="3"/>
  <c r="AA10" i="3"/>
  <c r="BG51" i="3"/>
  <c r="BG28" i="3"/>
  <c r="BG44" i="3"/>
  <c r="BG29" i="3"/>
  <c r="BG53" i="3"/>
  <c r="BG38" i="3"/>
  <c r="BG18" i="3"/>
  <c r="BG42" i="3"/>
  <c r="BG25" i="3"/>
  <c r="BG48" i="3"/>
  <c r="BG33" i="3"/>
  <c r="BG36" i="3"/>
  <c r="BG20" i="3"/>
  <c r="BG45" i="3"/>
  <c r="BG34" i="3"/>
  <c r="BG47" i="3"/>
  <c r="BG24" i="3"/>
  <c r="BG41" i="3"/>
  <c r="BG14" i="3"/>
  <c r="BG35" i="3"/>
  <c r="BG17" i="3"/>
  <c r="BG46" i="3"/>
  <c r="BG26" i="3"/>
  <c r="BG52" i="3"/>
  <c r="BG32" i="3"/>
  <c r="BG37" i="3"/>
  <c r="BG4" i="3"/>
  <c r="BG49" i="3"/>
  <c r="BG31" i="3"/>
  <c r="BG39" i="3"/>
  <c r="BG19" i="3"/>
  <c r="BG50" i="3"/>
  <c r="BG30" i="3"/>
  <c r="BG11" i="3"/>
  <c r="BG12" i="3"/>
  <c r="BG5" i="3"/>
  <c r="BG7" i="3"/>
  <c r="BG13" i="3"/>
  <c r="BG21" i="3"/>
  <c r="BG8" i="3"/>
  <c r="BG10" i="3"/>
  <c r="AE39" i="3"/>
  <c r="AE26" i="3"/>
  <c r="AE49" i="3"/>
  <c r="AE28" i="3"/>
  <c r="AE36" i="3"/>
  <c r="AE19" i="3"/>
  <c r="AE48" i="3"/>
  <c r="AE34" i="3"/>
  <c r="AE52" i="3"/>
  <c r="AE32" i="3"/>
  <c r="AE51" i="3"/>
  <c r="AE33" i="3"/>
  <c r="AE37" i="3"/>
  <c r="AE18" i="3"/>
  <c r="AE50" i="3"/>
  <c r="AE25" i="3"/>
  <c r="AE44" i="3"/>
  <c r="AE30" i="3"/>
  <c r="AE41" i="3"/>
  <c r="AE20" i="3"/>
  <c r="AE45" i="3"/>
  <c r="AE31" i="3"/>
  <c r="AE46" i="3"/>
  <c r="AE24" i="3"/>
  <c r="AE47" i="3"/>
  <c r="AE14" i="3"/>
  <c r="AE38" i="3"/>
  <c r="AE4" i="3"/>
  <c r="AE42" i="3"/>
  <c r="AE29" i="3"/>
  <c r="AE53" i="3"/>
  <c r="AE35" i="3"/>
  <c r="AE17" i="3"/>
  <c r="AE11" i="3"/>
  <c r="AE12" i="3"/>
  <c r="AE5" i="3"/>
  <c r="AE7" i="3"/>
  <c r="AE13" i="3"/>
  <c r="AE21" i="3"/>
  <c r="AE8" i="3"/>
  <c r="AE10" i="3"/>
  <c r="BF49" i="3"/>
  <c r="BF28" i="3"/>
  <c r="BF42" i="3"/>
  <c r="BF4" i="3"/>
  <c r="BF51" i="3"/>
  <c r="BF29" i="3"/>
  <c r="BF41" i="3"/>
  <c r="BF14" i="3"/>
  <c r="BF44" i="3"/>
  <c r="BF30" i="3"/>
  <c r="BF38" i="3"/>
  <c r="BF19" i="3"/>
  <c r="BF45" i="3"/>
  <c r="BF26" i="3"/>
  <c r="BF35" i="3"/>
  <c r="BF18" i="3"/>
  <c r="BF48" i="3"/>
  <c r="BF20" i="3"/>
  <c r="BF52" i="3"/>
  <c r="BF33" i="3"/>
  <c r="BF37" i="3"/>
  <c r="BF25" i="3"/>
  <c r="BF50" i="3"/>
  <c r="BF32" i="3"/>
  <c r="BF53" i="3"/>
  <c r="BF36" i="3"/>
  <c r="BF17" i="3"/>
  <c r="BF46" i="3"/>
  <c r="BF31" i="3"/>
  <c r="BF39" i="3"/>
  <c r="BF24" i="3"/>
  <c r="BF47" i="3"/>
  <c r="BF34" i="3"/>
  <c r="BF5" i="3"/>
  <c r="BF7" i="3"/>
  <c r="BF12" i="3"/>
  <c r="BF13" i="3"/>
  <c r="BF21" i="3"/>
  <c r="BF8" i="3"/>
  <c r="BF10" i="3"/>
  <c r="BF11" i="3"/>
  <c r="BI50" i="3"/>
  <c r="BI26" i="3"/>
  <c r="BI45" i="3"/>
  <c r="BI19" i="3"/>
  <c r="BI51" i="3"/>
  <c r="BI28" i="3"/>
  <c r="BI41" i="3"/>
  <c r="BI18" i="3"/>
  <c r="BI36" i="3"/>
  <c r="BI20" i="3"/>
  <c r="BI52" i="3"/>
  <c r="BI34" i="3"/>
  <c r="BI42" i="3"/>
  <c r="BI25" i="3"/>
  <c r="BI46" i="3"/>
  <c r="BI33" i="3"/>
  <c r="BI53" i="3"/>
  <c r="BI35" i="3"/>
  <c r="BI17" i="3"/>
  <c r="BI39" i="3"/>
  <c r="BI32" i="3"/>
  <c r="BI37" i="3"/>
  <c r="BI24" i="3"/>
  <c r="BI38" i="3"/>
  <c r="BI31" i="3"/>
  <c r="BI44" i="3"/>
  <c r="BI29" i="3"/>
  <c r="BI48" i="3"/>
  <c r="BI4" i="3"/>
  <c r="BI47" i="3"/>
  <c r="BI30" i="3"/>
  <c r="BI49" i="3"/>
  <c r="BI14" i="3"/>
  <c r="BI8" i="3"/>
  <c r="BI5" i="3"/>
  <c r="BI7" i="3"/>
  <c r="BI13" i="3"/>
  <c r="BI21" i="3"/>
  <c r="BI10" i="3"/>
  <c r="BI11" i="3"/>
  <c r="BI12" i="3"/>
  <c r="AL42" i="3"/>
  <c r="AL26" i="3"/>
  <c r="AL38" i="3"/>
  <c r="AL19" i="3"/>
  <c r="AL51" i="3"/>
  <c r="AL34" i="3"/>
  <c r="AL35" i="3"/>
  <c r="AL17" i="3"/>
  <c r="AL44" i="3"/>
  <c r="AL20" i="3"/>
  <c r="AL52" i="3"/>
  <c r="AL33" i="3"/>
  <c r="AL47" i="3"/>
  <c r="AL25" i="3"/>
  <c r="AL46" i="3"/>
  <c r="AL32" i="3"/>
  <c r="AL53" i="3"/>
  <c r="AL39" i="3"/>
  <c r="AL18" i="3"/>
  <c r="AL49" i="3"/>
  <c r="AL31" i="3"/>
  <c r="AL36" i="3"/>
  <c r="AL24" i="3"/>
  <c r="AL48" i="3"/>
  <c r="AL30" i="3"/>
  <c r="AL45" i="3"/>
  <c r="AL28" i="3"/>
  <c r="AL37" i="3"/>
  <c r="AL4" i="3"/>
  <c r="AL50" i="3"/>
  <c r="AL29" i="3"/>
  <c r="AL41" i="3"/>
  <c r="AL14" i="3"/>
  <c r="AL7" i="3"/>
  <c r="AL5" i="3"/>
  <c r="AL12" i="3"/>
  <c r="AL13" i="3"/>
  <c r="AL21" i="3"/>
  <c r="AL8" i="3"/>
  <c r="AL10" i="3"/>
  <c r="AL11" i="3"/>
  <c r="Q52" i="3"/>
  <c r="Q30" i="3"/>
  <c r="Q49" i="3"/>
  <c r="Q35" i="3"/>
  <c r="Q37" i="3"/>
  <c r="Q18" i="3"/>
  <c r="Q39" i="3"/>
  <c r="Q26" i="3"/>
  <c r="Q46" i="3"/>
  <c r="Q28" i="3"/>
  <c r="Q38" i="3"/>
  <c r="Q25" i="3"/>
  <c r="Q50" i="3"/>
  <c r="Q29" i="3"/>
  <c r="Q42" i="3"/>
  <c r="Q20" i="3"/>
  <c r="Q45" i="3"/>
  <c r="Q4" i="3"/>
  <c r="Q36" i="3"/>
  <c r="Q24" i="3"/>
  <c r="Q48" i="3"/>
  <c r="Q31" i="3"/>
  <c r="Q53" i="3"/>
  <c r="Q34" i="3"/>
  <c r="Q17" i="3"/>
  <c r="Q41" i="3"/>
  <c r="Q19" i="3"/>
  <c r="Q51" i="3"/>
  <c r="Q33" i="3"/>
  <c r="Q44" i="3"/>
  <c r="Q14" i="3"/>
  <c r="Q47" i="3"/>
  <c r="Q32" i="3"/>
  <c r="Q8" i="3"/>
  <c r="Q5" i="3"/>
  <c r="Q7" i="3"/>
  <c r="Q13" i="3"/>
  <c r="Q21" i="3"/>
  <c r="Q10" i="3"/>
  <c r="Q11" i="3"/>
  <c r="Q12" i="3"/>
  <c r="CC46" i="3"/>
  <c r="CC32" i="3"/>
  <c r="CC38" i="3"/>
  <c r="CC25" i="3"/>
  <c r="CC50" i="3"/>
  <c r="CC33" i="3"/>
  <c r="CC42" i="3"/>
  <c r="CC20" i="3"/>
  <c r="CC45" i="3"/>
  <c r="CC4" i="3"/>
  <c r="CC36" i="3"/>
  <c r="CC24" i="3"/>
  <c r="CC48" i="3"/>
  <c r="CC31" i="3"/>
  <c r="CC53" i="3"/>
  <c r="CC35" i="3"/>
  <c r="CC18" i="3"/>
  <c r="CC41" i="3"/>
  <c r="CC19" i="3"/>
  <c r="CC51" i="3"/>
  <c r="CC30" i="3"/>
  <c r="CC44" i="3"/>
  <c r="CC14" i="3"/>
  <c r="CC47" i="3"/>
  <c r="CC29" i="3"/>
  <c r="CC52" i="3"/>
  <c r="CC34" i="3"/>
  <c r="CC49" i="3"/>
  <c r="CC28" i="3"/>
  <c r="CC37" i="3"/>
  <c r="CC17" i="3"/>
  <c r="CC39" i="3"/>
  <c r="CC26" i="3"/>
  <c r="CC5" i="3"/>
  <c r="CC7" i="3"/>
  <c r="CC13" i="3"/>
  <c r="CC21" i="3"/>
  <c r="CC8" i="3"/>
  <c r="CC10" i="3"/>
  <c r="CC11" i="3"/>
  <c r="CC12" i="3"/>
  <c r="AI50" i="3"/>
  <c r="AI29" i="3"/>
  <c r="AI39" i="3"/>
  <c r="AI24" i="3"/>
  <c r="AI48" i="3"/>
  <c r="AI30" i="3"/>
  <c r="AI35" i="3"/>
  <c r="AI4" i="3"/>
  <c r="AI36" i="3"/>
  <c r="AI19" i="3"/>
  <c r="AI53" i="3"/>
  <c r="AI38" i="3"/>
  <c r="AI18" i="3"/>
  <c r="AI42" i="3"/>
  <c r="AI14" i="3"/>
  <c r="AI49" i="3"/>
  <c r="AI28" i="3"/>
  <c r="AI37" i="3"/>
  <c r="AI17" i="3"/>
  <c r="AI45" i="3"/>
  <c r="AI34" i="3"/>
  <c r="AI47" i="3"/>
  <c r="AI26" i="3"/>
  <c r="AI44" i="3"/>
  <c r="AI33" i="3"/>
  <c r="AI51" i="3"/>
  <c r="AI31" i="3"/>
  <c r="AI46" i="3"/>
  <c r="AI25" i="3"/>
  <c r="AI52" i="3"/>
  <c r="AI32" i="3"/>
  <c r="AI41" i="3"/>
  <c r="AI20" i="3"/>
  <c r="AI11" i="3"/>
  <c r="AI12" i="3"/>
  <c r="AI5" i="3"/>
  <c r="AI7" i="3"/>
  <c r="AI13" i="3"/>
  <c r="AI21" i="3"/>
  <c r="AI8" i="3"/>
  <c r="AI10" i="3"/>
  <c r="BO42" i="3"/>
  <c r="BO14" i="3"/>
  <c r="BO35" i="3"/>
  <c r="BO4" i="3"/>
  <c r="BO50" i="3"/>
  <c r="BO29" i="3"/>
  <c r="BO53" i="3"/>
  <c r="BO38" i="3"/>
  <c r="BO18" i="3"/>
  <c r="BO47" i="3"/>
  <c r="BO26" i="3"/>
  <c r="BO51" i="3"/>
  <c r="BO28" i="3"/>
  <c r="BO36" i="3"/>
  <c r="BO19" i="3"/>
  <c r="BO45" i="3"/>
  <c r="BO34" i="3"/>
  <c r="BO52" i="3"/>
  <c r="BO32" i="3"/>
  <c r="BO44" i="3"/>
  <c r="BO33" i="3"/>
  <c r="BO37" i="3"/>
  <c r="BO17" i="3"/>
  <c r="BO46" i="3"/>
  <c r="BO25" i="3"/>
  <c r="BO48" i="3"/>
  <c r="BO30" i="3"/>
  <c r="BO41" i="3"/>
  <c r="BO20" i="3"/>
  <c r="BO49" i="3"/>
  <c r="BO31" i="3"/>
  <c r="BO39" i="3"/>
  <c r="BO24" i="3"/>
  <c r="BO11" i="3"/>
  <c r="BO12" i="3"/>
  <c r="BO5" i="3"/>
  <c r="BO7" i="3"/>
  <c r="BO13" i="3"/>
  <c r="BO21" i="3"/>
  <c r="BO8" i="3"/>
  <c r="BO10" i="3"/>
  <c r="P51" i="3"/>
  <c r="P28" i="3"/>
  <c r="P42" i="3"/>
  <c r="P14" i="3"/>
  <c r="P47" i="3"/>
  <c r="P29" i="3"/>
  <c r="P35" i="3"/>
  <c r="P19" i="3"/>
  <c r="P45" i="3"/>
  <c r="P25" i="3"/>
  <c r="P53" i="3"/>
  <c r="P36" i="3"/>
  <c r="P17" i="3"/>
  <c r="P39" i="3"/>
  <c r="P26" i="3"/>
  <c r="P48" i="3"/>
  <c r="P34" i="3"/>
  <c r="P38" i="3"/>
  <c r="P18" i="3"/>
  <c r="P50" i="3"/>
  <c r="P33" i="3"/>
  <c r="P37" i="3"/>
  <c r="P20" i="3"/>
  <c r="P41" i="3"/>
  <c r="P32" i="3"/>
  <c r="P44" i="3"/>
  <c r="P30" i="3"/>
  <c r="P46" i="3"/>
  <c r="P24" i="3"/>
  <c r="P49" i="3"/>
  <c r="P31" i="3"/>
  <c r="P52" i="3"/>
  <c r="P4" i="3"/>
  <c r="P8" i="3"/>
  <c r="P10" i="3"/>
  <c r="P11" i="3"/>
  <c r="P12" i="3"/>
  <c r="P5" i="3"/>
  <c r="P7" i="3"/>
  <c r="P13" i="3"/>
  <c r="P21" i="3"/>
  <c r="AV39" i="3"/>
  <c r="AV24" i="3"/>
  <c r="AV37" i="3"/>
  <c r="AV19" i="3"/>
  <c r="AV51" i="3"/>
  <c r="AV32" i="3"/>
  <c r="AV53" i="3"/>
  <c r="AV36" i="3"/>
  <c r="AV17" i="3"/>
  <c r="AV42" i="3"/>
  <c r="AV20" i="3"/>
  <c r="AV48" i="3"/>
  <c r="AV26" i="3"/>
  <c r="AV45" i="3"/>
  <c r="AV25" i="3"/>
  <c r="AV50" i="3"/>
  <c r="AV30" i="3"/>
  <c r="AV49" i="3"/>
  <c r="AV31" i="3"/>
  <c r="AV41" i="3"/>
  <c r="AV29" i="3"/>
  <c r="AV35" i="3"/>
  <c r="AV18" i="3"/>
  <c r="AV46" i="3"/>
  <c r="AV28" i="3"/>
  <c r="AV47" i="3"/>
  <c r="AV33" i="3"/>
  <c r="AV52" i="3"/>
  <c r="AV4" i="3"/>
  <c r="AV44" i="3"/>
  <c r="AV34" i="3"/>
  <c r="AV38" i="3"/>
  <c r="AV14" i="3"/>
  <c r="AV8" i="3"/>
  <c r="AV10" i="3"/>
  <c r="AV11" i="3"/>
  <c r="AV12" i="3"/>
  <c r="AV5" i="3"/>
  <c r="AV7" i="3"/>
  <c r="AV13" i="3"/>
  <c r="AV21" i="3"/>
  <c r="CB45" i="3"/>
  <c r="CB25" i="3"/>
  <c r="CB53" i="3"/>
  <c r="CB36" i="3"/>
  <c r="CB17" i="3"/>
  <c r="CB39" i="3"/>
  <c r="CB24" i="3"/>
  <c r="CB49" i="3"/>
  <c r="CB26" i="3"/>
  <c r="CB35" i="3"/>
  <c r="CB18" i="3"/>
  <c r="CB44" i="3"/>
  <c r="CB30" i="3"/>
  <c r="CB42" i="3"/>
  <c r="CB20" i="3"/>
  <c r="CB47" i="3"/>
  <c r="CB29" i="3"/>
  <c r="CB48" i="3"/>
  <c r="CB34" i="3"/>
  <c r="CB46" i="3"/>
  <c r="CB28" i="3"/>
  <c r="CB51" i="3"/>
  <c r="CB31" i="3"/>
  <c r="CB52" i="3"/>
  <c r="CB4" i="3"/>
  <c r="CB41" i="3"/>
  <c r="CB32" i="3"/>
  <c r="CB38" i="3"/>
  <c r="CB14" i="3"/>
  <c r="CB50" i="3"/>
  <c r="CB33" i="3"/>
  <c r="CB37" i="3"/>
  <c r="CB19" i="3"/>
  <c r="CB8" i="3"/>
  <c r="CB10" i="3"/>
  <c r="CB11" i="3"/>
  <c r="CB12" i="3"/>
  <c r="CB5" i="3"/>
  <c r="CB7" i="3"/>
  <c r="CB13" i="3"/>
  <c r="CB21" i="3"/>
  <c r="AH41" i="3"/>
  <c r="AH14" i="3"/>
  <c r="AH53" i="3"/>
  <c r="AH35" i="3"/>
  <c r="AH18" i="3"/>
  <c r="AH42" i="3"/>
  <c r="AH4" i="3"/>
  <c r="AH50" i="3"/>
  <c r="AH29" i="3"/>
  <c r="AH36" i="3"/>
  <c r="AH17" i="3"/>
  <c r="AH51" i="3"/>
  <c r="AH28" i="3"/>
  <c r="AH39" i="3"/>
  <c r="AH19" i="3"/>
  <c r="AH47" i="3"/>
  <c r="AH34" i="3"/>
  <c r="AH46" i="3"/>
  <c r="AH32" i="3"/>
  <c r="AH44" i="3"/>
  <c r="AH26" i="3"/>
  <c r="AH52" i="3"/>
  <c r="AH33" i="3"/>
  <c r="AH37" i="3"/>
  <c r="AH25" i="3"/>
  <c r="AH49" i="3"/>
  <c r="AH30" i="3"/>
  <c r="AH48" i="3"/>
  <c r="AH20" i="3"/>
  <c r="AH45" i="3"/>
  <c r="AH31" i="3"/>
  <c r="AH38" i="3"/>
  <c r="AH24" i="3"/>
  <c r="AH7" i="3"/>
  <c r="AH5" i="3"/>
  <c r="AH12" i="3"/>
  <c r="AH13" i="3"/>
  <c r="AH21" i="3"/>
  <c r="AH8" i="3"/>
  <c r="AH10" i="3"/>
  <c r="AH11" i="3"/>
  <c r="AK45" i="3"/>
  <c r="AK19" i="3"/>
  <c r="AK49" i="3"/>
  <c r="AK30" i="3"/>
  <c r="AK52" i="3"/>
  <c r="AK14" i="3"/>
  <c r="AK50" i="3"/>
  <c r="AK29" i="3"/>
  <c r="AK51" i="3"/>
  <c r="AK34" i="3"/>
  <c r="AK44" i="3"/>
  <c r="AK28" i="3"/>
  <c r="AK36" i="3"/>
  <c r="AK18" i="3"/>
  <c r="AK38" i="3"/>
  <c r="AK26" i="3"/>
  <c r="AK46" i="3"/>
  <c r="AK32" i="3"/>
  <c r="AK42" i="3"/>
  <c r="AK25" i="3"/>
  <c r="AK47" i="3"/>
  <c r="AK33" i="3"/>
  <c r="AK37" i="3"/>
  <c r="AK20" i="3"/>
  <c r="AK48" i="3"/>
  <c r="AK4" i="3"/>
  <c r="AK41" i="3"/>
  <c r="AK24" i="3"/>
  <c r="AK39" i="3"/>
  <c r="AK31" i="3"/>
  <c r="AK53" i="3"/>
  <c r="AK35" i="3"/>
  <c r="AK17" i="3"/>
  <c r="AK8" i="3"/>
  <c r="AK5" i="3"/>
  <c r="AK7" i="3"/>
  <c r="AK13" i="3"/>
  <c r="AK21" i="3"/>
  <c r="AK10" i="3"/>
  <c r="AK11" i="3"/>
  <c r="AK12" i="3"/>
  <c r="N44" i="3"/>
  <c r="N18" i="3"/>
  <c r="N46" i="3"/>
  <c r="N28" i="3"/>
  <c r="N39" i="3"/>
  <c r="N19" i="3"/>
  <c r="N45" i="3"/>
  <c r="N34" i="3"/>
  <c r="N51" i="3"/>
  <c r="N32" i="3"/>
  <c r="N42" i="3"/>
  <c r="N26" i="3"/>
  <c r="N52" i="3"/>
  <c r="N33" i="3"/>
  <c r="N47" i="3"/>
  <c r="N25" i="3"/>
  <c r="N48" i="3"/>
  <c r="N30" i="3"/>
  <c r="N36" i="3"/>
  <c r="N20" i="3"/>
  <c r="N49" i="3"/>
  <c r="N31" i="3"/>
  <c r="N35" i="3"/>
  <c r="N24" i="3"/>
  <c r="N41" i="3"/>
  <c r="N14" i="3"/>
  <c r="N53" i="3"/>
  <c r="N38" i="3"/>
  <c r="N17" i="3"/>
  <c r="N37" i="3"/>
  <c r="N4" i="3"/>
  <c r="N50" i="3"/>
  <c r="N29" i="3"/>
  <c r="N5" i="3"/>
  <c r="N7" i="3"/>
  <c r="N12" i="3"/>
  <c r="N13" i="3"/>
  <c r="N21" i="3"/>
  <c r="N8" i="3"/>
  <c r="N10" i="3"/>
  <c r="N11" i="3"/>
  <c r="BZ51" i="3"/>
  <c r="BZ4" i="3"/>
  <c r="BZ38" i="3"/>
  <c r="BZ24" i="3"/>
  <c r="BZ42" i="3"/>
  <c r="BZ34" i="3"/>
  <c r="BZ53" i="3"/>
  <c r="BZ44" i="3"/>
  <c r="BZ17" i="3"/>
  <c r="BZ39" i="3"/>
  <c r="BZ19" i="3"/>
  <c r="BZ50" i="3"/>
  <c r="BZ29" i="3"/>
  <c r="BZ41" i="3"/>
  <c r="BZ14" i="3"/>
  <c r="BZ49" i="3"/>
  <c r="BZ28" i="3"/>
  <c r="BZ52" i="3"/>
  <c r="BZ33" i="3"/>
  <c r="BZ48" i="3"/>
  <c r="BZ26" i="3"/>
  <c r="BZ35" i="3"/>
  <c r="BZ18" i="3"/>
  <c r="BZ37" i="3"/>
  <c r="BZ30" i="3"/>
  <c r="BZ45" i="3"/>
  <c r="BZ31" i="3"/>
  <c r="BZ47" i="3"/>
  <c r="BZ25" i="3"/>
  <c r="BZ46" i="3"/>
  <c r="BZ32" i="3"/>
  <c r="BZ36" i="3"/>
  <c r="BZ20" i="3"/>
  <c r="BZ5" i="3"/>
  <c r="BZ7" i="3"/>
  <c r="BZ12" i="3"/>
  <c r="BZ13" i="3"/>
  <c r="BZ21" i="3"/>
  <c r="BZ8" i="3"/>
  <c r="BZ10" i="3"/>
  <c r="BZ11" i="3"/>
  <c r="BE39" i="3"/>
  <c r="BE31" i="3"/>
  <c r="BE50" i="3"/>
  <c r="BE20" i="3"/>
  <c r="BE46" i="3"/>
  <c r="BE32" i="3"/>
  <c r="BE36" i="3"/>
  <c r="BE24" i="3"/>
  <c r="BE42" i="3"/>
  <c r="BE14" i="3"/>
  <c r="BE53" i="3"/>
  <c r="BE35" i="3"/>
  <c r="BE17" i="3"/>
  <c r="BE38" i="3"/>
  <c r="BE4" i="3"/>
  <c r="BE51" i="3"/>
  <c r="BE30" i="3"/>
  <c r="BE37" i="3"/>
  <c r="BE18" i="3"/>
  <c r="BE49" i="3"/>
  <c r="BE29" i="3"/>
  <c r="BE41" i="3"/>
  <c r="BE19" i="3"/>
  <c r="BE48" i="3"/>
  <c r="BE28" i="3"/>
  <c r="BE47" i="3"/>
  <c r="BE33" i="3"/>
  <c r="BE45" i="3"/>
  <c r="BE26" i="3"/>
  <c r="BE52" i="3"/>
  <c r="BE34" i="3"/>
  <c r="BE44" i="3"/>
  <c r="BE25" i="3"/>
  <c r="BE8" i="3"/>
  <c r="BE5" i="3"/>
  <c r="BE7" i="3"/>
  <c r="BE13" i="3"/>
  <c r="BE21" i="3"/>
  <c r="BE10" i="3"/>
  <c r="BE11" i="3"/>
  <c r="BE12" i="3"/>
  <c r="AJ50" i="3"/>
  <c r="AJ25" i="3"/>
  <c r="AJ53" i="3"/>
  <c r="AJ42" i="3"/>
  <c r="AJ17" i="3"/>
  <c r="AJ51" i="3"/>
  <c r="AJ26" i="3"/>
  <c r="AJ48" i="3"/>
  <c r="AJ34" i="3"/>
  <c r="AJ46" i="3"/>
  <c r="AJ18" i="3"/>
  <c r="AJ49" i="3"/>
  <c r="AJ33" i="3"/>
  <c r="AJ35" i="3"/>
  <c r="AJ20" i="3"/>
  <c r="AJ45" i="3"/>
  <c r="AJ32" i="3"/>
  <c r="AJ44" i="3"/>
  <c r="AJ30" i="3"/>
  <c r="AJ39" i="3"/>
  <c r="AJ24" i="3"/>
  <c r="AJ52" i="3"/>
  <c r="AJ31" i="3"/>
  <c r="AJ38" i="3"/>
  <c r="AJ4" i="3"/>
  <c r="AJ41" i="3"/>
  <c r="AJ28" i="3"/>
  <c r="AJ36" i="3"/>
  <c r="AJ14" i="3"/>
  <c r="AJ47" i="3"/>
  <c r="AJ29" i="3"/>
  <c r="AJ37" i="3"/>
  <c r="AJ19" i="3"/>
  <c r="AJ8" i="3"/>
  <c r="AJ10" i="3"/>
  <c r="AJ11" i="3"/>
  <c r="AJ12" i="3"/>
  <c r="AJ5" i="3"/>
  <c r="AJ7" i="3"/>
  <c r="AJ13" i="3"/>
  <c r="AJ21" i="3"/>
  <c r="BP47" i="3"/>
  <c r="BP33" i="3"/>
  <c r="BP38" i="3"/>
  <c r="BP4" i="3"/>
  <c r="BP44" i="3"/>
  <c r="BP34" i="3"/>
  <c r="BP46" i="3"/>
  <c r="BP14" i="3"/>
  <c r="BP39" i="3"/>
  <c r="BP24" i="3"/>
  <c r="BP35" i="3"/>
  <c r="BP19" i="3"/>
  <c r="BP45" i="3"/>
  <c r="BP32" i="3"/>
  <c r="BP53" i="3"/>
  <c r="BP42" i="3"/>
  <c r="BP17" i="3"/>
  <c r="BP36" i="3"/>
  <c r="BP20" i="3"/>
  <c r="BP48" i="3"/>
  <c r="BP26" i="3"/>
  <c r="BP50" i="3"/>
  <c r="BP25" i="3"/>
  <c r="BP49" i="3"/>
  <c r="BP30" i="3"/>
  <c r="BP52" i="3"/>
  <c r="BP31" i="3"/>
  <c r="BP51" i="3"/>
  <c r="BP29" i="3"/>
  <c r="BP37" i="3"/>
  <c r="BP18" i="3"/>
  <c r="BP41" i="3"/>
  <c r="BP28" i="3"/>
  <c r="BP8" i="3"/>
  <c r="BP10" i="3"/>
  <c r="BP11" i="3"/>
  <c r="BP12" i="3"/>
  <c r="BP5" i="3"/>
  <c r="BP7" i="3"/>
  <c r="BP13" i="3"/>
  <c r="BP21" i="3"/>
  <c r="CD38" i="3"/>
  <c r="CD24" i="3"/>
  <c r="CD46" i="3"/>
  <c r="CD32" i="3"/>
  <c r="CD48" i="3"/>
  <c r="CD20" i="3"/>
  <c r="CD47" i="3"/>
  <c r="CD31" i="3"/>
  <c r="CD50" i="3"/>
  <c r="CD29" i="3"/>
  <c r="CD44" i="3"/>
  <c r="CD34" i="3"/>
  <c r="CD53" i="3"/>
  <c r="CD35" i="3"/>
  <c r="CD18" i="3"/>
  <c r="CD37" i="3"/>
  <c r="CD4" i="3"/>
  <c r="CD51" i="3"/>
  <c r="CD26" i="3"/>
  <c r="CD49" i="3"/>
  <c r="CD14" i="3"/>
  <c r="CD45" i="3"/>
  <c r="CD28" i="3"/>
  <c r="CD39" i="3"/>
  <c r="CD19" i="3"/>
  <c r="CD41" i="3"/>
  <c r="CD25" i="3"/>
  <c r="CD36" i="3"/>
  <c r="CD17" i="3"/>
  <c r="CD42" i="3"/>
  <c r="CD30" i="3"/>
  <c r="CD52" i="3"/>
  <c r="CD33" i="3"/>
  <c r="CD7" i="3"/>
  <c r="CD5" i="3"/>
  <c r="CD12" i="3"/>
  <c r="CD13" i="3"/>
  <c r="CD21" i="3"/>
  <c r="CD8" i="3"/>
  <c r="CD10" i="3"/>
  <c r="CD11" i="3"/>
  <c r="BN39" i="3"/>
  <c r="BN19" i="3"/>
  <c r="BN50" i="3"/>
  <c r="BN29" i="3"/>
  <c r="BN41" i="3"/>
  <c r="BN14" i="3"/>
  <c r="BN46" i="3"/>
  <c r="BN28" i="3"/>
  <c r="BN52" i="3"/>
  <c r="BN33" i="3"/>
  <c r="BN47" i="3"/>
  <c r="BN26" i="3"/>
  <c r="BN36" i="3"/>
  <c r="BN17" i="3"/>
  <c r="BN44" i="3"/>
  <c r="BN30" i="3"/>
  <c r="BN45" i="3"/>
  <c r="BN31" i="3"/>
  <c r="BN37" i="3"/>
  <c r="BN25" i="3"/>
  <c r="BN51" i="3"/>
  <c r="BN32" i="3"/>
  <c r="BN48" i="3"/>
  <c r="BN20" i="3"/>
  <c r="BN42" i="3"/>
  <c r="BN4" i="3"/>
  <c r="BN38" i="3"/>
  <c r="BN24" i="3"/>
  <c r="BN49" i="3"/>
  <c r="BN34" i="3"/>
  <c r="BN53" i="3"/>
  <c r="BN35" i="3"/>
  <c r="BN18" i="3"/>
  <c r="BN7" i="3"/>
  <c r="BN5" i="3"/>
  <c r="BN12" i="3"/>
  <c r="BN13" i="3"/>
  <c r="BN21" i="3"/>
  <c r="BN8" i="3"/>
  <c r="BN10" i="3"/>
  <c r="BN11" i="3"/>
  <c r="AS39" i="3"/>
  <c r="AS31" i="3"/>
  <c r="AS45" i="3"/>
  <c r="AS20" i="3"/>
  <c r="AS50" i="3"/>
  <c r="AS32" i="3"/>
  <c r="AS37" i="3"/>
  <c r="AS24" i="3"/>
  <c r="AS42" i="3"/>
  <c r="AS14" i="3"/>
  <c r="AS53" i="3"/>
  <c r="AS35" i="3"/>
  <c r="AS17" i="3"/>
  <c r="AS38" i="3"/>
  <c r="AS4" i="3"/>
  <c r="AS52" i="3"/>
  <c r="AS30" i="3"/>
  <c r="AS41" i="3"/>
  <c r="AS18" i="3"/>
  <c r="AS46" i="3"/>
  <c r="AS29" i="3"/>
  <c r="AS36" i="3"/>
  <c r="AS19" i="3"/>
  <c r="AS44" i="3"/>
  <c r="AS28" i="3"/>
  <c r="AS47" i="3"/>
  <c r="AS33" i="3"/>
  <c r="AS49" i="3"/>
  <c r="AS26" i="3"/>
  <c r="AS51" i="3"/>
  <c r="AS34" i="3"/>
  <c r="AS48" i="3"/>
  <c r="AS25" i="3"/>
  <c r="AS8" i="3"/>
  <c r="AS5" i="3"/>
  <c r="AS7" i="3"/>
  <c r="AS13" i="3"/>
  <c r="AS21" i="3"/>
  <c r="AS10" i="3"/>
  <c r="AS11" i="3"/>
  <c r="AS12" i="3"/>
  <c r="V37" i="3"/>
  <c r="V30" i="3"/>
  <c r="V44" i="3"/>
  <c r="V20" i="3"/>
  <c r="V48" i="3"/>
  <c r="V31" i="3"/>
  <c r="V36" i="3"/>
  <c r="V24" i="3"/>
  <c r="V51" i="3"/>
  <c r="V14" i="3"/>
  <c r="V53" i="3"/>
  <c r="V39" i="3"/>
  <c r="V17" i="3"/>
  <c r="V47" i="3"/>
  <c r="V4" i="3"/>
  <c r="V50" i="3"/>
  <c r="V29" i="3"/>
  <c r="V35" i="3"/>
  <c r="V18" i="3"/>
  <c r="V45" i="3"/>
  <c r="V28" i="3"/>
  <c r="V38" i="3"/>
  <c r="V19" i="3"/>
  <c r="V42" i="3"/>
  <c r="V34" i="3"/>
  <c r="V46" i="3"/>
  <c r="V32" i="3"/>
  <c r="V49" i="3"/>
  <c r="V26" i="3"/>
  <c r="V52" i="3"/>
  <c r="V33" i="3"/>
  <c r="V41" i="3"/>
  <c r="V25" i="3"/>
  <c r="V7" i="3"/>
  <c r="V5" i="3"/>
  <c r="V12" i="3"/>
  <c r="V13" i="3"/>
  <c r="V21" i="3"/>
  <c r="V8" i="3"/>
  <c r="V10" i="3"/>
  <c r="V11" i="3"/>
  <c r="CH41" i="3"/>
  <c r="CH14" i="3"/>
  <c r="CH53" i="3"/>
  <c r="CH39" i="3"/>
  <c r="CH18" i="3"/>
  <c r="CH49" i="3"/>
  <c r="CH4" i="3"/>
  <c r="CH50" i="3"/>
  <c r="CH29" i="3"/>
  <c r="CH35" i="3"/>
  <c r="CH17" i="3"/>
  <c r="CH46" i="3"/>
  <c r="CH28" i="3"/>
  <c r="CH38" i="3"/>
  <c r="CH19" i="3"/>
  <c r="CH48" i="3"/>
  <c r="CH26" i="3"/>
  <c r="CH51" i="3"/>
  <c r="CH32" i="3"/>
  <c r="CH37" i="3"/>
  <c r="CH30" i="3"/>
  <c r="CH52" i="3"/>
  <c r="CH33" i="3"/>
  <c r="CH47" i="3"/>
  <c r="CH25" i="3"/>
  <c r="CH42" i="3"/>
  <c r="CH34" i="3"/>
  <c r="CH44" i="3"/>
  <c r="CH20" i="3"/>
  <c r="CH45" i="3"/>
  <c r="CH31" i="3"/>
  <c r="CH36" i="3"/>
  <c r="CH24" i="3"/>
  <c r="CH7" i="3"/>
  <c r="CH5" i="3"/>
  <c r="CH12" i="3"/>
  <c r="CH13" i="3"/>
  <c r="CH21" i="3"/>
  <c r="CH8" i="3"/>
  <c r="CH10" i="3"/>
  <c r="CH11" i="3"/>
  <c r="BM47" i="3"/>
  <c r="BM29" i="3"/>
  <c r="BM38" i="3"/>
  <c r="BM4" i="3"/>
  <c r="BM51" i="3"/>
  <c r="BM30" i="3"/>
  <c r="BM44" i="3"/>
  <c r="BM14" i="3"/>
  <c r="BM45" i="3"/>
  <c r="BM26" i="3"/>
  <c r="BM41" i="3"/>
  <c r="BM19" i="3"/>
  <c r="BM48" i="3"/>
  <c r="BM28" i="3"/>
  <c r="BM37" i="3"/>
  <c r="BM17" i="3"/>
  <c r="BM42" i="3"/>
  <c r="BM20" i="3"/>
  <c r="BM52" i="3"/>
  <c r="BM34" i="3"/>
  <c r="BM49" i="3"/>
  <c r="BM25" i="3"/>
  <c r="BM50" i="3"/>
  <c r="BM33" i="3"/>
  <c r="BM53" i="3"/>
  <c r="BM35" i="3"/>
  <c r="BM18" i="3"/>
  <c r="BM46" i="3"/>
  <c r="BM32" i="3"/>
  <c r="BM36" i="3"/>
  <c r="BM24" i="3"/>
  <c r="BM39" i="3"/>
  <c r="BM31" i="3"/>
  <c r="BM5" i="3"/>
  <c r="BM7" i="3"/>
  <c r="BM13" i="3"/>
  <c r="BM21" i="3"/>
  <c r="BM8" i="3"/>
  <c r="BM10" i="3"/>
  <c r="BM11" i="3"/>
  <c r="BM12" i="3"/>
  <c r="H37" i="3"/>
  <c r="H47" i="3"/>
  <c r="H33" i="3"/>
  <c r="H36" i="3"/>
  <c r="H20" i="3"/>
  <c r="H41" i="3"/>
  <c r="H32" i="3"/>
  <c r="H52" i="3"/>
  <c r="H30" i="3"/>
  <c r="H39" i="3"/>
  <c r="H24" i="3"/>
  <c r="H51" i="3"/>
  <c r="H31" i="3"/>
  <c r="H25" i="3"/>
  <c r="H45" i="3"/>
  <c r="H4" i="3"/>
  <c r="H46" i="3"/>
  <c r="H28" i="3"/>
  <c r="H35" i="3"/>
  <c r="H14" i="3"/>
  <c r="H49" i="3"/>
  <c r="H29" i="3"/>
  <c r="H42" i="3"/>
  <c r="H19" i="3"/>
  <c r="H44" i="3"/>
  <c r="H53" i="3"/>
  <c r="H38" i="3"/>
  <c r="H17" i="3"/>
  <c r="H50" i="3"/>
  <c r="H26" i="3"/>
  <c r="H48" i="3"/>
  <c r="H34" i="3"/>
  <c r="H18" i="3"/>
  <c r="H8" i="3"/>
  <c r="H10" i="3"/>
  <c r="H11" i="3"/>
  <c r="H12" i="3"/>
  <c r="H5" i="3"/>
  <c r="H7" i="3"/>
  <c r="H13" i="3"/>
  <c r="H21" i="3"/>
  <c r="AN51" i="3"/>
  <c r="AN31" i="3"/>
  <c r="AN41" i="3"/>
  <c r="AN29" i="3"/>
  <c r="AN42" i="3"/>
  <c r="AN18" i="3"/>
  <c r="AN39" i="3"/>
  <c r="AN28" i="3"/>
  <c r="AN47" i="3"/>
  <c r="AN33" i="3"/>
  <c r="AN45" i="3"/>
  <c r="AN4" i="3"/>
  <c r="AN44" i="3"/>
  <c r="AN34" i="3"/>
  <c r="AN49" i="3"/>
  <c r="AN14" i="3"/>
  <c r="AN50" i="3"/>
  <c r="AN24" i="3"/>
  <c r="AN36" i="3"/>
  <c r="AN19" i="3"/>
  <c r="AN46" i="3"/>
  <c r="AN32" i="3"/>
  <c r="AN53" i="3"/>
  <c r="AN37" i="3"/>
  <c r="AN17" i="3"/>
  <c r="AN35" i="3"/>
  <c r="AN20" i="3"/>
  <c r="AN48" i="3"/>
  <c r="AN26" i="3"/>
  <c r="AN38" i="3"/>
  <c r="AN25" i="3"/>
  <c r="AN52" i="3"/>
  <c r="AN30" i="3"/>
  <c r="AN8" i="3"/>
  <c r="AN10" i="3"/>
  <c r="AN11" i="3"/>
  <c r="AN12" i="3"/>
  <c r="AN5" i="3"/>
  <c r="AN7" i="3"/>
  <c r="AN13" i="3"/>
  <c r="AN21" i="3"/>
  <c r="BT52" i="3"/>
  <c r="BT34" i="3"/>
  <c r="BT50" i="3"/>
  <c r="BT28" i="3"/>
  <c r="BT48" i="3"/>
  <c r="BT31" i="3"/>
  <c r="BT38" i="3"/>
  <c r="BT4" i="3"/>
  <c r="BT39" i="3"/>
  <c r="BT32" i="3"/>
  <c r="BT49" i="3"/>
  <c r="BT14" i="3"/>
  <c r="BT41" i="3"/>
  <c r="BT33" i="3"/>
  <c r="BT36" i="3"/>
  <c r="BT19" i="3"/>
  <c r="BT51" i="3"/>
  <c r="BT25" i="3"/>
  <c r="BT53" i="3"/>
  <c r="BT37" i="3"/>
  <c r="BT17" i="3"/>
  <c r="BT45" i="3"/>
  <c r="BT24" i="3"/>
  <c r="BT44" i="3"/>
  <c r="BT26" i="3"/>
  <c r="BT42" i="3"/>
  <c r="BT18" i="3"/>
  <c r="BT47" i="3"/>
  <c r="BT30" i="3"/>
  <c r="BT35" i="3"/>
  <c r="BT20" i="3"/>
  <c r="BT46" i="3"/>
  <c r="BT29" i="3"/>
  <c r="BT8" i="3"/>
  <c r="BT10" i="3"/>
  <c r="BT11" i="3"/>
  <c r="BT12" i="3"/>
  <c r="BT5" i="3"/>
  <c r="BT7" i="3"/>
  <c r="BT13" i="3"/>
  <c r="BT21" i="3"/>
  <c r="R41" i="3"/>
  <c r="R25" i="3"/>
  <c r="R36" i="3"/>
  <c r="R18" i="3"/>
  <c r="R42" i="3"/>
  <c r="R26" i="3"/>
  <c r="R52" i="3"/>
  <c r="R33" i="3"/>
  <c r="R38" i="3"/>
  <c r="R24" i="3"/>
  <c r="R46" i="3"/>
  <c r="R32" i="3"/>
  <c r="R48" i="3"/>
  <c r="R20" i="3"/>
  <c r="R45" i="3"/>
  <c r="R31" i="3"/>
  <c r="R50" i="3"/>
  <c r="R29" i="3"/>
  <c r="R44" i="3"/>
  <c r="R30" i="3"/>
  <c r="R53" i="3"/>
  <c r="R35" i="3"/>
  <c r="R17" i="3"/>
  <c r="R37" i="3"/>
  <c r="R4" i="3"/>
  <c r="R47" i="3"/>
  <c r="R34" i="3"/>
  <c r="R49" i="3"/>
  <c r="R14" i="3"/>
  <c r="R51" i="3"/>
  <c r="R28" i="3"/>
  <c r="R39" i="3"/>
  <c r="R19" i="3"/>
  <c r="R7" i="3"/>
  <c r="R5" i="3"/>
  <c r="R12" i="3"/>
  <c r="R13" i="3"/>
  <c r="R21" i="3"/>
  <c r="R8" i="3"/>
  <c r="R10" i="3"/>
  <c r="R11" i="3"/>
  <c r="Z50" i="3"/>
  <c r="Z29" i="3"/>
  <c r="Z44" i="3"/>
  <c r="Z30" i="3"/>
  <c r="Z53" i="3"/>
  <c r="Z36" i="3"/>
  <c r="Z17" i="3"/>
  <c r="Z37" i="3"/>
  <c r="Z4" i="3"/>
  <c r="Z47" i="3"/>
  <c r="Z34" i="3"/>
  <c r="Z41" i="3"/>
  <c r="Z14" i="3"/>
  <c r="Z46" i="3"/>
  <c r="Z28" i="3"/>
  <c r="Z38" i="3"/>
  <c r="Z19" i="3"/>
  <c r="Z51" i="3"/>
  <c r="Z25" i="3"/>
  <c r="Z35" i="3"/>
  <c r="Z18" i="3"/>
  <c r="Z42" i="3"/>
  <c r="Z26" i="3"/>
  <c r="Z52" i="3"/>
  <c r="Z33" i="3"/>
  <c r="Z39" i="3"/>
  <c r="Z24" i="3"/>
  <c r="Z49" i="3"/>
  <c r="Z32" i="3"/>
  <c r="Z48" i="3"/>
  <c r="Z20" i="3"/>
  <c r="Z45" i="3"/>
  <c r="Z31" i="3"/>
  <c r="Z5" i="3"/>
  <c r="Z7" i="3"/>
  <c r="Z12" i="3"/>
  <c r="Z13" i="3"/>
  <c r="Z21" i="3"/>
  <c r="Z8" i="3"/>
  <c r="Z10" i="3"/>
  <c r="Z11" i="3"/>
  <c r="BA45" i="3"/>
  <c r="BA24" i="3"/>
  <c r="BA47" i="3"/>
  <c r="BA33" i="3"/>
  <c r="BA37" i="3"/>
  <c r="BA20" i="3"/>
  <c r="BA46" i="3"/>
  <c r="BA32" i="3"/>
  <c r="BA49" i="3"/>
  <c r="BA30" i="3"/>
  <c r="BA39" i="3"/>
  <c r="BA31" i="3"/>
  <c r="BA53" i="3"/>
  <c r="BA35" i="3"/>
  <c r="BA17" i="3"/>
  <c r="BA38" i="3"/>
  <c r="BA4" i="3"/>
  <c r="BA44" i="3"/>
  <c r="BA28" i="3"/>
  <c r="BA42" i="3"/>
  <c r="BA14" i="3"/>
  <c r="BA50" i="3"/>
  <c r="BA29" i="3"/>
  <c r="BA41" i="3"/>
  <c r="BA19" i="3"/>
  <c r="BA48" i="3"/>
  <c r="BA25" i="3"/>
  <c r="BA36" i="3"/>
  <c r="BA18" i="3"/>
  <c r="BA52" i="3"/>
  <c r="BA26" i="3"/>
  <c r="BA51" i="3"/>
  <c r="BA34" i="3"/>
  <c r="BA8" i="3"/>
  <c r="BA5" i="3"/>
  <c r="BA7" i="3"/>
  <c r="BA13" i="3"/>
  <c r="BA21" i="3"/>
  <c r="BA10" i="3"/>
  <c r="BA11" i="3"/>
  <c r="BA12" i="3"/>
  <c r="AD42" i="3"/>
  <c r="AD26" i="3"/>
  <c r="AD44" i="3"/>
  <c r="AD19" i="3"/>
  <c r="AD45" i="3"/>
  <c r="AD34" i="3"/>
  <c r="AD38" i="3"/>
  <c r="AD18" i="3"/>
  <c r="AD36" i="3"/>
  <c r="AD20" i="3"/>
  <c r="AD52" i="3"/>
  <c r="AD33" i="3"/>
  <c r="AD47" i="3"/>
  <c r="AD25" i="3"/>
  <c r="AD51" i="3"/>
  <c r="AD32" i="3"/>
  <c r="AD53" i="3"/>
  <c r="AD35" i="3"/>
  <c r="AD17" i="3"/>
  <c r="AD49" i="3"/>
  <c r="AD31" i="3"/>
  <c r="AD39" i="3"/>
  <c r="AD24" i="3"/>
  <c r="AD48" i="3"/>
  <c r="AD30" i="3"/>
  <c r="AD46" i="3"/>
  <c r="AD28" i="3"/>
  <c r="AD37" i="3"/>
  <c r="AD4" i="3"/>
  <c r="AD50" i="3"/>
  <c r="AD29" i="3"/>
  <c r="AD41" i="3"/>
  <c r="AD14" i="3"/>
  <c r="AD5" i="3"/>
  <c r="AD7" i="3"/>
  <c r="AD12" i="3"/>
  <c r="AD13" i="3"/>
  <c r="AD21" i="3"/>
  <c r="AD8" i="3"/>
  <c r="AD10" i="3"/>
  <c r="AD11" i="3"/>
  <c r="I39" i="3"/>
  <c r="I28" i="3"/>
  <c r="I42" i="3"/>
  <c r="I14" i="3"/>
  <c r="I46" i="3"/>
  <c r="I29" i="3"/>
  <c r="I41" i="3"/>
  <c r="I19" i="3"/>
  <c r="I44" i="3"/>
  <c r="I25" i="3"/>
  <c r="I37" i="3"/>
  <c r="I18" i="3"/>
  <c r="I45" i="3"/>
  <c r="I26" i="3"/>
  <c r="I52" i="3"/>
  <c r="I30" i="3"/>
  <c r="I36" i="3"/>
  <c r="I24" i="3"/>
  <c r="I47" i="3"/>
  <c r="I33" i="3"/>
  <c r="I49" i="3"/>
  <c r="I20" i="3"/>
  <c r="I48" i="3"/>
  <c r="I32" i="3"/>
  <c r="I51" i="3"/>
  <c r="I35" i="3"/>
  <c r="I50" i="3"/>
  <c r="I31" i="3"/>
  <c r="I53" i="3"/>
  <c r="I34" i="3"/>
  <c r="I17" i="3"/>
  <c r="I38" i="3"/>
  <c r="I4" i="3"/>
  <c r="I8" i="3"/>
  <c r="I5" i="3"/>
  <c r="I7" i="3"/>
  <c r="I13" i="3"/>
  <c r="I21" i="3"/>
  <c r="I10" i="3"/>
  <c r="I11" i="3"/>
  <c r="I12" i="3"/>
  <c r="BU51" i="3"/>
  <c r="BU33" i="3"/>
  <c r="BU50" i="3"/>
  <c r="BU26" i="3"/>
  <c r="BU52" i="3"/>
  <c r="BU34" i="3"/>
  <c r="BU38" i="3"/>
  <c r="BU25" i="3"/>
  <c r="BU39" i="3"/>
  <c r="BU31" i="3"/>
  <c r="BU42" i="3"/>
  <c r="BU20" i="3"/>
  <c r="BU46" i="3"/>
  <c r="BU32" i="3"/>
  <c r="BU36" i="3"/>
  <c r="BU24" i="3"/>
  <c r="BU44" i="3"/>
  <c r="BU14" i="3"/>
  <c r="BU53" i="3"/>
  <c r="BU35" i="3"/>
  <c r="BU17" i="3"/>
  <c r="BU45" i="3"/>
  <c r="BU4" i="3"/>
  <c r="BU47" i="3"/>
  <c r="BU30" i="3"/>
  <c r="BU37" i="3"/>
  <c r="BU18" i="3"/>
  <c r="BU49" i="3"/>
  <c r="BU29" i="3"/>
  <c r="BU41" i="3"/>
  <c r="BU19" i="3"/>
  <c r="BU48" i="3"/>
  <c r="BU28" i="3"/>
  <c r="BU5" i="3"/>
  <c r="BU7" i="3"/>
  <c r="BU13" i="3"/>
  <c r="BU21" i="3"/>
  <c r="BU8" i="3"/>
  <c r="BU10" i="3"/>
  <c r="BU11" i="3"/>
  <c r="BU12" i="3"/>
  <c r="BK37" i="3"/>
  <c r="BK18" i="3"/>
  <c r="BK45" i="3"/>
  <c r="BK34" i="3"/>
  <c r="BK39" i="3"/>
  <c r="BK26" i="3"/>
  <c r="BK44" i="3"/>
  <c r="BK33" i="3"/>
  <c r="BK49" i="3"/>
  <c r="BK31" i="3"/>
  <c r="BK50" i="3"/>
  <c r="BK25" i="3"/>
  <c r="BK52" i="3"/>
  <c r="BK32" i="3"/>
  <c r="BK41" i="3"/>
  <c r="BK20" i="3"/>
  <c r="BK42" i="3"/>
  <c r="BK29" i="3"/>
  <c r="BK46" i="3"/>
  <c r="BK24" i="3"/>
  <c r="BK48" i="3"/>
  <c r="BK30" i="3"/>
  <c r="BK38" i="3"/>
  <c r="BK4" i="3"/>
  <c r="BK36" i="3"/>
  <c r="BK19" i="3"/>
  <c r="BK53" i="3"/>
  <c r="BK35" i="3"/>
  <c r="BK17" i="3"/>
  <c r="BK47" i="3"/>
  <c r="BK14" i="3"/>
  <c r="BK51" i="3"/>
  <c r="BK28" i="3"/>
  <c r="BK11" i="3"/>
  <c r="BK12" i="3"/>
  <c r="BK5" i="3"/>
  <c r="BK7" i="3"/>
  <c r="BK13" i="3"/>
  <c r="BK21" i="3"/>
  <c r="BK8" i="3"/>
  <c r="BK10" i="3"/>
  <c r="L35" i="3"/>
  <c r="L14" i="3"/>
  <c r="L50" i="3"/>
  <c r="L31" i="3"/>
  <c r="L49" i="3"/>
  <c r="L4" i="3"/>
  <c r="L44" i="3"/>
  <c r="L30" i="3"/>
  <c r="L52" i="3"/>
  <c r="L37" i="3"/>
  <c r="L17" i="3"/>
  <c r="L47" i="3"/>
  <c r="L29" i="3"/>
  <c r="L42" i="3"/>
  <c r="L19" i="3"/>
  <c r="L45" i="3"/>
  <c r="L28" i="3"/>
  <c r="L51" i="3"/>
  <c r="L33" i="3"/>
  <c r="L39" i="3"/>
  <c r="L26" i="3"/>
  <c r="L48" i="3"/>
  <c r="L34" i="3"/>
  <c r="L38" i="3"/>
  <c r="L25" i="3"/>
  <c r="L41" i="3"/>
  <c r="L24" i="3"/>
  <c r="L46" i="3"/>
  <c r="L20" i="3"/>
  <c r="L53" i="3"/>
  <c r="L32" i="3"/>
  <c r="L36" i="3"/>
  <c r="L18" i="3"/>
  <c r="L8" i="3"/>
  <c r="L10" i="3"/>
  <c r="L11" i="3"/>
  <c r="L12" i="3"/>
  <c r="L5" i="3"/>
  <c r="L7" i="3"/>
  <c r="L13" i="3"/>
  <c r="L21" i="3"/>
  <c r="AR42" i="3"/>
  <c r="AR19" i="3"/>
  <c r="AR44" i="3"/>
  <c r="AR34" i="3"/>
  <c r="AR35" i="3"/>
  <c r="AR14" i="3"/>
  <c r="AR47" i="3"/>
  <c r="AR33" i="3"/>
  <c r="AR48" i="3"/>
  <c r="AR26" i="3"/>
  <c r="AR41" i="3"/>
  <c r="AR32" i="3"/>
  <c r="AR52" i="3"/>
  <c r="AR37" i="3"/>
  <c r="AR17" i="3"/>
  <c r="AR53" i="3"/>
  <c r="AR24" i="3"/>
  <c r="AR45" i="3"/>
  <c r="AR29" i="3"/>
  <c r="AR38" i="3"/>
  <c r="AR25" i="3"/>
  <c r="AR51" i="3"/>
  <c r="AR30" i="3"/>
  <c r="AR46" i="3"/>
  <c r="AR20" i="3"/>
  <c r="AR49" i="3"/>
  <c r="AR4" i="3"/>
  <c r="AR36" i="3"/>
  <c r="AR18" i="3"/>
  <c r="AR39" i="3"/>
  <c r="AR28" i="3"/>
  <c r="AR50" i="3"/>
  <c r="AR31" i="3"/>
  <c r="AR8" i="3"/>
  <c r="AR10" i="3"/>
  <c r="AR11" i="3"/>
  <c r="AR12" i="3"/>
  <c r="AR5" i="3"/>
  <c r="AR7" i="3"/>
  <c r="AR13" i="3"/>
  <c r="AR21" i="3"/>
  <c r="BX52" i="3"/>
  <c r="BX37" i="3"/>
  <c r="BX17" i="3"/>
  <c r="BX47" i="3"/>
  <c r="BX33" i="3"/>
  <c r="BX42" i="3"/>
  <c r="BX19" i="3"/>
  <c r="BX45" i="3"/>
  <c r="BX32" i="3"/>
  <c r="BX44" i="3"/>
  <c r="BX30" i="3"/>
  <c r="BX39" i="3"/>
  <c r="BX24" i="3"/>
  <c r="BX50" i="3"/>
  <c r="BX26" i="3"/>
  <c r="BX38" i="3"/>
  <c r="BX25" i="3"/>
  <c r="BX41" i="3"/>
  <c r="BX28" i="3"/>
  <c r="BX35" i="3"/>
  <c r="BX20" i="3"/>
  <c r="BX53" i="3"/>
  <c r="BX29" i="3"/>
  <c r="BX36" i="3"/>
  <c r="BX18" i="3"/>
  <c r="BX46" i="3"/>
  <c r="BX14" i="3"/>
  <c r="BX51" i="3"/>
  <c r="BX31" i="3"/>
  <c r="BX49" i="3"/>
  <c r="BX4" i="3"/>
  <c r="BX48" i="3"/>
  <c r="BX34" i="3"/>
  <c r="BX8" i="3"/>
  <c r="BX10" i="3"/>
  <c r="BX11" i="3"/>
  <c r="BX12" i="3"/>
  <c r="BX5" i="3"/>
  <c r="BX7" i="3"/>
  <c r="BX13" i="3"/>
  <c r="BX21" i="3"/>
  <c r="B71" i="5" l="1"/>
  <c r="B39" i="5"/>
  <c r="B7" i="5"/>
  <c r="B58" i="5"/>
  <c r="B68" i="5"/>
  <c r="B4" i="5"/>
  <c r="B25" i="5"/>
  <c r="B48" i="5"/>
  <c r="B21" i="5"/>
  <c r="B13" i="5"/>
  <c r="B67" i="5"/>
  <c r="B35" i="5"/>
  <c r="B3" i="5"/>
  <c r="B60" i="5"/>
  <c r="B81" i="5"/>
  <c r="B17" i="5"/>
  <c r="B40" i="5"/>
  <c r="B61" i="5"/>
  <c r="B77" i="5"/>
  <c r="B63" i="5"/>
  <c r="B31" i="5"/>
  <c r="B52" i="5"/>
  <c r="B73" i="5"/>
  <c r="B32" i="5"/>
  <c r="B29" i="5"/>
  <c r="B75" i="5"/>
  <c r="B43" i="5"/>
  <c r="B11" i="5"/>
  <c r="B62" i="5"/>
  <c r="B30" i="5"/>
  <c r="B76" i="5"/>
  <c r="B12" i="5"/>
  <c r="B33" i="5"/>
  <c r="B56" i="5"/>
  <c r="B53" i="5"/>
  <c r="B26" i="5"/>
  <c r="B54" i="5"/>
  <c r="B22" i="5"/>
  <c r="B82" i="5"/>
  <c r="B50" i="5"/>
  <c r="B18" i="5"/>
  <c r="B55" i="5"/>
  <c r="B23" i="5"/>
  <c r="B74" i="5"/>
  <c r="B42" i="5"/>
  <c r="B36" i="5"/>
  <c r="B57" i="5"/>
  <c r="B80" i="5"/>
  <c r="B16" i="5"/>
  <c r="B69" i="5"/>
  <c r="B83" i="5"/>
  <c r="B51" i="5"/>
  <c r="B19" i="5"/>
  <c r="B28" i="5"/>
  <c r="B49" i="5"/>
  <c r="B72" i="5"/>
  <c r="B8" i="5"/>
  <c r="B5" i="5"/>
  <c r="B79" i="5"/>
  <c r="B47" i="5"/>
  <c r="B15" i="5"/>
  <c r="B84" i="5"/>
  <c r="B20" i="5"/>
  <c r="B41" i="5"/>
  <c r="B64" i="5"/>
  <c r="B45" i="5"/>
  <c r="B59" i="5"/>
  <c r="B27" i="5"/>
  <c r="B78" i="5"/>
  <c r="B46" i="5"/>
  <c r="B14" i="5"/>
  <c r="B44" i="5"/>
  <c r="B65" i="5"/>
  <c r="B24" i="5"/>
  <c r="B37" i="5"/>
  <c r="B70" i="5"/>
  <c r="B38" i="5"/>
  <c r="B6" i="5"/>
  <c r="B66" i="5"/>
  <c r="B34" i="5"/>
  <c r="B2" i="5"/>
  <c r="BX21" i="2"/>
  <c r="BX13" i="2"/>
  <c r="BX6" i="3"/>
  <c r="BX6" i="2" s="1"/>
  <c r="BX7" i="2"/>
  <c r="BX5" i="2"/>
  <c r="BX12" i="2"/>
  <c r="BX11" i="2"/>
  <c r="BX9" i="3"/>
  <c r="BX9" i="2" s="1"/>
  <c r="BX10" i="2"/>
  <c r="BX8" i="2"/>
  <c r="BX34" i="2"/>
  <c r="BX48" i="2"/>
  <c r="BX4" i="2"/>
  <c r="BX49" i="2"/>
  <c r="BX31" i="2"/>
  <c r="BX51" i="2"/>
  <c r="BX14" i="2"/>
  <c r="BX46" i="2"/>
  <c r="BX18" i="2"/>
  <c r="BX36" i="2"/>
  <c r="BX29" i="2"/>
  <c r="BX53" i="2"/>
  <c r="BX20" i="2"/>
  <c r="BX35" i="2"/>
  <c r="BX27" i="3"/>
  <c r="BX27" i="2" s="1"/>
  <c r="BX28" i="2"/>
  <c r="BX41" i="2"/>
  <c r="BX25" i="2"/>
  <c r="BX38" i="2"/>
  <c r="BX26" i="2"/>
  <c r="BX50" i="2"/>
  <c r="BX23" i="3"/>
  <c r="BX24" i="2"/>
  <c r="BX39" i="2"/>
  <c r="BX30" i="2"/>
  <c r="BX44" i="2"/>
  <c r="BX32" i="2"/>
  <c r="BX45" i="2"/>
  <c r="BX19" i="2"/>
  <c r="BX42" i="2"/>
  <c r="BX33" i="2"/>
  <c r="BX47" i="2"/>
  <c r="BX17" i="2"/>
  <c r="BX37" i="2"/>
  <c r="BX52" i="2"/>
  <c r="AR21" i="2"/>
  <c r="AR13" i="2"/>
  <c r="AR6" i="3"/>
  <c r="AR6" i="2" s="1"/>
  <c r="AR7" i="2"/>
  <c r="AR5" i="2"/>
  <c r="AR12" i="2"/>
  <c r="AR11" i="2"/>
  <c r="AR9" i="3"/>
  <c r="AR9" i="2" s="1"/>
  <c r="AR10" i="2"/>
  <c r="AR8" i="2"/>
  <c r="AR31" i="2"/>
  <c r="AR50" i="2"/>
  <c r="AR27" i="3"/>
  <c r="AR27" i="2" s="1"/>
  <c r="AR28" i="2"/>
  <c r="AR39" i="2"/>
  <c r="AR18" i="2"/>
  <c r="AR36" i="2"/>
  <c r="AR4" i="2"/>
  <c r="AR49" i="2"/>
  <c r="AR20" i="2"/>
  <c r="AR46" i="2"/>
  <c r="AR30" i="2"/>
  <c r="AR51" i="2"/>
  <c r="AR25" i="2"/>
  <c r="AR38" i="2"/>
  <c r="AR29" i="2"/>
  <c r="AR45" i="2"/>
  <c r="AR23" i="3"/>
  <c r="AR24" i="2"/>
  <c r="AR53" i="2"/>
  <c r="AR17" i="2"/>
  <c r="AR37" i="2"/>
  <c r="AR52" i="2"/>
  <c r="AR32" i="2"/>
  <c r="AR41" i="2"/>
  <c r="AR26" i="2"/>
  <c r="AR48" i="2"/>
  <c r="AR33" i="2"/>
  <c r="AR47" i="2"/>
  <c r="AR14" i="2"/>
  <c r="AR35" i="2"/>
  <c r="AR34" i="2"/>
  <c r="AR44" i="2"/>
  <c r="AR19" i="2"/>
  <c r="AR42" i="2"/>
  <c r="L21" i="2"/>
  <c r="L13" i="2"/>
  <c r="L6" i="3"/>
  <c r="L6" i="2" s="1"/>
  <c r="L7" i="2"/>
  <c r="L5" i="2"/>
  <c r="L12" i="2"/>
  <c r="L11" i="2"/>
  <c r="L9" i="3"/>
  <c r="L9" i="2" s="1"/>
  <c r="L10" i="2"/>
  <c r="L8" i="2"/>
  <c r="L18" i="2"/>
  <c r="L36" i="2"/>
  <c r="L32" i="2"/>
  <c r="L53" i="2"/>
  <c r="L20" i="2"/>
  <c r="L46" i="2"/>
  <c r="L23" i="3"/>
  <c r="L24" i="2"/>
  <c r="L41" i="2"/>
  <c r="L25" i="2"/>
  <c r="L38" i="2"/>
  <c r="L34" i="2"/>
  <c r="L48" i="2"/>
  <c r="L26" i="2"/>
  <c r="L39" i="2"/>
  <c r="L33" i="2"/>
  <c r="L51" i="2"/>
  <c r="L27" i="3"/>
  <c r="L27" i="2" s="1"/>
  <c r="L28" i="2"/>
  <c r="L45" i="2"/>
  <c r="L19" i="2"/>
  <c r="L42" i="2"/>
  <c r="L29" i="2"/>
  <c r="L47" i="2"/>
  <c r="L17" i="2"/>
  <c r="L37" i="2"/>
  <c r="L52" i="2"/>
  <c r="L30" i="2"/>
  <c r="L44" i="2"/>
  <c r="L4" i="2"/>
  <c r="L49" i="2"/>
  <c r="L31" i="2"/>
  <c r="L50" i="2"/>
  <c r="L14" i="2"/>
  <c r="L35" i="2"/>
  <c r="BK9" i="3"/>
  <c r="BK9" i="2" s="1"/>
  <c r="BK10" i="2"/>
  <c r="BK8" i="2"/>
  <c r="BK21" i="2"/>
  <c r="BK13" i="2"/>
  <c r="BK6" i="3"/>
  <c r="BK6" i="2" s="1"/>
  <c r="BK7" i="2"/>
  <c r="BK5" i="2"/>
  <c r="BK12" i="2"/>
  <c r="BK11" i="2"/>
  <c r="BK27" i="3"/>
  <c r="BK27" i="2" s="1"/>
  <c r="BK28" i="2"/>
  <c r="BK51" i="2"/>
  <c r="BK14" i="2"/>
  <c r="BK47" i="2"/>
  <c r="BK17" i="2"/>
  <c r="BK35" i="2"/>
  <c r="BK53" i="2"/>
  <c r="BK19" i="2"/>
  <c r="BK36" i="2"/>
  <c r="BK4" i="2"/>
  <c r="BK38" i="2"/>
  <c r="BK30" i="2"/>
  <c r="BK48" i="2"/>
  <c r="BK23" i="3"/>
  <c r="BK24" i="2"/>
  <c r="BK46" i="2"/>
  <c r="BK29" i="2"/>
  <c r="BK42" i="2"/>
  <c r="BK20" i="2"/>
  <c r="BK41" i="2"/>
  <c r="BK32" i="2"/>
  <c r="BK52" i="2"/>
  <c r="BK25" i="2"/>
  <c r="BK50" i="2"/>
  <c r="BK31" i="2"/>
  <c r="BK49" i="2"/>
  <c r="BK33" i="2"/>
  <c r="BK44" i="2"/>
  <c r="BK26" i="2"/>
  <c r="BK39" i="2"/>
  <c r="BK34" i="2"/>
  <c r="BK45" i="2"/>
  <c r="BK18" i="2"/>
  <c r="BK37" i="2"/>
  <c r="BU12" i="2"/>
  <c r="BU11" i="2"/>
  <c r="BU9" i="3"/>
  <c r="BU9" i="2" s="1"/>
  <c r="BU10" i="2"/>
  <c r="BU8" i="2"/>
  <c r="BU21" i="2"/>
  <c r="BU13" i="2"/>
  <c r="BU6" i="3"/>
  <c r="BU6" i="2" s="1"/>
  <c r="BU7" i="2"/>
  <c r="BU5" i="2"/>
  <c r="BU27" i="3"/>
  <c r="BU27" i="2" s="1"/>
  <c r="BU28" i="2"/>
  <c r="BU48" i="2"/>
  <c r="BU19" i="2"/>
  <c r="BU41" i="2"/>
  <c r="BU29" i="2"/>
  <c r="BU49" i="2"/>
  <c r="BU18" i="2"/>
  <c r="BU37" i="2"/>
  <c r="BU30" i="2"/>
  <c r="BU47" i="2"/>
  <c r="BU4" i="2"/>
  <c r="BU45" i="2"/>
  <c r="BU17" i="2"/>
  <c r="BU35" i="2"/>
  <c r="BU53" i="2"/>
  <c r="BU14" i="2"/>
  <c r="BU44" i="2"/>
  <c r="BU23" i="3"/>
  <c r="BU24" i="2"/>
  <c r="BU36" i="2"/>
  <c r="BU32" i="2"/>
  <c r="BU46" i="2"/>
  <c r="BU20" i="2"/>
  <c r="BU42" i="2"/>
  <c r="BU31" i="2"/>
  <c r="BU39" i="2"/>
  <c r="BU25" i="2"/>
  <c r="BU38" i="2"/>
  <c r="BU34" i="2"/>
  <c r="BU52" i="2"/>
  <c r="BU26" i="2"/>
  <c r="BU50" i="2"/>
  <c r="BU33" i="2"/>
  <c r="BU51" i="2"/>
  <c r="I12" i="2"/>
  <c r="I11" i="2"/>
  <c r="I9" i="3"/>
  <c r="I9" i="2" s="1"/>
  <c r="I10" i="2"/>
  <c r="I21" i="2"/>
  <c r="I13" i="2"/>
  <c r="I6" i="3"/>
  <c r="I6" i="2" s="1"/>
  <c r="I7" i="2"/>
  <c r="I5" i="2"/>
  <c r="I8" i="2"/>
  <c r="I4" i="2"/>
  <c r="I38" i="2"/>
  <c r="I17" i="2"/>
  <c r="I34" i="2"/>
  <c r="I53" i="2"/>
  <c r="I31" i="2"/>
  <c r="I50" i="2"/>
  <c r="I35" i="2"/>
  <c r="I51" i="2"/>
  <c r="I32" i="2"/>
  <c r="I48" i="2"/>
  <c r="I20" i="2"/>
  <c r="I49" i="2"/>
  <c r="I33" i="2"/>
  <c r="I47" i="2"/>
  <c r="I23" i="3"/>
  <c r="I24" i="2"/>
  <c r="I36" i="2"/>
  <c r="I30" i="2"/>
  <c r="I52" i="2"/>
  <c r="I26" i="2"/>
  <c r="I45" i="2"/>
  <c r="I18" i="2"/>
  <c r="I37" i="2"/>
  <c r="I25" i="2"/>
  <c r="I44" i="2"/>
  <c r="I19" i="2"/>
  <c r="I41" i="2"/>
  <c r="I29" i="2"/>
  <c r="I46" i="2"/>
  <c r="I14" i="2"/>
  <c r="I42" i="2"/>
  <c r="I27" i="3"/>
  <c r="I27" i="2" s="1"/>
  <c r="I28" i="2"/>
  <c r="I39" i="2"/>
  <c r="AD11" i="2"/>
  <c r="AD9" i="3"/>
  <c r="AD9" i="2" s="1"/>
  <c r="AD10" i="2"/>
  <c r="AD8" i="2"/>
  <c r="AD21" i="2"/>
  <c r="AD13" i="2"/>
  <c r="AD12" i="2"/>
  <c r="AD6" i="3"/>
  <c r="AD6" i="2" s="1"/>
  <c r="AD7" i="2"/>
  <c r="AD5" i="2"/>
  <c r="AD14" i="2"/>
  <c r="AD41" i="2"/>
  <c r="AD29" i="2"/>
  <c r="AD50" i="2"/>
  <c r="AD4" i="2"/>
  <c r="AD37" i="2"/>
  <c r="AD27" i="3"/>
  <c r="AD27" i="2" s="1"/>
  <c r="AD28" i="2"/>
  <c r="AD46" i="2"/>
  <c r="AD30" i="2"/>
  <c r="AD48" i="2"/>
  <c r="AD23" i="3"/>
  <c r="AD24" i="2"/>
  <c r="AD39" i="2"/>
  <c r="AD31" i="2"/>
  <c r="AD49" i="2"/>
  <c r="AD17" i="2"/>
  <c r="AD35" i="2"/>
  <c r="AD53" i="2"/>
  <c r="AD32" i="2"/>
  <c r="AD51" i="2"/>
  <c r="AD25" i="2"/>
  <c r="AD47" i="2"/>
  <c r="AD33" i="2"/>
  <c r="AD52" i="2"/>
  <c r="AD20" i="2"/>
  <c r="AD36" i="2"/>
  <c r="AD18" i="2"/>
  <c r="AD38" i="2"/>
  <c r="AD34" i="2"/>
  <c r="AD45" i="2"/>
  <c r="AD19" i="2"/>
  <c r="AD44" i="2"/>
  <c r="AD26" i="2"/>
  <c r="AD42" i="2"/>
  <c r="BA12" i="2"/>
  <c r="BA11" i="2"/>
  <c r="BA9" i="3"/>
  <c r="BA9" i="2" s="1"/>
  <c r="BA10" i="2"/>
  <c r="BA21" i="2"/>
  <c r="BA13" i="2"/>
  <c r="BA6" i="3"/>
  <c r="BA6" i="2" s="1"/>
  <c r="BA7" i="2"/>
  <c r="BA5" i="2"/>
  <c r="BA8" i="2"/>
  <c r="BA34" i="2"/>
  <c r="BA51" i="2"/>
  <c r="BA26" i="2"/>
  <c r="BA52" i="2"/>
  <c r="BA18" i="2"/>
  <c r="BA36" i="2"/>
  <c r="BA25" i="2"/>
  <c r="BA48" i="2"/>
  <c r="BA19" i="2"/>
  <c r="BA41" i="2"/>
  <c r="BA29" i="2"/>
  <c r="BA50" i="2"/>
  <c r="BA14" i="2"/>
  <c r="BA42" i="2"/>
  <c r="BA27" i="3"/>
  <c r="BA27" i="2" s="1"/>
  <c r="BA28" i="2"/>
  <c r="BA44" i="2"/>
  <c r="BA4" i="2"/>
  <c r="BA38" i="2"/>
  <c r="BA17" i="2"/>
  <c r="BA35" i="2"/>
  <c r="BA53" i="2"/>
  <c r="BA31" i="2"/>
  <c r="BA39" i="2"/>
  <c r="BA30" i="2"/>
  <c r="BA49" i="2"/>
  <c r="BA32" i="2"/>
  <c r="BA46" i="2"/>
  <c r="BA20" i="2"/>
  <c r="BA37" i="2"/>
  <c r="BA33" i="2"/>
  <c r="BA47" i="2"/>
  <c r="BA23" i="3"/>
  <c r="BA24" i="2"/>
  <c r="BA45" i="2"/>
  <c r="Z11" i="2"/>
  <c r="Z9" i="3"/>
  <c r="Z9" i="2" s="1"/>
  <c r="Z10" i="2"/>
  <c r="Z8" i="2"/>
  <c r="Z21" i="2"/>
  <c r="Z13" i="2"/>
  <c r="Z12" i="2"/>
  <c r="Z6" i="3"/>
  <c r="Z6" i="2" s="1"/>
  <c r="Z7" i="2"/>
  <c r="Z5" i="2"/>
  <c r="Z31" i="2"/>
  <c r="Z45" i="2"/>
  <c r="Z20" i="2"/>
  <c r="Z48" i="2"/>
  <c r="Z32" i="2"/>
  <c r="Z49" i="2"/>
  <c r="Z23" i="3"/>
  <c r="Z24" i="2"/>
  <c r="Z39" i="2"/>
  <c r="Z33" i="2"/>
  <c r="Z52" i="2"/>
  <c r="Z26" i="2"/>
  <c r="Z42" i="2"/>
  <c r="Z18" i="2"/>
  <c r="Z35" i="2"/>
  <c r="Z25" i="2"/>
  <c r="Z51" i="2"/>
  <c r="Z19" i="2"/>
  <c r="Z38" i="2"/>
  <c r="Z27" i="3"/>
  <c r="Z27" i="2" s="1"/>
  <c r="Z28" i="2"/>
  <c r="Z46" i="2"/>
  <c r="Z14" i="2"/>
  <c r="Z41" i="2"/>
  <c r="Z34" i="2"/>
  <c r="Z47" i="2"/>
  <c r="Z4" i="2"/>
  <c r="Z37" i="2"/>
  <c r="Z17" i="2"/>
  <c r="Z36" i="2"/>
  <c r="Z53" i="2"/>
  <c r="Z30" i="2"/>
  <c r="Z44" i="2"/>
  <c r="Z29" i="2"/>
  <c r="Z50" i="2"/>
  <c r="R11" i="2"/>
  <c r="R9" i="3"/>
  <c r="R9" i="2" s="1"/>
  <c r="R10" i="2"/>
  <c r="R8" i="2"/>
  <c r="R21" i="2"/>
  <c r="R13" i="2"/>
  <c r="R12" i="2"/>
  <c r="R5" i="2"/>
  <c r="R6" i="3"/>
  <c r="R6" i="2" s="1"/>
  <c r="R7" i="2"/>
  <c r="R19" i="2"/>
  <c r="R39" i="2"/>
  <c r="R27" i="3"/>
  <c r="R27" i="2" s="1"/>
  <c r="R28" i="2"/>
  <c r="R51" i="2"/>
  <c r="R14" i="2"/>
  <c r="R49" i="2"/>
  <c r="R34" i="2"/>
  <c r="R47" i="2"/>
  <c r="R4" i="2"/>
  <c r="R37" i="2"/>
  <c r="R17" i="2"/>
  <c r="R35" i="2"/>
  <c r="R53" i="2"/>
  <c r="R30" i="2"/>
  <c r="R44" i="2"/>
  <c r="R29" i="2"/>
  <c r="R50" i="2"/>
  <c r="R31" i="2"/>
  <c r="R45" i="2"/>
  <c r="R20" i="2"/>
  <c r="R48" i="2"/>
  <c r="R32" i="2"/>
  <c r="R46" i="2"/>
  <c r="R23" i="3"/>
  <c r="R24" i="2"/>
  <c r="R38" i="2"/>
  <c r="R33" i="2"/>
  <c r="R52" i="2"/>
  <c r="R26" i="2"/>
  <c r="R42" i="2"/>
  <c r="R18" i="2"/>
  <c r="R36" i="2"/>
  <c r="R25" i="2"/>
  <c r="R41" i="2"/>
  <c r="BT21" i="2"/>
  <c r="BT13" i="2"/>
  <c r="BT6" i="3"/>
  <c r="BT6" i="2" s="1"/>
  <c r="BT7" i="2"/>
  <c r="BT5" i="2"/>
  <c r="BT12" i="2"/>
  <c r="BT11" i="2"/>
  <c r="BT9" i="3"/>
  <c r="BT9" i="2" s="1"/>
  <c r="BT10" i="2"/>
  <c r="BT8" i="2"/>
  <c r="BT29" i="2"/>
  <c r="BT46" i="2"/>
  <c r="BT20" i="2"/>
  <c r="BT35" i="2"/>
  <c r="BT30" i="2"/>
  <c r="BT47" i="2"/>
  <c r="BT18" i="2"/>
  <c r="BT42" i="2"/>
  <c r="BT26" i="2"/>
  <c r="BT44" i="2"/>
  <c r="BT23" i="3"/>
  <c r="BT24" i="2"/>
  <c r="BT45" i="2"/>
  <c r="BT17" i="2"/>
  <c r="BT37" i="2"/>
  <c r="BT53" i="2"/>
  <c r="BT25" i="2"/>
  <c r="BT51" i="2"/>
  <c r="BT19" i="2"/>
  <c r="BT36" i="2"/>
  <c r="BT33" i="2"/>
  <c r="BT41" i="2"/>
  <c r="BT14" i="2"/>
  <c r="BT49" i="2"/>
  <c r="BT32" i="2"/>
  <c r="BT39" i="2"/>
  <c r="BT4" i="2"/>
  <c r="BT38" i="2"/>
  <c r="BT31" i="2"/>
  <c r="BT48" i="2"/>
  <c r="BT27" i="3"/>
  <c r="BT27" i="2" s="1"/>
  <c r="BT28" i="2"/>
  <c r="BT50" i="2"/>
  <c r="BT34" i="2"/>
  <c r="BT52" i="2"/>
  <c r="AN21" i="2"/>
  <c r="AN13" i="2"/>
  <c r="AN6" i="3"/>
  <c r="AN6" i="2" s="1"/>
  <c r="AN7" i="2"/>
  <c r="AN5" i="2"/>
  <c r="AN12" i="2"/>
  <c r="AN11" i="2"/>
  <c r="AN9" i="3"/>
  <c r="AN9" i="2" s="1"/>
  <c r="AN10" i="2"/>
  <c r="AN8" i="2"/>
  <c r="AN30" i="2"/>
  <c r="AN52" i="2"/>
  <c r="AN25" i="2"/>
  <c r="AN38" i="2"/>
  <c r="AN26" i="2"/>
  <c r="AN48" i="2"/>
  <c r="AN20" i="2"/>
  <c r="AN35" i="2"/>
  <c r="AN17" i="2"/>
  <c r="AN37" i="2"/>
  <c r="AN53" i="2"/>
  <c r="AN32" i="2"/>
  <c r="AN46" i="2"/>
  <c r="AN19" i="2"/>
  <c r="AN36" i="2"/>
  <c r="AN23" i="3"/>
  <c r="AN24" i="2"/>
  <c r="AN50" i="2"/>
  <c r="AN14" i="2"/>
  <c r="AN49" i="2"/>
  <c r="AN34" i="2"/>
  <c r="AN44" i="2"/>
  <c r="AN4" i="2"/>
  <c r="AN45" i="2"/>
  <c r="AN33" i="2"/>
  <c r="AN47" i="2"/>
  <c r="AN27" i="3"/>
  <c r="AN27" i="2" s="1"/>
  <c r="AN28" i="2"/>
  <c r="AN39" i="2"/>
  <c r="AN18" i="2"/>
  <c r="AN42" i="2"/>
  <c r="AN29" i="2"/>
  <c r="AN41" i="2"/>
  <c r="AN31" i="2"/>
  <c r="AN51" i="2"/>
  <c r="H21" i="2"/>
  <c r="H13" i="2"/>
  <c r="H6" i="3"/>
  <c r="H6" i="2" s="1"/>
  <c r="H7" i="2"/>
  <c r="H5" i="2"/>
  <c r="H12" i="2"/>
  <c r="H11" i="2"/>
  <c r="H9" i="3"/>
  <c r="H9" i="2" s="1"/>
  <c r="H10" i="2"/>
  <c r="H8" i="2"/>
  <c r="H18" i="2"/>
  <c r="H34" i="2"/>
  <c r="H48" i="2"/>
  <c r="H26" i="2"/>
  <c r="H50" i="2"/>
  <c r="H17" i="2"/>
  <c r="H38" i="2"/>
  <c r="H53" i="2"/>
  <c r="H44" i="2"/>
  <c r="H19" i="2"/>
  <c r="H42" i="2"/>
  <c r="H29" i="2"/>
  <c r="H49" i="2"/>
  <c r="H14" i="2"/>
  <c r="H35" i="2"/>
  <c r="H27" i="3"/>
  <c r="H27" i="2" s="1"/>
  <c r="H28" i="2"/>
  <c r="H46" i="2"/>
  <c r="H4" i="2"/>
  <c r="H45" i="2"/>
  <c r="H25" i="2"/>
  <c r="H31" i="2"/>
  <c r="H51" i="2"/>
  <c r="H23" i="3"/>
  <c r="H24" i="2"/>
  <c r="H39" i="2"/>
  <c r="H30" i="2"/>
  <c r="H52" i="2"/>
  <c r="H32" i="2"/>
  <c r="H41" i="2"/>
  <c r="H20" i="2"/>
  <c r="H36" i="2"/>
  <c r="H33" i="2"/>
  <c r="H47" i="2"/>
  <c r="H37" i="2"/>
  <c r="BM12" i="2"/>
  <c r="BM11" i="2"/>
  <c r="BM9" i="3"/>
  <c r="BM9" i="2" s="1"/>
  <c r="BM10" i="2"/>
  <c r="BM8" i="2"/>
  <c r="BM21" i="2"/>
  <c r="BM13" i="2"/>
  <c r="BM6" i="3"/>
  <c r="BM6" i="2" s="1"/>
  <c r="BM7" i="2"/>
  <c r="BM5" i="2"/>
  <c r="BM31" i="2"/>
  <c r="BM39" i="2"/>
  <c r="BM23" i="3"/>
  <c r="BM24" i="2"/>
  <c r="BM36" i="2"/>
  <c r="BM32" i="2"/>
  <c r="BM46" i="2"/>
  <c r="BM18" i="2"/>
  <c r="BM35" i="2"/>
  <c r="BM53" i="2"/>
  <c r="BM33" i="2"/>
  <c r="BM50" i="2"/>
  <c r="BM25" i="2"/>
  <c r="BM49" i="2"/>
  <c r="BM34" i="2"/>
  <c r="BM52" i="2"/>
  <c r="BM20" i="2"/>
  <c r="BM42" i="2"/>
  <c r="BM17" i="2"/>
  <c r="BM37" i="2"/>
  <c r="BM27" i="3"/>
  <c r="BM27" i="2" s="1"/>
  <c r="BM28" i="2"/>
  <c r="BM48" i="2"/>
  <c r="BM19" i="2"/>
  <c r="BM41" i="2"/>
  <c r="BM26" i="2"/>
  <c r="BM45" i="2"/>
  <c r="BM14" i="2"/>
  <c r="BM44" i="2"/>
  <c r="BM30" i="2"/>
  <c r="BM51" i="2"/>
  <c r="BM4" i="2"/>
  <c r="BM38" i="2"/>
  <c r="BM29" i="2"/>
  <c r="BM47" i="2"/>
  <c r="CH11" i="2"/>
  <c r="CH9" i="3"/>
  <c r="CH9" i="2" s="1"/>
  <c r="CH10" i="2"/>
  <c r="CH8" i="2"/>
  <c r="CH21" i="2"/>
  <c r="CH13" i="2"/>
  <c r="CH12" i="2"/>
  <c r="CH5" i="2"/>
  <c r="CH6" i="3"/>
  <c r="CH6" i="2" s="1"/>
  <c r="CH7" i="2"/>
  <c r="CH23" i="3"/>
  <c r="CH24" i="2"/>
  <c r="CH36" i="2"/>
  <c r="CH31" i="2"/>
  <c r="CH45" i="2"/>
  <c r="CH20" i="2"/>
  <c r="CH44" i="2"/>
  <c r="CH34" i="2"/>
  <c r="CH42" i="2"/>
  <c r="CH25" i="2"/>
  <c r="CH47" i="2"/>
  <c r="CH33" i="2"/>
  <c r="CH52" i="2"/>
  <c r="CH30" i="2"/>
  <c r="CH37" i="2"/>
  <c r="CH32" i="2"/>
  <c r="CH51" i="2"/>
  <c r="CH26" i="2"/>
  <c r="CH48" i="2"/>
  <c r="CH19" i="2"/>
  <c r="CH38" i="2"/>
  <c r="CH27" i="3"/>
  <c r="CH27" i="2" s="1"/>
  <c r="CH28" i="2"/>
  <c r="CH46" i="2"/>
  <c r="CH17" i="2"/>
  <c r="CH35" i="2"/>
  <c r="CH29" i="2"/>
  <c r="CH50" i="2"/>
  <c r="CH4" i="2"/>
  <c r="CH49" i="2"/>
  <c r="CH18" i="2"/>
  <c r="CH39" i="2"/>
  <c r="CH53" i="2"/>
  <c r="CH14" i="2"/>
  <c r="CH41" i="2"/>
  <c r="V11" i="2"/>
  <c r="V9" i="3"/>
  <c r="V9" i="2" s="1"/>
  <c r="V10" i="2"/>
  <c r="V8" i="2"/>
  <c r="V21" i="2"/>
  <c r="V13" i="2"/>
  <c r="V12" i="2"/>
  <c r="V5" i="2"/>
  <c r="V6" i="3"/>
  <c r="V6" i="2" s="1"/>
  <c r="V7" i="2"/>
  <c r="V25" i="2"/>
  <c r="V41" i="2"/>
  <c r="V33" i="2"/>
  <c r="V52" i="2"/>
  <c r="V26" i="2"/>
  <c r="V49" i="2"/>
  <c r="V32" i="2"/>
  <c r="V46" i="2"/>
  <c r="V34" i="2"/>
  <c r="V42" i="2"/>
  <c r="V19" i="2"/>
  <c r="V38" i="2"/>
  <c r="V27" i="3"/>
  <c r="V27" i="2" s="1"/>
  <c r="V28" i="2"/>
  <c r="V45" i="2"/>
  <c r="V18" i="2"/>
  <c r="V35" i="2"/>
  <c r="V29" i="2"/>
  <c r="V50" i="2"/>
  <c r="V4" i="2"/>
  <c r="V47" i="2"/>
  <c r="V17" i="2"/>
  <c r="V39" i="2"/>
  <c r="V53" i="2"/>
  <c r="V14" i="2"/>
  <c r="V51" i="2"/>
  <c r="V23" i="3"/>
  <c r="V24" i="2"/>
  <c r="V36" i="2"/>
  <c r="V31" i="2"/>
  <c r="V48" i="2"/>
  <c r="V20" i="2"/>
  <c r="V44" i="2"/>
  <c r="V30" i="2"/>
  <c r="V37" i="2"/>
  <c r="AS12" i="2"/>
  <c r="AS11" i="2"/>
  <c r="AS9" i="3"/>
  <c r="AS9" i="2" s="1"/>
  <c r="AS10" i="2"/>
  <c r="AS21" i="2"/>
  <c r="AS13" i="2"/>
  <c r="AS6" i="3"/>
  <c r="AS6" i="2" s="1"/>
  <c r="AS7" i="2"/>
  <c r="AS5" i="2"/>
  <c r="AS8" i="2"/>
  <c r="AS25" i="2"/>
  <c r="AS48" i="2"/>
  <c r="AS34" i="2"/>
  <c r="AS51" i="2"/>
  <c r="AS26" i="2"/>
  <c r="AS49" i="2"/>
  <c r="AS33" i="2"/>
  <c r="AS47" i="2"/>
  <c r="AS27" i="3"/>
  <c r="AS27" i="2" s="1"/>
  <c r="AS28" i="2"/>
  <c r="AS44" i="2"/>
  <c r="AS19" i="2"/>
  <c r="AS36" i="2"/>
  <c r="AS29" i="2"/>
  <c r="AS46" i="2"/>
  <c r="AS18" i="2"/>
  <c r="AS41" i="2"/>
  <c r="AS30" i="2"/>
  <c r="AS52" i="2"/>
  <c r="AS4" i="2"/>
  <c r="AS38" i="2"/>
  <c r="AS17" i="2"/>
  <c r="AS35" i="2"/>
  <c r="AS53" i="2"/>
  <c r="AS14" i="2"/>
  <c r="AS42" i="2"/>
  <c r="AS23" i="3"/>
  <c r="AS24" i="2"/>
  <c r="AS37" i="2"/>
  <c r="AS32" i="2"/>
  <c r="AS50" i="2"/>
  <c r="AS20" i="2"/>
  <c r="AS45" i="2"/>
  <c r="AS31" i="2"/>
  <c r="AS39" i="2"/>
  <c r="BN11" i="2"/>
  <c r="BN9" i="3"/>
  <c r="BN9" i="2" s="1"/>
  <c r="BN10" i="2"/>
  <c r="BN8" i="2"/>
  <c r="BN21" i="2"/>
  <c r="BN13" i="2"/>
  <c r="BN12" i="2"/>
  <c r="BN5" i="2"/>
  <c r="BN6" i="3"/>
  <c r="BN6" i="2" s="1"/>
  <c r="BN7" i="2"/>
  <c r="BN18" i="2"/>
  <c r="BN35" i="2"/>
  <c r="BN53" i="2"/>
  <c r="BN34" i="2"/>
  <c r="BN49" i="2"/>
  <c r="BN23" i="3"/>
  <c r="BN24" i="2"/>
  <c r="BN38" i="2"/>
  <c r="BN4" i="2"/>
  <c r="BN42" i="2"/>
  <c r="BN20" i="2"/>
  <c r="BN48" i="2"/>
  <c r="BN32" i="2"/>
  <c r="BN51" i="2"/>
  <c r="BN25" i="2"/>
  <c r="BN37" i="2"/>
  <c r="BN31" i="2"/>
  <c r="BN45" i="2"/>
  <c r="BN30" i="2"/>
  <c r="BN44" i="2"/>
  <c r="BN17" i="2"/>
  <c r="BN36" i="2"/>
  <c r="BN26" i="2"/>
  <c r="BN47" i="2"/>
  <c r="BN33" i="2"/>
  <c r="BN52" i="2"/>
  <c r="BN27" i="3"/>
  <c r="BN27" i="2" s="1"/>
  <c r="BN28" i="2"/>
  <c r="BN46" i="2"/>
  <c r="BN14" i="2"/>
  <c r="BN41" i="2"/>
  <c r="BN29" i="2"/>
  <c r="BN50" i="2"/>
  <c r="BN19" i="2"/>
  <c r="BN39" i="2"/>
  <c r="CD11" i="2"/>
  <c r="CD9" i="3"/>
  <c r="CD9" i="2" s="1"/>
  <c r="CD10" i="2"/>
  <c r="CD8" i="2"/>
  <c r="CD21" i="2"/>
  <c r="CD13" i="2"/>
  <c r="CD12" i="2"/>
  <c r="CD5" i="2"/>
  <c r="CD6" i="3"/>
  <c r="CD6" i="2" s="1"/>
  <c r="CD7" i="2"/>
  <c r="CD33" i="2"/>
  <c r="CD52" i="2"/>
  <c r="CD30" i="2"/>
  <c r="CD42" i="2"/>
  <c r="CD17" i="2"/>
  <c r="CD36" i="2"/>
  <c r="CD25" i="2"/>
  <c r="CD41" i="2"/>
  <c r="CD19" i="2"/>
  <c r="CD39" i="2"/>
  <c r="CD27" i="3"/>
  <c r="CD27" i="2" s="1"/>
  <c r="CD28" i="2"/>
  <c r="CD45" i="2"/>
  <c r="CD14" i="2"/>
  <c r="CD49" i="2"/>
  <c r="CD26" i="2"/>
  <c r="CD51" i="2"/>
  <c r="CD4" i="2"/>
  <c r="CD37" i="2"/>
  <c r="CD18" i="2"/>
  <c r="CD35" i="2"/>
  <c r="CD53" i="2"/>
  <c r="CD34" i="2"/>
  <c r="CD44" i="2"/>
  <c r="CD29" i="2"/>
  <c r="CD50" i="2"/>
  <c r="CD31" i="2"/>
  <c r="CD47" i="2"/>
  <c r="CD20" i="2"/>
  <c r="CD48" i="2"/>
  <c r="CD32" i="2"/>
  <c r="CD46" i="2"/>
  <c r="CD23" i="3"/>
  <c r="CD24" i="2"/>
  <c r="CD38" i="2"/>
  <c r="BP21" i="2"/>
  <c r="BP13" i="2"/>
  <c r="BP6" i="3"/>
  <c r="BP6" i="2" s="1"/>
  <c r="BP7" i="2"/>
  <c r="BP5" i="2"/>
  <c r="BP12" i="2"/>
  <c r="BP11" i="2"/>
  <c r="BP9" i="3"/>
  <c r="BP9" i="2" s="1"/>
  <c r="BP10" i="2"/>
  <c r="BP8" i="2"/>
  <c r="BP27" i="3"/>
  <c r="BP27" i="2" s="1"/>
  <c r="BP28" i="2"/>
  <c r="BP41" i="2"/>
  <c r="BP18" i="2"/>
  <c r="BP37" i="2"/>
  <c r="BP29" i="2"/>
  <c r="BP51" i="2"/>
  <c r="BP31" i="2"/>
  <c r="BP52" i="2"/>
  <c r="BP30" i="2"/>
  <c r="BP49" i="2"/>
  <c r="BP25" i="2"/>
  <c r="BP50" i="2"/>
  <c r="BP26" i="2"/>
  <c r="BP48" i="2"/>
  <c r="BP20" i="2"/>
  <c r="BP36" i="2"/>
  <c r="BP17" i="2"/>
  <c r="BP42" i="2"/>
  <c r="BP53" i="2"/>
  <c r="BP32" i="2"/>
  <c r="BP45" i="2"/>
  <c r="BP19" i="2"/>
  <c r="BP35" i="2"/>
  <c r="BP23" i="3"/>
  <c r="BP24" i="2"/>
  <c r="BP39" i="2"/>
  <c r="BP14" i="2"/>
  <c r="BP46" i="2"/>
  <c r="BP34" i="2"/>
  <c r="BP44" i="2"/>
  <c r="BP4" i="2"/>
  <c r="BP38" i="2"/>
  <c r="BP33" i="2"/>
  <c r="BP47" i="2"/>
  <c r="AJ21" i="2"/>
  <c r="AJ13" i="2"/>
  <c r="AJ6" i="3"/>
  <c r="AJ6" i="2" s="1"/>
  <c r="AJ7" i="2"/>
  <c r="AJ5" i="2"/>
  <c r="AJ12" i="2"/>
  <c r="AJ11" i="2"/>
  <c r="AJ9" i="3"/>
  <c r="AJ9" i="2" s="1"/>
  <c r="AJ10" i="2"/>
  <c r="AJ8" i="2"/>
  <c r="AJ19" i="2"/>
  <c r="AJ37" i="2"/>
  <c r="AJ29" i="2"/>
  <c r="AJ47" i="2"/>
  <c r="AJ14" i="2"/>
  <c r="AJ36" i="2"/>
  <c r="AJ27" i="3"/>
  <c r="AJ27" i="2" s="1"/>
  <c r="AJ28" i="2"/>
  <c r="AJ41" i="2"/>
  <c r="AJ4" i="2"/>
  <c r="AJ38" i="2"/>
  <c r="AJ31" i="2"/>
  <c r="AJ52" i="2"/>
  <c r="AJ23" i="3"/>
  <c r="AJ24" i="2"/>
  <c r="AJ39" i="2"/>
  <c r="AJ30" i="2"/>
  <c r="AJ44" i="2"/>
  <c r="AJ32" i="2"/>
  <c r="AJ45" i="2"/>
  <c r="AJ20" i="2"/>
  <c r="AJ35" i="2"/>
  <c r="AJ33" i="2"/>
  <c r="AJ49" i="2"/>
  <c r="AJ18" i="2"/>
  <c r="AJ46" i="2"/>
  <c r="AJ34" i="2"/>
  <c r="AJ48" i="2"/>
  <c r="AJ26" i="2"/>
  <c r="AJ51" i="2"/>
  <c r="AJ17" i="2"/>
  <c r="AJ42" i="2"/>
  <c r="AJ53" i="2"/>
  <c r="AJ25" i="2"/>
  <c r="AJ50" i="2"/>
  <c r="BE12" i="2"/>
  <c r="BE11" i="2"/>
  <c r="BE9" i="3"/>
  <c r="BE9" i="2" s="1"/>
  <c r="BE10" i="2"/>
  <c r="BE21" i="2"/>
  <c r="BE13" i="2"/>
  <c r="BE6" i="3"/>
  <c r="BE6" i="2" s="1"/>
  <c r="BE7" i="2"/>
  <c r="BE5" i="2"/>
  <c r="BE8" i="2"/>
  <c r="BE25" i="2"/>
  <c r="BE44" i="2"/>
  <c r="BE34" i="2"/>
  <c r="BE52" i="2"/>
  <c r="BE26" i="2"/>
  <c r="BE45" i="2"/>
  <c r="BE33" i="2"/>
  <c r="BE47" i="2"/>
  <c r="BE27" i="3"/>
  <c r="BE27" i="2" s="1"/>
  <c r="BE28" i="2"/>
  <c r="BE48" i="2"/>
  <c r="BE19" i="2"/>
  <c r="BE41" i="2"/>
  <c r="BE29" i="2"/>
  <c r="BE49" i="2"/>
  <c r="BE18" i="2"/>
  <c r="BE37" i="2"/>
  <c r="BE30" i="2"/>
  <c r="BE51" i="2"/>
  <c r="BE4" i="2"/>
  <c r="BE38" i="2"/>
  <c r="BE17" i="2"/>
  <c r="BE35" i="2"/>
  <c r="BE53" i="2"/>
  <c r="BE14" i="2"/>
  <c r="BE42" i="2"/>
  <c r="BE23" i="3"/>
  <c r="BE24" i="2"/>
  <c r="BE36" i="2"/>
  <c r="BE32" i="2"/>
  <c r="BE46" i="2"/>
  <c r="BE20" i="2"/>
  <c r="BE50" i="2"/>
  <c r="BE31" i="2"/>
  <c r="BE39" i="2"/>
  <c r="BZ11" i="2"/>
  <c r="BZ9" i="3"/>
  <c r="BZ9" i="2" s="1"/>
  <c r="BZ10" i="2"/>
  <c r="BZ8" i="2"/>
  <c r="BZ21" i="2"/>
  <c r="BZ13" i="2"/>
  <c r="BZ12" i="2"/>
  <c r="BZ6" i="3"/>
  <c r="BZ6" i="2" s="1"/>
  <c r="BZ7" i="2"/>
  <c r="BZ5" i="2"/>
  <c r="BZ20" i="2"/>
  <c r="BZ36" i="2"/>
  <c r="BZ32" i="2"/>
  <c r="BZ46" i="2"/>
  <c r="BZ25" i="2"/>
  <c r="BZ47" i="2"/>
  <c r="BZ31" i="2"/>
  <c r="BZ45" i="2"/>
  <c r="BZ30" i="2"/>
  <c r="BZ37" i="2"/>
  <c r="BZ18" i="2"/>
  <c r="BZ35" i="2"/>
  <c r="BZ26" i="2"/>
  <c r="BZ48" i="2"/>
  <c r="BZ33" i="2"/>
  <c r="BZ52" i="2"/>
  <c r="BZ27" i="3"/>
  <c r="BZ27" i="2" s="1"/>
  <c r="BZ28" i="2"/>
  <c r="BZ49" i="2"/>
  <c r="BZ14" i="2"/>
  <c r="BZ41" i="2"/>
  <c r="BZ29" i="2"/>
  <c r="BZ50" i="2"/>
  <c r="BZ19" i="2"/>
  <c r="BZ39" i="2"/>
  <c r="BZ17" i="2"/>
  <c r="BZ44" i="2"/>
  <c r="BZ53" i="2"/>
  <c r="BZ34" i="2"/>
  <c r="BZ42" i="2"/>
  <c r="BZ23" i="3"/>
  <c r="BZ24" i="2"/>
  <c r="BZ38" i="2"/>
  <c r="BZ4" i="2"/>
  <c r="BZ51" i="2"/>
  <c r="N11" i="2"/>
  <c r="N9" i="3"/>
  <c r="N9" i="2" s="1"/>
  <c r="N10" i="2"/>
  <c r="N8" i="2"/>
  <c r="N21" i="2"/>
  <c r="N13" i="2"/>
  <c r="N12" i="2"/>
  <c r="N6" i="3"/>
  <c r="N6" i="2" s="1"/>
  <c r="N7" i="2"/>
  <c r="N5" i="2"/>
  <c r="N29" i="2"/>
  <c r="N50" i="2"/>
  <c r="N4" i="2"/>
  <c r="N37" i="2"/>
  <c r="N17" i="2"/>
  <c r="N38" i="2"/>
  <c r="N53" i="2"/>
  <c r="N14" i="2"/>
  <c r="N41" i="2"/>
  <c r="N23" i="3"/>
  <c r="N24" i="2"/>
  <c r="N35" i="2"/>
  <c r="N31" i="2"/>
  <c r="N49" i="2"/>
  <c r="N20" i="2"/>
  <c r="N36" i="2"/>
  <c r="N30" i="2"/>
  <c r="N48" i="2"/>
  <c r="N25" i="2"/>
  <c r="N47" i="2"/>
  <c r="N33" i="2"/>
  <c r="N52" i="2"/>
  <c r="N26" i="2"/>
  <c r="N42" i="2"/>
  <c r="N32" i="2"/>
  <c r="N51" i="2"/>
  <c r="N34" i="2"/>
  <c r="N45" i="2"/>
  <c r="N19" i="2"/>
  <c r="N39" i="2"/>
  <c r="N27" i="3"/>
  <c r="N27" i="2" s="1"/>
  <c r="N28" i="2"/>
  <c r="N46" i="2"/>
  <c r="N18" i="2"/>
  <c r="N44" i="2"/>
  <c r="AK12" i="2"/>
  <c r="AK11" i="2"/>
  <c r="AK9" i="3"/>
  <c r="AK9" i="2" s="1"/>
  <c r="AK10" i="2"/>
  <c r="AK21" i="2"/>
  <c r="AK13" i="2"/>
  <c r="AK6" i="3"/>
  <c r="AK6" i="2" s="1"/>
  <c r="AK7" i="2"/>
  <c r="AK5" i="2"/>
  <c r="AK8" i="2"/>
  <c r="AK17" i="2"/>
  <c r="AK35" i="2"/>
  <c r="AK53" i="2"/>
  <c r="AK31" i="2"/>
  <c r="AK39" i="2"/>
  <c r="AK23" i="3"/>
  <c r="AK24" i="2"/>
  <c r="AK41" i="2"/>
  <c r="AK4" i="2"/>
  <c r="AK48" i="2"/>
  <c r="AK20" i="2"/>
  <c r="AK37" i="2"/>
  <c r="AK33" i="2"/>
  <c r="AK47" i="2"/>
  <c r="AK25" i="2"/>
  <c r="AK42" i="2"/>
  <c r="AK32" i="2"/>
  <c r="AK46" i="2"/>
  <c r="AK26" i="2"/>
  <c r="AK38" i="2"/>
  <c r="AK18" i="2"/>
  <c r="AK36" i="2"/>
  <c r="AK27" i="3"/>
  <c r="AK27" i="2" s="1"/>
  <c r="AK28" i="2"/>
  <c r="AK44" i="2"/>
  <c r="AK34" i="2"/>
  <c r="AK51" i="2"/>
  <c r="AK29" i="2"/>
  <c r="AK50" i="2"/>
  <c r="AK14" i="2"/>
  <c r="AK52" i="2"/>
  <c r="AK30" i="2"/>
  <c r="AK49" i="2"/>
  <c r="AK19" i="2"/>
  <c r="AK45" i="2"/>
  <c r="AH11" i="2"/>
  <c r="AH9" i="3"/>
  <c r="AH9" i="2" s="1"/>
  <c r="AH10" i="2"/>
  <c r="AH8" i="2"/>
  <c r="AH21" i="2"/>
  <c r="AH13" i="2"/>
  <c r="AH12" i="2"/>
  <c r="AH5" i="2"/>
  <c r="AH6" i="3"/>
  <c r="AH6" i="2" s="1"/>
  <c r="AH7" i="2"/>
  <c r="AH23" i="3"/>
  <c r="AH24" i="2"/>
  <c r="AH38" i="2"/>
  <c r="AH31" i="2"/>
  <c r="AH45" i="2"/>
  <c r="AH20" i="2"/>
  <c r="AH48" i="2"/>
  <c r="AH30" i="2"/>
  <c r="AH49" i="2"/>
  <c r="AH25" i="2"/>
  <c r="AH37" i="2"/>
  <c r="AH33" i="2"/>
  <c r="AH52" i="2"/>
  <c r="AH26" i="2"/>
  <c r="AH44" i="2"/>
  <c r="AH32" i="2"/>
  <c r="AH46" i="2"/>
  <c r="AH34" i="2"/>
  <c r="AH47" i="2"/>
  <c r="AH19" i="2"/>
  <c r="AH39" i="2"/>
  <c r="AH27" i="3"/>
  <c r="AH27" i="2" s="1"/>
  <c r="AH28" i="2"/>
  <c r="AH51" i="2"/>
  <c r="AH17" i="2"/>
  <c r="AH36" i="2"/>
  <c r="AH29" i="2"/>
  <c r="AH50" i="2"/>
  <c r="AH4" i="2"/>
  <c r="AH42" i="2"/>
  <c r="AH18" i="2"/>
  <c r="AH35" i="2"/>
  <c r="AH53" i="2"/>
  <c r="AH14" i="2"/>
  <c r="AH41" i="2"/>
  <c r="CB21" i="2"/>
  <c r="CB13" i="2"/>
  <c r="CB6" i="3"/>
  <c r="CB6" i="2" s="1"/>
  <c r="CB7" i="2"/>
  <c r="CB5" i="2"/>
  <c r="CB12" i="2"/>
  <c r="CB11" i="2"/>
  <c r="CB9" i="3"/>
  <c r="CB9" i="2" s="1"/>
  <c r="CB10" i="2"/>
  <c r="CB8" i="2"/>
  <c r="CB19" i="2"/>
  <c r="CB37" i="2"/>
  <c r="CB33" i="2"/>
  <c r="CB50" i="2"/>
  <c r="CB14" i="2"/>
  <c r="CB38" i="2"/>
  <c r="CB32" i="2"/>
  <c r="CB41" i="2"/>
  <c r="CB4" i="2"/>
  <c r="CB52" i="2"/>
  <c r="CB31" i="2"/>
  <c r="CB51" i="2"/>
  <c r="CB27" i="3"/>
  <c r="CB27" i="2" s="1"/>
  <c r="CB28" i="2"/>
  <c r="CB46" i="2"/>
  <c r="CB34" i="2"/>
  <c r="CB48" i="2"/>
  <c r="CB29" i="2"/>
  <c r="CB47" i="2"/>
  <c r="CB20" i="2"/>
  <c r="CB42" i="2"/>
  <c r="CB30" i="2"/>
  <c r="CB44" i="2"/>
  <c r="CB18" i="2"/>
  <c r="CB35" i="2"/>
  <c r="CB26" i="2"/>
  <c r="CB49" i="2"/>
  <c r="CB23" i="3"/>
  <c r="CB24" i="2"/>
  <c r="CB39" i="2"/>
  <c r="CB17" i="2"/>
  <c r="CB36" i="2"/>
  <c r="CB53" i="2"/>
  <c r="CB25" i="2"/>
  <c r="CB45" i="2"/>
  <c r="AV21" i="2"/>
  <c r="AV13" i="2"/>
  <c r="AV6" i="3"/>
  <c r="AV6" i="2" s="1"/>
  <c r="AV7" i="2"/>
  <c r="AV5" i="2"/>
  <c r="AV12" i="2"/>
  <c r="AV11" i="2"/>
  <c r="AV9" i="3"/>
  <c r="AV9" i="2" s="1"/>
  <c r="AV10" i="2"/>
  <c r="AV8" i="2"/>
  <c r="AV14" i="2"/>
  <c r="AV38" i="2"/>
  <c r="AV34" i="2"/>
  <c r="AV44" i="2"/>
  <c r="AV4" i="2"/>
  <c r="AV52" i="2"/>
  <c r="AV33" i="2"/>
  <c r="AV47" i="2"/>
  <c r="AV27" i="3"/>
  <c r="AV27" i="2" s="1"/>
  <c r="AV28" i="2"/>
  <c r="AV46" i="2"/>
  <c r="AV18" i="2"/>
  <c r="AV35" i="2"/>
  <c r="AV29" i="2"/>
  <c r="AV41" i="2"/>
  <c r="AV31" i="2"/>
  <c r="AV49" i="2"/>
  <c r="AV30" i="2"/>
  <c r="AV50" i="2"/>
  <c r="AV25" i="2"/>
  <c r="AV45" i="2"/>
  <c r="AV26" i="2"/>
  <c r="AV48" i="2"/>
  <c r="AV20" i="2"/>
  <c r="AV42" i="2"/>
  <c r="AV17" i="2"/>
  <c r="AV36" i="2"/>
  <c r="AV53" i="2"/>
  <c r="AV32" i="2"/>
  <c r="AV51" i="2"/>
  <c r="AV19" i="2"/>
  <c r="AV37" i="2"/>
  <c r="AV23" i="3"/>
  <c r="AV24" i="2"/>
  <c r="AV39" i="2"/>
  <c r="P21" i="2"/>
  <c r="P13" i="2"/>
  <c r="P6" i="3"/>
  <c r="P6" i="2" s="1"/>
  <c r="P7" i="2"/>
  <c r="P5" i="2"/>
  <c r="P12" i="2"/>
  <c r="P11" i="2"/>
  <c r="P9" i="3"/>
  <c r="P9" i="2" s="1"/>
  <c r="P10" i="2"/>
  <c r="P8" i="2"/>
  <c r="P4" i="2"/>
  <c r="P52" i="2"/>
  <c r="P31" i="2"/>
  <c r="P49" i="2"/>
  <c r="P23" i="3"/>
  <c r="P24" i="2"/>
  <c r="P46" i="2"/>
  <c r="P30" i="2"/>
  <c r="P44" i="2"/>
  <c r="P32" i="2"/>
  <c r="P41" i="2"/>
  <c r="P20" i="2"/>
  <c r="P37" i="2"/>
  <c r="P33" i="2"/>
  <c r="P50" i="2"/>
  <c r="P18" i="2"/>
  <c r="P38" i="2"/>
  <c r="P34" i="2"/>
  <c r="P48" i="2"/>
  <c r="P26" i="2"/>
  <c r="P39" i="2"/>
  <c r="P17" i="2"/>
  <c r="P36" i="2"/>
  <c r="P53" i="2"/>
  <c r="P25" i="2"/>
  <c r="P45" i="2"/>
  <c r="P19" i="2"/>
  <c r="P35" i="2"/>
  <c r="P29" i="2"/>
  <c r="P47" i="2"/>
  <c r="P14" i="2"/>
  <c r="P42" i="2"/>
  <c r="P27" i="3"/>
  <c r="P27" i="2" s="1"/>
  <c r="P28" i="2"/>
  <c r="P51" i="2"/>
  <c r="BO9" i="3"/>
  <c r="BO9" i="2" s="1"/>
  <c r="BO10" i="2"/>
  <c r="BO8" i="2"/>
  <c r="BO21" i="2"/>
  <c r="BO13" i="2"/>
  <c r="BO6" i="3"/>
  <c r="BO6" i="2" s="1"/>
  <c r="BO7" i="2"/>
  <c r="BO5" i="2"/>
  <c r="BO12" i="2"/>
  <c r="BO11" i="2"/>
  <c r="BO23" i="3"/>
  <c r="BO24" i="2"/>
  <c r="BO39" i="2"/>
  <c r="BO31" i="2"/>
  <c r="BO49" i="2"/>
  <c r="BO20" i="2"/>
  <c r="BO41" i="2"/>
  <c r="BO30" i="2"/>
  <c r="BO48" i="2"/>
  <c r="BO25" i="2"/>
  <c r="BO46" i="2"/>
  <c r="BO17" i="2"/>
  <c r="BO37" i="2"/>
  <c r="BO33" i="2"/>
  <c r="BO44" i="2"/>
  <c r="BO32" i="2"/>
  <c r="BO52" i="2"/>
  <c r="BO34" i="2"/>
  <c r="BO45" i="2"/>
  <c r="BO19" i="2"/>
  <c r="BO36" i="2"/>
  <c r="BO27" i="3"/>
  <c r="BO27" i="2" s="1"/>
  <c r="BO28" i="2"/>
  <c r="BO51" i="2"/>
  <c r="BO26" i="2"/>
  <c r="BO47" i="2"/>
  <c r="BO18" i="2"/>
  <c r="BO38" i="2"/>
  <c r="BO53" i="2"/>
  <c r="BO29" i="2"/>
  <c r="BO50" i="2"/>
  <c r="BO4" i="2"/>
  <c r="BO35" i="2"/>
  <c r="BO14" i="2"/>
  <c r="BO42" i="2"/>
  <c r="AI9" i="3"/>
  <c r="AI9" i="2" s="1"/>
  <c r="AI10" i="2"/>
  <c r="AI8" i="2"/>
  <c r="AI21" i="2"/>
  <c r="AI13" i="2"/>
  <c r="AI6" i="3"/>
  <c r="AI6" i="2" s="1"/>
  <c r="AI7" i="2"/>
  <c r="AI5" i="2"/>
  <c r="AI12" i="2"/>
  <c r="AI11" i="2"/>
  <c r="AI20" i="2"/>
  <c r="AI41" i="2"/>
  <c r="AI32" i="2"/>
  <c r="AI52" i="2"/>
  <c r="AI25" i="2"/>
  <c r="AI46" i="2"/>
  <c r="AI31" i="2"/>
  <c r="AI51" i="2"/>
  <c r="AI33" i="2"/>
  <c r="AI44" i="2"/>
  <c r="AI26" i="2"/>
  <c r="AI47" i="2"/>
  <c r="AI34" i="2"/>
  <c r="AI45" i="2"/>
  <c r="AI17" i="2"/>
  <c r="AI37" i="2"/>
  <c r="AI27" i="3"/>
  <c r="AI27" i="2" s="1"/>
  <c r="AI28" i="2"/>
  <c r="AI49" i="2"/>
  <c r="AI14" i="2"/>
  <c r="AI42" i="2"/>
  <c r="AI18" i="2"/>
  <c r="AI38" i="2"/>
  <c r="AI53" i="2"/>
  <c r="AI19" i="2"/>
  <c r="AI36" i="2"/>
  <c r="AI4" i="2"/>
  <c r="AI35" i="2"/>
  <c r="AI30" i="2"/>
  <c r="AI48" i="2"/>
  <c r="AI23" i="3"/>
  <c r="AI24" i="2"/>
  <c r="AI39" i="2"/>
  <c r="AI29" i="2"/>
  <c r="AI50" i="2"/>
  <c r="CC12" i="2"/>
  <c r="CC11" i="2"/>
  <c r="CC9" i="3"/>
  <c r="CC9" i="2" s="1"/>
  <c r="CC10" i="2"/>
  <c r="CC8" i="2"/>
  <c r="CC21" i="2"/>
  <c r="CC13" i="2"/>
  <c r="CC6" i="3"/>
  <c r="CC6" i="2" s="1"/>
  <c r="CC7" i="2"/>
  <c r="CC5" i="2"/>
  <c r="CC26" i="2"/>
  <c r="CC39" i="2"/>
  <c r="CC17" i="2"/>
  <c r="CC37" i="2"/>
  <c r="CC27" i="3"/>
  <c r="CC27" i="2" s="1"/>
  <c r="CC28" i="2"/>
  <c r="CC49" i="2"/>
  <c r="CC34" i="2"/>
  <c r="CC52" i="2"/>
  <c r="CC29" i="2"/>
  <c r="CC47" i="2"/>
  <c r="CC14" i="2"/>
  <c r="CC44" i="2"/>
  <c r="CC30" i="2"/>
  <c r="CC51" i="2"/>
  <c r="CC19" i="2"/>
  <c r="CC41" i="2"/>
  <c r="CC18" i="2"/>
  <c r="CC35" i="2"/>
  <c r="CC53" i="2"/>
  <c r="CC31" i="2"/>
  <c r="CC48" i="2"/>
  <c r="CC23" i="3"/>
  <c r="CC24" i="2"/>
  <c r="CC36" i="2"/>
  <c r="CC4" i="2"/>
  <c r="CC45" i="2"/>
  <c r="CC20" i="2"/>
  <c r="CC42" i="2"/>
  <c r="CC33" i="2"/>
  <c r="CC50" i="2"/>
  <c r="CC25" i="2"/>
  <c r="CC38" i="2"/>
  <c r="CC32" i="2"/>
  <c r="CC46" i="2"/>
  <c r="Q12" i="2"/>
  <c r="Q11" i="2"/>
  <c r="Q9" i="3"/>
  <c r="Q9" i="2" s="1"/>
  <c r="Q10" i="2"/>
  <c r="Q21" i="2"/>
  <c r="Q13" i="2"/>
  <c r="Q6" i="3"/>
  <c r="Q6" i="2" s="1"/>
  <c r="Q7" i="2"/>
  <c r="Q5" i="2"/>
  <c r="Q8" i="2"/>
  <c r="Q32" i="2"/>
  <c r="Q47" i="2"/>
  <c r="Q14" i="2"/>
  <c r="Q44" i="2"/>
  <c r="Q33" i="2"/>
  <c r="Q51" i="2"/>
  <c r="Q19" i="2"/>
  <c r="Q41" i="2"/>
  <c r="Q17" i="2"/>
  <c r="Q34" i="2"/>
  <c r="Q53" i="2"/>
  <c r="Q31" i="2"/>
  <c r="Q48" i="2"/>
  <c r="Q23" i="3"/>
  <c r="Q24" i="2"/>
  <c r="Q36" i="2"/>
  <c r="Q4" i="2"/>
  <c r="Q45" i="2"/>
  <c r="Q20" i="2"/>
  <c r="Q42" i="2"/>
  <c r="Q29" i="2"/>
  <c r="Q50" i="2"/>
  <c r="Q25" i="2"/>
  <c r="Q38" i="2"/>
  <c r="Q27" i="3"/>
  <c r="Q27" i="2" s="1"/>
  <c r="Q28" i="2"/>
  <c r="Q46" i="2"/>
  <c r="Q26" i="2"/>
  <c r="Q39" i="2"/>
  <c r="Q18" i="2"/>
  <c r="Q37" i="2"/>
  <c r="Q35" i="2"/>
  <c r="Q49" i="2"/>
  <c r="Q30" i="2"/>
  <c r="Q52" i="2"/>
  <c r="AL11" i="2"/>
  <c r="AL9" i="3"/>
  <c r="AL9" i="2" s="1"/>
  <c r="AL10" i="2"/>
  <c r="AL8" i="2"/>
  <c r="AL21" i="2"/>
  <c r="AL13" i="2"/>
  <c r="AL12" i="2"/>
  <c r="AL5" i="2"/>
  <c r="AL6" i="3"/>
  <c r="AL6" i="2" s="1"/>
  <c r="AL7" i="2"/>
  <c r="AL14" i="2"/>
  <c r="AL41" i="2"/>
  <c r="AL29" i="2"/>
  <c r="AL50" i="2"/>
  <c r="AL4" i="2"/>
  <c r="AL37" i="2"/>
  <c r="AL27" i="3"/>
  <c r="AL27" i="2" s="1"/>
  <c r="AL28" i="2"/>
  <c r="AL45" i="2"/>
  <c r="AL30" i="2"/>
  <c r="AL48" i="2"/>
  <c r="AL23" i="3"/>
  <c r="AL24" i="2"/>
  <c r="AL36" i="2"/>
  <c r="AL31" i="2"/>
  <c r="AL49" i="2"/>
  <c r="AL18" i="2"/>
  <c r="AL39" i="2"/>
  <c r="AL53" i="2"/>
  <c r="AL32" i="2"/>
  <c r="AL46" i="2"/>
  <c r="AL25" i="2"/>
  <c r="AL47" i="2"/>
  <c r="AL33" i="2"/>
  <c r="AL52" i="2"/>
  <c r="AL20" i="2"/>
  <c r="AL44" i="2"/>
  <c r="AL17" i="2"/>
  <c r="AL35" i="2"/>
  <c r="AL34" i="2"/>
  <c r="AL51" i="2"/>
  <c r="AL19" i="2"/>
  <c r="AL38" i="2"/>
  <c r="AL26" i="2"/>
  <c r="AL42" i="2"/>
  <c r="BI12" i="2"/>
  <c r="BI11" i="2"/>
  <c r="BI9" i="3"/>
  <c r="BI9" i="2" s="1"/>
  <c r="BI10" i="2"/>
  <c r="BI21" i="2"/>
  <c r="BI13" i="2"/>
  <c r="BI6" i="3"/>
  <c r="BI6" i="2" s="1"/>
  <c r="BI7" i="2"/>
  <c r="BI5" i="2"/>
  <c r="BI8" i="2"/>
  <c r="BI14" i="2"/>
  <c r="BI49" i="2"/>
  <c r="BI30" i="2"/>
  <c r="BI47" i="2"/>
  <c r="BI4" i="2"/>
  <c r="BI48" i="2"/>
  <c r="BI29" i="2"/>
  <c r="BI44" i="2"/>
  <c r="BI31" i="2"/>
  <c r="BI38" i="2"/>
  <c r="BI23" i="3"/>
  <c r="BI24" i="2"/>
  <c r="BI37" i="2"/>
  <c r="BI32" i="2"/>
  <c r="BI39" i="2"/>
  <c r="BI17" i="2"/>
  <c r="BI35" i="2"/>
  <c r="BI53" i="2"/>
  <c r="BI33" i="2"/>
  <c r="BI46" i="2"/>
  <c r="BI25" i="2"/>
  <c r="BI42" i="2"/>
  <c r="BI34" i="2"/>
  <c r="BI52" i="2"/>
  <c r="BI20" i="2"/>
  <c r="BI36" i="2"/>
  <c r="BI18" i="2"/>
  <c r="BI41" i="2"/>
  <c r="BI27" i="3"/>
  <c r="BI27" i="2" s="1"/>
  <c r="BI28" i="2"/>
  <c r="BI51" i="2"/>
  <c r="BI19" i="2"/>
  <c r="BI45" i="2"/>
  <c r="BI26" i="2"/>
  <c r="BI50" i="2"/>
  <c r="BF11" i="2"/>
  <c r="BF9" i="3"/>
  <c r="BF9" i="2" s="1"/>
  <c r="BF10" i="2"/>
  <c r="BF8" i="2"/>
  <c r="BF21" i="2"/>
  <c r="BF13" i="2"/>
  <c r="BF12" i="2"/>
  <c r="BF6" i="3"/>
  <c r="BF6" i="2" s="1"/>
  <c r="BF7" i="2"/>
  <c r="BF5" i="2"/>
  <c r="BF34" i="2"/>
  <c r="BF47" i="2"/>
  <c r="BF23" i="3"/>
  <c r="BF24" i="2"/>
  <c r="BF39" i="2"/>
  <c r="BF31" i="2"/>
  <c r="BF46" i="2"/>
  <c r="BF17" i="2"/>
  <c r="BF36" i="2"/>
  <c r="BF53" i="2"/>
  <c r="BF32" i="2"/>
  <c r="BF50" i="2"/>
  <c r="BF25" i="2"/>
  <c r="BF37" i="2"/>
  <c r="BF33" i="2"/>
  <c r="BF52" i="2"/>
  <c r="BF20" i="2"/>
  <c r="BF48" i="2"/>
  <c r="BF18" i="2"/>
  <c r="BF35" i="2"/>
  <c r="BF26" i="2"/>
  <c r="BF45" i="2"/>
  <c r="BF19" i="2"/>
  <c r="BF38" i="2"/>
  <c r="BF30" i="2"/>
  <c r="BF44" i="2"/>
  <c r="BF14" i="2"/>
  <c r="BF41" i="2"/>
  <c r="BF29" i="2"/>
  <c r="BF51" i="2"/>
  <c r="BF4" i="2"/>
  <c r="BF42" i="2"/>
  <c r="BF27" i="3"/>
  <c r="BF27" i="2" s="1"/>
  <c r="BF28" i="2"/>
  <c r="BF49" i="2"/>
  <c r="AE9" i="3"/>
  <c r="AE9" i="2" s="1"/>
  <c r="AE10" i="2"/>
  <c r="AE8" i="2"/>
  <c r="AE21" i="2"/>
  <c r="AE13" i="2"/>
  <c r="AE6" i="3"/>
  <c r="AE6" i="2" s="1"/>
  <c r="AE7" i="2"/>
  <c r="AE5" i="2"/>
  <c r="AE12" i="2"/>
  <c r="AE11" i="2"/>
  <c r="AE17" i="2"/>
  <c r="AE35" i="2"/>
  <c r="AE53" i="2"/>
  <c r="AE29" i="2"/>
  <c r="AE42" i="2"/>
  <c r="AE4" i="2"/>
  <c r="AE38" i="2"/>
  <c r="AE14" i="2"/>
  <c r="AE47" i="2"/>
  <c r="AE23" i="3"/>
  <c r="AE24" i="2"/>
  <c r="AE46" i="2"/>
  <c r="AE31" i="2"/>
  <c r="AE45" i="2"/>
  <c r="AE20" i="2"/>
  <c r="AE41" i="2"/>
  <c r="AE30" i="2"/>
  <c r="AE44" i="2"/>
  <c r="AE25" i="2"/>
  <c r="AE50" i="2"/>
  <c r="AE18" i="2"/>
  <c r="AE37" i="2"/>
  <c r="AE33" i="2"/>
  <c r="AE51" i="2"/>
  <c r="AE32" i="2"/>
  <c r="AE52" i="2"/>
  <c r="AE34" i="2"/>
  <c r="AE48" i="2"/>
  <c r="AE19" i="2"/>
  <c r="AE36" i="2"/>
  <c r="AE27" i="3"/>
  <c r="AE27" i="2" s="1"/>
  <c r="AE28" i="2"/>
  <c r="AE49" i="2"/>
  <c r="AE26" i="2"/>
  <c r="AE39" i="2"/>
  <c r="BG9" i="3"/>
  <c r="BG9" i="2" s="1"/>
  <c r="BG10" i="2"/>
  <c r="BG8" i="2"/>
  <c r="BG21" i="2"/>
  <c r="BG13" i="2"/>
  <c r="BG6" i="3"/>
  <c r="BG6" i="2" s="1"/>
  <c r="BG7" i="2"/>
  <c r="BG5" i="2"/>
  <c r="BG12" i="2"/>
  <c r="BG11" i="2"/>
  <c r="BG30" i="2"/>
  <c r="BG50" i="2"/>
  <c r="BG19" i="2"/>
  <c r="BG39" i="2"/>
  <c r="BG31" i="2"/>
  <c r="BG49" i="2"/>
  <c r="BG4" i="2"/>
  <c r="BG37" i="2"/>
  <c r="BG32" i="2"/>
  <c r="BG52" i="2"/>
  <c r="BG26" i="2"/>
  <c r="BG46" i="2"/>
  <c r="BG17" i="2"/>
  <c r="BG35" i="2"/>
  <c r="BG14" i="2"/>
  <c r="BG41" i="2"/>
  <c r="BG23" i="3"/>
  <c r="BG24" i="2"/>
  <c r="BG47" i="2"/>
  <c r="BG34" i="2"/>
  <c r="BG45" i="2"/>
  <c r="BG20" i="2"/>
  <c r="BG36" i="2"/>
  <c r="BG33" i="2"/>
  <c r="BG48" i="2"/>
  <c r="BG25" i="2"/>
  <c r="BG42" i="2"/>
  <c r="BG18" i="2"/>
  <c r="BG38" i="2"/>
  <c r="BG53" i="2"/>
  <c r="BG29" i="2"/>
  <c r="BG44" i="2"/>
  <c r="BG27" i="3"/>
  <c r="BG27" i="2" s="1"/>
  <c r="BG28" i="2"/>
  <c r="BG51" i="2"/>
  <c r="AA9" i="3"/>
  <c r="AA9" i="2" s="1"/>
  <c r="AA10" i="2"/>
  <c r="AA8" i="2"/>
  <c r="AA21" i="2"/>
  <c r="AA13" i="2"/>
  <c r="AA6" i="3"/>
  <c r="AA6" i="2" s="1"/>
  <c r="AA7" i="2"/>
  <c r="AA5" i="2"/>
  <c r="AA12" i="2"/>
  <c r="AA11" i="2"/>
  <c r="AA31" i="2"/>
  <c r="AA45" i="2"/>
  <c r="AA20" i="2"/>
  <c r="AA41" i="2"/>
  <c r="AA32" i="2"/>
  <c r="AA52" i="2"/>
  <c r="AA23" i="3"/>
  <c r="AA24" i="2"/>
  <c r="AA39" i="2"/>
  <c r="AA18" i="2"/>
  <c r="AA35" i="2"/>
  <c r="AA33" i="2"/>
  <c r="AA44" i="2"/>
  <c r="AA26" i="2"/>
  <c r="AA47" i="2"/>
  <c r="AA25" i="2"/>
  <c r="AA42" i="2"/>
  <c r="AA19" i="2"/>
  <c r="AA36" i="2"/>
  <c r="AA27" i="3"/>
  <c r="AA27" i="2" s="1"/>
  <c r="AA28" i="2"/>
  <c r="AA49" i="2"/>
  <c r="AA14" i="2"/>
  <c r="AA51" i="2"/>
  <c r="AA34" i="2"/>
  <c r="AA50" i="2"/>
  <c r="AA29" i="2"/>
  <c r="AA46" i="2"/>
  <c r="AA4" i="2"/>
  <c r="AA37" i="2"/>
  <c r="AA30" i="2"/>
  <c r="AA48" i="2"/>
  <c r="AA17" i="2"/>
  <c r="AA38" i="2"/>
  <c r="AA53" i="2"/>
  <c r="CI9" i="3"/>
  <c r="CI9" i="2" s="1"/>
  <c r="CI10" i="2"/>
  <c r="CI8" i="2"/>
  <c r="CI21" i="2"/>
  <c r="CI13" i="2"/>
  <c r="CI6" i="3"/>
  <c r="CI6" i="2" s="1"/>
  <c r="CI7" i="2"/>
  <c r="CI5" i="2"/>
  <c r="CI12" i="2"/>
  <c r="CI11" i="2"/>
  <c r="CI4" i="2"/>
  <c r="CI38" i="2"/>
  <c r="CI34" i="2"/>
  <c r="CI45" i="2"/>
  <c r="CI19" i="2"/>
  <c r="CI46" i="2"/>
  <c r="CI33" i="2"/>
  <c r="CI44" i="2"/>
  <c r="CI14" i="2"/>
  <c r="CI41" i="2"/>
  <c r="CI32" i="2"/>
  <c r="CI52" i="2"/>
  <c r="CI29" i="2"/>
  <c r="CI42" i="2"/>
  <c r="CI31" i="2"/>
  <c r="CI49" i="2"/>
  <c r="CI30" i="2"/>
  <c r="CI48" i="2"/>
  <c r="CI23" i="3"/>
  <c r="CI24" i="2"/>
  <c r="CI39" i="2"/>
  <c r="CI26" i="2"/>
  <c r="CI50" i="2"/>
  <c r="CI17" i="2"/>
  <c r="CI35" i="2"/>
  <c r="CI27" i="3"/>
  <c r="CI27" i="2" s="1"/>
  <c r="CI28" i="2"/>
  <c r="CI51" i="2"/>
  <c r="CI25" i="2"/>
  <c r="CI47" i="2"/>
  <c r="CI18" i="2"/>
  <c r="CI37" i="2"/>
  <c r="CI53" i="2"/>
  <c r="CI20" i="2"/>
  <c r="CI36" i="2"/>
  <c r="BC9" i="3"/>
  <c r="BC9" i="2" s="1"/>
  <c r="BC10" i="2"/>
  <c r="BC8" i="2"/>
  <c r="BC21" i="2"/>
  <c r="BC13" i="2"/>
  <c r="BC6" i="3"/>
  <c r="BC6" i="2" s="1"/>
  <c r="BC7" i="2"/>
  <c r="BC5" i="2"/>
  <c r="BC12" i="2"/>
  <c r="BC11" i="2"/>
  <c r="BC30" i="2"/>
  <c r="BC45" i="2"/>
  <c r="BC26" i="2"/>
  <c r="BC46" i="2"/>
  <c r="BC31" i="2"/>
  <c r="BC49" i="2"/>
  <c r="BC4" i="2"/>
  <c r="BC38" i="2"/>
  <c r="BC32" i="2"/>
  <c r="BC52" i="2"/>
  <c r="BC25" i="2"/>
  <c r="BC42" i="2"/>
  <c r="BC17" i="2"/>
  <c r="BC35" i="2"/>
  <c r="BC20" i="2"/>
  <c r="BC41" i="2"/>
  <c r="BC23" i="3"/>
  <c r="BC24" i="2"/>
  <c r="BC39" i="2"/>
  <c r="BC34" i="2"/>
  <c r="BC50" i="2"/>
  <c r="BC19" i="2"/>
  <c r="BC36" i="2"/>
  <c r="BC33" i="2"/>
  <c r="BC48" i="2"/>
  <c r="BC14" i="2"/>
  <c r="BC47" i="2"/>
  <c r="BC18" i="2"/>
  <c r="BC37" i="2"/>
  <c r="BC53" i="2"/>
  <c r="BC29" i="2"/>
  <c r="BC44" i="2"/>
  <c r="BC27" i="3"/>
  <c r="BC27" i="2" s="1"/>
  <c r="BC28" i="2"/>
  <c r="BC51" i="2"/>
  <c r="W9" i="3"/>
  <c r="W9" i="2" s="1"/>
  <c r="W10" i="2"/>
  <c r="W8" i="2"/>
  <c r="W21" i="2"/>
  <c r="W13" i="2"/>
  <c r="W6" i="3"/>
  <c r="W6" i="2" s="1"/>
  <c r="W7" i="2"/>
  <c r="W5" i="2"/>
  <c r="W12" i="2"/>
  <c r="W11" i="2"/>
  <c r="W25" i="2"/>
  <c r="W42" i="2"/>
  <c r="W18" i="2"/>
  <c r="W35" i="2"/>
  <c r="W33" i="2"/>
  <c r="W48" i="2"/>
  <c r="W32" i="2"/>
  <c r="W52" i="2"/>
  <c r="W34" i="2"/>
  <c r="W45" i="2"/>
  <c r="W19" i="2"/>
  <c r="W36" i="2"/>
  <c r="W27" i="3"/>
  <c r="W27" i="2" s="1"/>
  <c r="W28" i="2"/>
  <c r="W49" i="2"/>
  <c r="W26" i="2"/>
  <c r="W39" i="2"/>
  <c r="W17" i="2"/>
  <c r="W37" i="2"/>
  <c r="W53" i="2"/>
  <c r="W29" i="2"/>
  <c r="W44" i="2"/>
  <c r="W4" i="2"/>
  <c r="W38" i="2"/>
  <c r="W14" i="2"/>
  <c r="W47" i="2"/>
  <c r="W23" i="3"/>
  <c r="W24" i="2"/>
  <c r="W46" i="2"/>
  <c r="W31" i="2"/>
  <c r="W50" i="2"/>
  <c r="W20" i="2"/>
  <c r="W41" i="2"/>
  <c r="W30" i="2"/>
  <c r="W51" i="2"/>
  <c r="BH21" i="2"/>
  <c r="BH13" i="2"/>
  <c r="BH6" i="3"/>
  <c r="BH6" i="2" s="1"/>
  <c r="BH7" i="2"/>
  <c r="BH5" i="2"/>
  <c r="BH12" i="2"/>
  <c r="BH11" i="2"/>
  <c r="BH9" i="3"/>
  <c r="BH9" i="2" s="1"/>
  <c r="BH10" i="2"/>
  <c r="BH8" i="2"/>
  <c r="BH26" i="2"/>
  <c r="BH48" i="2"/>
  <c r="BH23" i="3"/>
  <c r="BH24" i="2"/>
  <c r="BH39" i="2"/>
  <c r="BH17" i="2"/>
  <c r="BH37" i="2"/>
  <c r="BH52" i="2"/>
  <c r="BH25" i="2"/>
  <c r="BH38" i="2"/>
  <c r="BH19" i="2"/>
  <c r="BH42" i="2"/>
  <c r="BH33" i="2"/>
  <c r="BH47" i="2"/>
  <c r="BH14" i="2"/>
  <c r="BH46" i="2"/>
  <c r="BH32" i="2"/>
  <c r="BH45" i="2"/>
  <c r="BH4" i="2"/>
  <c r="BH51" i="2"/>
  <c r="BH31" i="2"/>
  <c r="BH50" i="2"/>
  <c r="BH27" i="3"/>
  <c r="BH27" i="2" s="1"/>
  <c r="BH28" i="2"/>
  <c r="BH41" i="2"/>
  <c r="BH34" i="2"/>
  <c r="BH44" i="2"/>
  <c r="BH29" i="2"/>
  <c r="BH49" i="2"/>
  <c r="BH20" i="2"/>
  <c r="BH35" i="2"/>
  <c r="BH30" i="2"/>
  <c r="BH53" i="2"/>
  <c r="BH18" i="2"/>
  <c r="BH36" i="2"/>
  <c r="AB21" i="2"/>
  <c r="AB13" i="2"/>
  <c r="AB6" i="3"/>
  <c r="AB6" i="2" s="1"/>
  <c r="AB7" i="2"/>
  <c r="AB5" i="2"/>
  <c r="AB12" i="2"/>
  <c r="AB11" i="2"/>
  <c r="AB9" i="3"/>
  <c r="AB9" i="2" s="1"/>
  <c r="AB10" i="2"/>
  <c r="AB8" i="2"/>
  <c r="AB17" i="2"/>
  <c r="AB37" i="2"/>
  <c r="AB52" i="2"/>
  <c r="AB27" i="3"/>
  <c r="AB27" i="2" s="1"/>
  <c r="AB28" i="2"/>
  <c r="AB49" i="2"/>
  <c r="AB19" i="2"/>
  <c r="AB36" i="2"/>
  <c r="AB26" i="2"/>
  <c r="AB41" i="2"/>
  <c r="AB14" i="2"/>
  <c r="AB35" i="2"/>
  <c r="AB30" i="2"/>
  <c r="AB44" i="2"/>
  <c r="AB4" i="2"/>
  <c r="AB39" i="2"/>
  <c r="AB29" i="2"/>
  <c r="AB51" i="2"/>
  <c r="AB23" i="3"/>
  <c r="AB24" i="2"/>
  <c r="AB45" i="2"/>
  <c r="AB18" i="2"/>
  <c r="AB46" i="2"/>
  <c r="AB32" i="2"/>
  <c r="AB47" i="2"/>
  <c r="AB31" i="2"/>
  <c r="AB50" i="2"/>
  <c r="AB33" i="2"/>
  <c r="AB53" i="2"/>
  <c r="AB25" i="2"/>
  <c r="AB38" i="2"/>
  <c r="AB34" i="2"/>
  <c r="AB48" i="2"/>
  <c r="AB20" i="2"/>
  <c r="AB42" i="2"/>
  <c r="CA9" i="3"/>
  <c r="CA9" i="2" s="1"/>
  <c r="CA10" i="2"/>
  <c r="CA8" i="2"/>
  <c r="CA21" i="2"/>
  <c r="CA13" i="2"/>
  <c r="CA6" i="3"/>
  <c r="CA6" i="2" s="1"/>
  <c r="CA7" i="2"/>
  <c r="CA5" i="2"/>
  <c r="CA12" i="2"/>
  <c r="CA11" i="2"/>
  <c r="CA31" i="2"/>
  <c r="CA49" i="2"/>
  <c r="CA14" i="2"/>
  <c r="CA36" i="2"/>
  <c r="CA32" i="2"/>
  <c r="CA52" i="2"/>
  <c r="CA19" i="2"/>
  <c r="CA39" i="2"/>
  <c r="CA18" i="2"/>
  <c r="CA37" i="2"/>
  <c r="CA30" i="2"/>
  <c r="CA44" i="2"/>
  <c r="CA23" i="3"/>
  <c r="CA24" i="2"/>
  <c r="CA50" i="2"/>
  <c r="CA29" i="2"/>
  <c r="CA47" i="2"/>
  <c r="CA20" i="2"/>
  <c r="CA46" i="2"/>
  <c r="CA27" i="3"/>
  <c r="CA27" i="2" s="1"/>
  <c r="CA28" i="2"/>
  <c r="CA51" i="2"/>
  <c r="CA25" i="2"/>
  <c r="CA41" i="2"/>
  <c r="CA26" i="2"/>
  <c r="CA45" i="2"/>
  <c r="CA33" i="2"/>
  <c r="CA42" i="2"/>
  <c r="CA4" i="2"/>
  <c r="CA38" i="2"/>
  <c r="CA34" i="2"/>
  <c r="CA48" i="2"/>
  <c r="CA17" i="2"/>
  <c r="CA35" i="2"/>
  <c r="CA53" i="2"/>
  <c r="AU9" i="3"/>
  <c r="AU9" i="2" s="1"/>
  <c r="AU10" i="2"/>
  <c r="AU8" i="2"/>
  <c r="AU21" i="2"/>
  <c r="AU13" i="2"/>
  <c r="AU6" i="3"/>
  <c r="AU6" i="2" s="1"/>
  <c r="AU7" i="2"/>
  <c r="AU5" i="2"/>
  <c r="AU12" i="2"/>
  <c r="AU11" i="2"/>
  <c r="AU32" i="2"/>
  <c r="AU52" i="2"/>
  <c r="AU25" i="2"/>
  <c r="AU41" i="2"/>
  <c r="AU18" i="2"/>
  <c r="AU37" i="2"/>
  <c r="AU20" i="2"/>
  <c r="AU51" i="2"/>
  <c r="AU26" i="2"/>
  <c r="AU50" i="2"/>
  <c r="AU34" i="2"/>
  <c r="AU48" i="2"/>
  <c r="AU19" i="2"/>
  <c r="AU46" i="2"/>
  <c r="AU33" i="2"/>
  <c r="AU42" i="2"/>
  <c r="AU14" i="2"/>
  <c r="AU36" i="2"/>
  <c r="AU17" i="2"/>
  <c r="AU35" i="2"/>
  <c r="AU53" i="2"/>
  <c r="AU29" i="2"/>
  <c r="AU47" i="2"/>
  <c r="AU27" i="3"/>
  <c r="AU27" i="2" s="1"/>
  <c r="AU28" i="2"/>
  <c r="AU49" i="2"/>
  <c r="AU30" i="2"/>
  <c r="AU44" i="2"/>
  <c r="AU23" i="3"/>
  <c r="AU24" i="2"/>
  <c r="AU39" i="2"/>
  <c r="AU31" i="2"/>
  <c r="AU45" i="2"/>
  <c r="AU4" i="2"/>
  <c r="AU38" i="2"/>
  <c r="AO12" i="2"/>
  <c r="AO11" i="2"/>
  <c r="AO9" i="3"/>
  <c r="AO9" i="2" s="1"/>
  <c r="AO10" i="2"/>
  <c r="AO21" i="2"/>
  <c r="AO13" i="2"/>
  <c r="AO6" i="3"/>
  <c r="AO6" i="2" s="1"/>
  <c r="AO7" i="2"/>
  <c r="AO5" i="2"/>
  <c r="AO8" i="2"/>
  <c r="AO17" i="2"/>
  <c r="AO35" i="2"/>
  <c r="AO53" i="2"/>
  <c r="AO31" i="2"/>
  <c r="AO39" i="2"/>
  <c r="AO23" i="3"/>
  <c r="AO24" i="2"/>
  <c r="AO36" i="2"/>
  <c r="AO26" i="2"/>
  <c r="AO45" i="2"/>
  <c r="AO20" i="2"/>
  <c r="AO42" i="2"/>
  <c r="AO33" i="2"/>
  <c r="AO47" i="2"/>
  <c r="AO25" i="2"/>
  <c r="AO38" i="2"/>
  <c r="AO32" i="2"/>
  <c r="AO46" i="2"/>
  <c r="AO4" i="2"/>
  <c r="AO50" i="2"/>
  <c r="AO18" i="2"/>
  <c r="AO37" i="2"/>
  <c r="AO27" i="3"/>
  <c r="AO27" i="2" s="1"/>
  <c r="AO28" i="2"/>
  <c r="AO48" i="2"/>
  <c r="AO34" i="2"/>
  <c r="AO52" i="2"/>
  <c r="AO29" i="2"/>
  <c r="AO49" i="2"/>
  <c r="AO14" i="2"/>
  <c r="AO44" i="2"/>
  <c r="AO30" i="2"/>
  <c r="AO51" i="2"/>
  <c r="AO19" i="2"/>
  <c r="AO41" i="2"/>
  <c r="BJ11" i="2"/>
  <c r="BJ9" i="3"/>
  <c r="BJ9" i="2" s="1"/>
  <c r="BJ10" i="2"/>
  <c r="BJ8" i="2"/>
  <c r="BJ21" i="2"/>
  <c r="BJ13" i="2"/>
  <c r="BJ12" i="2"/>
  <c r="BJ6" i="3"/>
  <c r="BJ6" i="2" s="1"/>
  <c r="BJ7" i="2"/>
  <c r="BJ5" i="2"/>
  <c r="BJ32" i="2"/>
  <c r="BJ46" i="2"/>
  <c r="BJ25" i="2"/>
  <c r="BJ47" i="2"/>
  <c r="BJ33" i="2"/>
  <c r="BJ52" i="2"/>
  <c r="BJ20" i="2"/>
  <c r="BJ36" i="2"/>
  <c r="BJ18" i="2"/>
  <c r="BJ38" i="2"/>
  <c r="BJ26" i="2"/>
  <c r="BJ45" i="2"/>
  <c r="BJ19" i="2"/>
  <c r="BJ44" i="2"/>
  <c r="BJ30" i="2"/>
  <c r="BJ42" i="2"/>
  <c r="BJ14" i="2"/>
  <c r="BJ41" i="2"/>
  <c r="BJ29" i="2"/>
  <c r="BJ50" i="2"/>
  <c r="BJ4" i="2"/>
  <c r="BJ37" i="2"/>
  <c r="BJ27" i="3"/>
  <c r="BJ27" i="2" s="1"/>
  <c r="BJ28" i="2"/>
  <c r="BJ51" i="2"/>
  <c r="BJ34" i="2"/>
  <c r="BJ48" i="2"/>
  <c r="BJ23" i="3"/>
  <c r="BJ24" i="2"/>
  <c r="BJ39" i="2"/>
  <c r="BJ31" i="2"/>
  <c r="BJ49" i="2"/>
  <c r="BJ17" i="2"/>
  <c r="BJ35" i="2"/>
  <c r="BJ53" i="2"/>
  <c r="CG12" i="2"/>
  <c r="CG11" i="2"/>
  <c r="CG9" i="3"/>
  <c r="CG9" i="2" s="1"/>
  <c r="CG10" i="2"/>
  <c r="CG8" i="2"/>
  <c r="CG21" i="2"/>
  <c r="CG13" i="2"/>
  <c r="CG6" i="3"/>
  <c r="CG6" i="2" s="1"/>
  <c r="CG7" i="2"/>
  <c r="CG5" i="2"/>
  <c r="CG33" i="2"/>
  <c r="CG47" i="2"/>
  <c r="CG25" i="2"/>
  <c r="CG48" i="2"/>
  <c r="CG34" i="2"/>
  <c r="CG51" i="2"/>
  <c r="CG20" i="2"/>
  <c r="CG37" i="2"/>
  <c r="CG18" i="2"/>
  <c r="CG36" i="2"/>
  <c r="CG27" i="3"/>
  <c r="CG27" i="2" s="1"/>
  <c r="CG28" i="2"/>
  <c r="CG44" i="2"/>
  <c r="CG19" i="2"/>
  <c r="CG41" i="2"/>
  <c r="CG26" i="2"/>
  <c r="CG52" i="2"/>
  <c r="CG14" i="2"/>
  <c r="CG42" i="2"/>
  <c r="CG30" i="2"/>
  <c r="CG49" i="2"/>
  <c r="CG4" i="2"/>
  <c r="CG38" i="2"/>
  <c r="CG29" i="2"/>
  <c r="CG50" i="2"/>
  <c r="CG31" i="2"/>
  <c r="CG39" i="2"/>
  <c r="CG23" i="3"/>
  <c r="CG24" i="2"/>
  <c r="CG45" i="2"/>
  <c r="CG32" i="2"/>
  <c r="CG46" i="2"/>
  <c r="CG17" i="2"/>
  <c r="CG35" i="2"/>
  <c r="CG53" i="2"/>
  <c r="U12" i="2"/>
  <c r="U11" i="2"/>
  <c r="U9" i="3"/>
  <c r="U9" i="2" s="1"/>
  <c r="U10" i="2"/>
  <c r="U21" i="2"/>
  <c r="U13" i="2"/>
  <c r="U6" i="3"/>
  <c r="U6" i="2" s="1"/>
  <c r="U7" i="2"/>
  <c r="U5" i="2"/>
  <c r="U8" i="2"/>
  <c r="U18" i="2"/>
  <c r="U36" i="2"/>
  <c r="U27" i="3"/>
  <c r="U27" i="2" s="1"/>
  <c r="U28" i="2"/>
  <c r="U44" i="2"/>
  <c r="U19" i="2"/>
  <c r="U41" i="2"/>
  <c r="U26" i="2"/>
  <c r="U52" i="2"/>
  <c r="U14" i="2"/>
  <c r="U42" i="2"/>
  <c r="U33" i="2"/>
  <c r="U49" i="2"/>
  <c r="U4" i="2"/>
  <c r="U38" i="2"/>
  <c r="U35" i="2"/>
  <c r="U50" i="2"/>
  <c r="U31" i="2"/>
  <c r="U39" i="2"/>
  <c r="U23" i="3"/>
  <c r="U24" i="2"/>
  <c r="U45" i="2"/>
  <c r="U32" i="2"/>
  <c r="U46" i="2"/>
  <c r="U17" i="2"/>
  <c r="U34" i="2"/>
  <c r="U53" i="2"/>
  <c r="U29" i="2"/>
  <c r="U47" i="2"/>
  <c r="U25" i="2"/>
  <c r="U48" i="2"/>
  <c r="U30" i="2"/>
  <c r="U51" i="2"/>
  <c r="U20" i="2"/>
  <c r="U37" i="2"/>
  <c r="BV11" i="2"/>
  <c r="BV9" i="3"/>
  <c r="BV9" i="2" s="1"/>
  <c r="BV10" i="2"/>
  <c r="BV8" i="2"/>
  <c r="BV21" i="2"/>
  <c r="BV13" i="2"/>
  <c r="BV12" i="2"/>
  <c r="BV6" i="3"/>
  <c r="BV6" i="2" s="1"/>
  <c r="BV7" i="2"/>
  <c r="BV5" i="2"/>
  <c r="BV30" i="2"/>
  <c r="BV44" i="2"/>
  <c r="BV18" i="2"/>
  <c r="BV35" i="2"/>
  <c r="BV26" i="2"/>
  <c r="BV45" i="2"/>
  <c r="BV33" i="2"/>
  <c r="BV52" i="2"/>
  <c r="BV27" i="3"/>
  <c r="BV27" i="2" s="1"/>
  <c r="BV28" i="2"/>
  <c r="BV49" i="2"/>
  <c r="BV14" i="2"/>
  <c r="BV41" i="2"/>
  <c r="BV29" i="2"/>
  <c r="BV51" i="2"/>
  <c r="BV19" i="2"/>
  <c r="BV38" i="2"/>
  <c r="BV17" i="2"/>
  <c r="BV36" i="2"/>
  <c r="BV53" i="2"/>
  <c r="BV34" i="2"/>
  <c r="BV47" i="2"/>
  <c r="BV23" i="3"/>
  <c r="BV24" i="2"/>
  <c r="BV39" i="2"/>
  <c r="BV4" i="2"/>
  <c r="BV42" i="2"/>
  <c r="BV20" i="2"/>
  <c r="BV48" i="2"/>
  <c r="BV32" i="2"/>
  <c r="BV50" i="2"/>
  <c r="BV25" i="2"/>
  <c r="BV37" i="2"/>
  <c r="BV31" i="2"/>
  <c r="BV46" i="2"/>
  <c r="CJ21" i="2"/>
  <c r="CJ13" i="2"/>
  <c r="CJ6" i="3"/>
  <c r="CJ6" i="2" s="1"/>
  <c r="CJ7" i="2"/>
  <c r="CJ5" i="2"/>
  <c r="CJ12" i="2"/>
  <c r="CJ11" i="2"/>
  <c r="CJ9" i="3"/>
  <c r="CJ9" i="2" s="1"/>
  <c r="CJ10" i="2"/>
  <c r="CJ8" i="2"/>
  <c r="CJ32" i="2"/>
  <c r="CJ49" i="2"/>
  <c r="CJ19" i="2"/>
  <c r="CJ36" i="2"/>
  <c r="CJ33" i="2"/>
  <c r="CJ50" i="2"/>
  <c r="CJ17" i="2"/>
  <c r="CJ37" i="2"/>
  <c r="CJ51" i="2"/>
  <c r="CJ34" i="2"/>
  <c r="CJ52" i="2"/>
  <c r="CJ4" i="2"/>
  <c r="CJ45" i="2"/>
  <c r="CJ31" i="2"/>
  <c r="CJ48" i="2"/>
  <c r="CJ14" i="2"/>
  <c r="CJ53" i="2"/>
  <c r="CJ18" i="2"/>
  <c r="CJ42" i="2"/>
  <c r="CJ29" i="2"/>
  <c r="CJ41" i="2"/>
  <c r="CJ20" i="2"/>
  <c r="CJ35" i="2"/>
  <c r="CJ27" i="3"/>
  <c r="CJ27" i="2" s="1"/>
  <c r="CJ28" i="2"/>
  <c r="CJ46" i="2"/>
  <c r="CJ25" i="2"/>
  <c r="CJ38" i="2"/>
  <c r="CJ26" i="2"/>
  <c r="CJ44" i="2"/>
  <c r="CJ23" i="3"/>
  <c r="CJ24" i="2"/>
  <c r="CJ39" i="2"/>
  <c r="CJ30" i="2"/>
  <c r="CJ47" i="2"/>
  <c r="BD21" i="2"/>
  <c r="BD13" i="2"/>
  <c r="BD6" i="3"/>
  <c r="BD6" i="2" s="1"/>
  <c r="BD7" i="2"/>
  <c r="BD5" i="2"/>
  <c r="BD12" i="2"/>
  <c r="BD11" i="2"/>
  <c r="BD9" i="3"/>
  <c r="BD9" i="2" s="1"/>
  <c r="BD10" i="2"/>
  <c r="BD8" i="2"/>
  <c r="BD33" i="2"/>
  <c r="BD50" i="2"/>
  <c r="BD14" i="2"/>
  <c r="BD38" i="2"/>
  <c r="BD34" i="2"/>
  <c r="BD51" i="2"/>
  <c r="BD19" i="2"/>
  <c r="BD36" i="2"/>
  <c r="BD31" i="2"/>
  <c r="BD44" i="2"/>
  <c r="BD27" i="3"/>
  <c r="BD27" i="2" s="1"/>
  <c r="BD28" i="2"/>
  <c r="BD49" i="2"/>
  <c r="BD18" i="2"/>
  <c r="BD42" i="2"/>
  <c r="BD4" i="2"/>
  <c r="BD39" i="2"/>
  <c r="BD20" i="2"/>
  <c r="BD35" i="2"/>
  <c r="BD30" i="2"/>
  <c r="BD47" i="2"/>
  <c r="BD25" i="2"/>
  <c r="BD45" i="2"/>
  <c r="BD29" i="2"/>
  <c r="BD41" i="2"/>
  <c r="BD23" i="3"/>
  <c r="BD24" i="2"/>
  <c r="BD46" i="2"/>
  <c r="BD17" i="2"/>
  <c r="BD37" i="2"/>
  <c r="BD48" i="2"/>
  <c r="BD32" i="2"/>
  <c r="BD53" i="2"/>
  <c r="BD26" i="2"/>
  <c r="BD52" i="2"/>
  <c r="X21" i="2"/>
  <c r="X13" i="2"/>
  <c r="X6" i="3"/>
  <c r="X6" i="2" s="1"/>
  <c r="X7" i="2"/>
  <c r="X5" i="2"/>
  <c r="X12" i="2"/>
  <c r="X11" i="2"/>
  <c r="X9" i="3"/>
  <c r="X9" i="2" s="1"/>
  <c r="X10" i="2"/>
  <c r="X8" i="2"/>
  <c r="X30" i="2"/>
  <c r="X52" i="2"/>
  <c r="X4" i="2"/>
  <c r="X45" i="2"/>
  <c r="X31" i="2"/>
  <c r="X48" i="2"/>
  <c r="X14" i="2"/>
  <c r="X53" i="2"/>
  <c r="X18" i="2"/>
  <c r="X42" i="2"/>
  <c r="X32" i="2"/>
  <c r="X41" i="2"/>
  <c r="X20" i="2"/>
  <c r="X35" i="2"/>
  <c r="X23" i="3"/>
  <c r="X24" i="2"/>
  <c r="X46" i="2"/>
  <c r="X25" i="2"/>
  <c r="X38" i="2"/>
  <c r="X34" i="2"/>
  <c r="X44" i="2"/>
  <c r="X26" i="2"/>
  <c r="X39" i="2"/>
  <c r="X33" i="2"/>
  <c r="X47" i="2"/>
  <c r="X27" i="3"/>
  <c r="X27" i="2" s="1"/>
  <c r="X28" i="2"/>
  <c r="X49" i="2"/>
  <c r="X19" i="2"/>
  <c r="X36" i="2"/>
  <c r="X29" i="2"/>
  <c r="X50" i="2"/>
  <c r="X17" i="2"/>
  <c r="X37" i="2"/>
  <c r="X51" i="2"/>
  <c r="AG12" i="2"/>
  <c r="AG11" i="2"/>
  <c r="AG9" i="3"/>
  <c r="AG9" i="2" s="1"/>
  <c r="AG10" i="2"/>
  <c r="AG21" i="2"/>
  <c r="AG13" i="2"/>
  <c r="AG6" i="3"/>
  <c r="AG6" i="2" s="1"/>
  <c r="AG7" i="2"/>
  <c r="AG5" i="2"/>
  <c r="AG8" i="2"/>
  <c r="AG32" i="2"/>
  <c r="AG46" i="2"/>
  <c r="AG20" i="2"/>
  <c r="AG42" i="2"/>
  <c r="AG33" i="2"/>
  <c r="AG50" i="2"/>
  <c r="AG23" i="3"/>
  <c r="AG24" i="2"/>
  <c r="AG36" i="2"/>
  <c r="AG34" i="2"/>
  <c r="AG52" i="2"/>
  <c r="AG26" i="2"/>
  <c r="AG45" i="2"/>
  <c r="AG17" i="2"/>
  <c r="AG37" i="2"/>
  <c r="AG25" i="2"/>
  <c r="AG49" i="2"/>
  <c r="AG19" i="2"/>
  <c r="AG41" i="2"/>
  <c r="AG29" i="2"/>
  <c r="AG47" i="2"/>
  <c r="AG14" i="2"/>
  <c r="AG44" i="2"/>
  <c r="AG27" i="3"/>
  <c r="AG27" i="2" s="1"/>
  <c r="AG28" i="2"/>
  <c r="AG48" i="2"/>
  <c r="AG4" i="2"/>
  <c r="AG38" i="2"/>
  <c r="AG18" i="2"/>
  <c r="AG35" i="2"/>
  <c r="AG53" i="2"/>
  <c r="AG31" i="2"/>
  <c r="AG39" i="2"/>
  <c r="AG30" i="2"/>
  <c r="AG51" i="2"/>
  <c r="BB11" i="2"/>
  <c r="BB9" i="3"/>
  <c r="BB9" i="2" s="1"/>
  <c r="BB10" i="2"/>
  <c r="BB8" i="2"/>
  <c r="BB21" i="2"/>
  <c r="BB13" i="2"/>
  <c r="BB12" i="2"/>
  <c r="BB5" i="2"/>
  <c r="BB6" i="3"/>
  <c r="BB6" i="2" s="1"/>
  <c r="BB7" i="2"/>
  <c r="BB20" i="2"/>
  <c r="BB44" i="2"/>
  <c r="BB32" i="2"/>
  <c r="BB46" i="2"/>
  <c r="BB25" i="2"/>
  <c r="BB41" i="2"/>
  <c r="BB31" i="2"/>
  <c r="BB48" i="2"/>
  <c r="BB30" i="2"/>
  <c r="BB49" i="2"/>
  <c r="BB17" i="2"/>
  <c r="BB35" i="2"/>
  <c r="BB26" i="2"/>
  <c r="BB42" i="2"/>
  <c r="BB33" i="2"/>
  <c r="BB52" i="2"/>
  <c r="BB27" i="3"/>
  <c r="BB27" i="2" s="1"/>
  <c r="BB28" i="2"/>
  <c r="BB45" i="2"/>
  <c r="BB14" i="2"/>
  <c r="BB51" i="2"/>
  <c r="BB29" i="2"/>
  <c r="BB50" i="2"/>
  <c r="BB19" i="2"/>
  <c r="BB38" i="2"/>
  <c r="BB18" i="2"/>
  <c r="BB39" i="2"/>
  <c r="BB53" i="2"/>
  <c r="BB34" i="2"/>
  <c r="BB37" i="2"/>
  <c r="BB23" i="3"/>
  <c r="BB24" i="2"/>
  <c r="BB36" i="2"/>
  <c r="BB4" i="2"/>
  <c r="BB47" i="2"/>
  <c r="BY12" i="2"/>
  <c r="BY11" i="2"/>
  <c r="BY9" i="3"/>
  <c r="BY9" i="2" s="1"/>
  <c r="BY10" i="2"/>
  <c r="BY8" i="2"/>
  <c r="BY21" i="2"/>
  <c r="BY13" i="2"/>
  <c r="BY6" i="3"/>
  <c r="BY6" i="2" s="1"/>
  <c r="BY7" i="2"/>
  <c r="BY5" i="2"/>
  <c r="BY20" i="2"/>
  <c r="BY45" i="2"/>
  <c r="BY33" i="2"/>
  <c r="BY47" i="2"/>
  <c r="BY25" i="2"/>
  <c r="BY48" i="2"/>
  <c r="BY32" i="2"/>
  <c r="BY50" i="2"/>
  <c r="BY26" i="2"/>
  <c r="BY49" i="2"/>
  <c r="BY18" i="2"/>
  <c r="BY41" i="2"/>
  <c r="BY27" i="3"/>
  <c r="BY27" i="2" s="1"/>
  <c r="BY28" i="2"/>
  <c r="BY44" i="2"/>
  <c r="BY34" i="2"/>
  <c r="BY52" i="2"/>
  <c r="BY29" i="2"/>
  <c r="BY46" i="2"/>
  <c r="BY14" i="2"/>
  <c r="BY42" i="2"/>
  <c r="BY30" i="2"/>
  <c r="BY51" i="2"/>
  <c r="BY19" i="2"/>
  <c r="BY36" i="2"/>
  <c r="BY17" i="2"/>
  <c r="BY35" i="2"/>
  <c r="BY53" i="2"/>
  <c r="BY31" i="2"/>
  <c r="BY39" i="2"/>
  <c r="BY23" i="3"/>
  <c r="BY24" i="2"/>
  <c r="BY37" i="2"/>
  <c r="BY4" i="2"/>
  <c r="BY38" i="2"/>
  <c r="M12" i="2"/>
  <c r="M11" i="2"/>
  <c r="M9" i="3"/>
  <c r="M9" i="2" s="1"/>
  <c r="M10" i="2"/>
  <c r="M21" i="2"/>
  <c r="M13" i="2"/>
  <c r="M6" i="3"/>
  <c r="M6" i="2" s="1"/>
  <c r="M7" i="2"/>
  <c r="M5" i="2"/>
  <c r="M8" i="2"/>
  <c r="M26" i="2"/>
  <c r="M49" i="2"/>
  <c r="M18" i="2"/>
  <c r="M41" i="2"/>
  <c r="M27" i="3"/>
  <c r="M27" i="2" s="1"/>
  <c r="M28" i="2"/>
  <c r="M44" i="2"/>
  <c r="M34" i="2"/>
  <c r="M51" i="2"/>
  <c r="M29" i="2"/>
  <c r="M46" i="2"/>
  <c r="M14" i="2"/>
  <c r="M42" i="2"/>
  <c r="M30" i="2"/>
  <c r="M52" i="2"/>
  <c r="M19" i="2"/>
  <c r="M36" i="2"/>
  <c r="M17" i="2"/>
  <c r="M35" i="2"/>
  <c r="M53" i="2"/>
  <c r="M31" i="2"/>
  <c r="M39" i="2"/>
  <c r="M23" i="3"/>
  <c r="M24" i="2"/>
  <c r="M37" i="2"/>
  <c r="M4" i="2"/>
  <c r="M38" i="2"/>
  <c r="M20" i="2"/>
  <c r="M45" i="2"/>
  <c r="M33" i="2"/>
  <c r="M47" i="2"/>
  <c r="M25" i="2"/>
  <c r="M48" i="2"/>
  <c r="M32" i="2"/>
  <c r="M50" i="2"/>
  <c r="J11" i="2"/>
  <c r="J9" i="3"/>
  <c r="J9" i="2" s="1"/>
  <c r="J10" i="2"/>
  <c r="J8" i="2"/>
  <c r="J21" i="2"/>
  <c r="J13" i="2"/>
  <c r="J12" i="2"/>
  <c r="J6" i="3"/>
  <c r="J6" i="2" s="1"/>
  <c r="J7" i="2"/>
  <c r="J5" i="2"/>
  <c r="J27" i="3"/>
  <c r="J27" i="2" s="1"/>
  <c r="J28" i="2"/>
  <c r="J49" i="2"/>
  <c r="J14" i="2"/>
  <c r="J41" i="2"/>
  <c r="J29" i="2"/>
  <c r="J50" i="2"/>
  <c r="J19" i="2"/>
  <c r="J39" i="2"/>
  <c r="J17" i="2"/>
  <c r="J36" i="2"/>
  <c r="J53" i="2"/>
  <c r="J30" i="2"/>
  <c r="J47" i="2"/>
  <c r="J23" i="3"/>
  <c r="J24" i="2"/>
  <c r="J38" i="2"/>
  <c r="J4" i="2"/>
  <c r="J42" i="2"/>
  <c r="J20" i="2"/>
  <c r="J48" i="2"/>
  <c r="J32" i="2"/>
  <c r="J46" i="2"/>
  <c r="J25" i="2"/>
  <c r="J37" i="2"/>
  <c r="J31" i="2"/>
  <c r="J45" i="2"/>
  <c r="J26" i="2"/>
  <c r="J44" i="2"/>
  <c r="J18" i="2"/>
  <c r="J35" i="2"/>
  <c r="J34" i="2"/>
  <c r="J51" i="2"/>
  <c r="J33" i="2"/>
  <c r="J52" i="2"/>
  <c r="CF21" i="2"/>
  <c r="CF13" i="2"/>
  <c r="CF6" i="3"/>
  <c r="CF6" i="2" s="1"/>
  <c r="CF7" i="2"/>
  <c r="CF5" i="2"/>
  <c r="CF12" i="2"/>
  <c r="CF11" i="2"/>
  <c r="CF9" i="3"/>
  <c r="CF9" i="2" s="1"/>
  <c r="CF10" i="2"/>
  <c r="CF8" i="2"/>
  <c r="CF18" i="2"/>
  <c r="CF37" i="2"/>
  <c r="CF29" i="2"/>
  <c r="CF47" i="2"/>
  <c r="CF20" i="2"/>
  <c r="CF36" i="2"/>
  <c r="CF27" i="3"/>
  <c r="CF27" i="2" s="1"/>
  <c r="CF28" i="2"/>
  <c r="CF41" i="2"/>
  <c r="CF25" i="2"/>
  <c r="CF38" i="2"/>
  <c r="CF26" i="2"/>
  <c r="CF48" i="2"/>
  <c r="CF23" i="3"/>
  <c r="CF24" i="2"/>
  <c r="CF50" i="2"/>
  <c r="CF30" i="2"/>
  <c r="CF51" i="2"/>
  <c r="CF32" i="2"/>
  <c r="CF45" i="2"/>
  <c r="CF19" i="2"/>
  <c r="CF35" i="2"/>
  <c r="CF33" i="2"/>
  <c r="CF49" i="2"/>
  <c r="CF17" i="2"/>
  <c r="CF42" i="2"/>
  <c r="CF53" i="2"/>
  <c r="CF34" i="2"/>
  <c r="CF44" i="2"/>
  <c r="CF4" i="2"/>
  <c r="CF39" i="2"/>
  <c r="CF31" i="2"/>
  <c r="CF52" i="2"/>
  <c r="CF14" i="2"/>
  <c r="CF46" i="2"/>
  <c r="AZ21" i="2"/>
  <c r="AZ13" i="2"/>
  <c r="AZ6" i="3"/>
  <c r="AZ6" i="2" s="1"/>
  <c r="AZ7" i="2"/>
  <c r="AZ5" i="2"/>
  <c r="AZ12" i="2"/>
  <c r="AZ11" i="2"/>
  <c r="AZ9" i="3"/>
  <c r="AZ9" i="2" s="1"/>
  <c r="AZ10" i="2"/>
  <c r="AZ8" i="2"/>
  <c r="AZ30" i="2"/>
  <c r="AZ49" i="2"/>
  <c r="AZ25" i="2"/>
  <c r="AZ38" i="2"/>
  <c r="AZ26" i="2"/>
  <c r="AZ48" i="2"/>
  <c r="AZ20" i="2"/>
  <c r="AZ36" i="2"/>
  <c r="AZ17" i="2"/>
  <c r="AZ42" i="2"/>
  <c r="AZ53" i="2"/>
  <c r="AZ32" i="2"/>
  <c r="AZ45" i="2"/>
  <c r="AZ19" i="2"/>
  <c r="AZ35" i="2"/>
  <c r="AZ23" i="3"/>
  <c r="AZ24" i="2"/>
  <c r="AZ50" i="2"/>
  <c r="AZ14" i="2"/>
  <c r="AZ46" i="2"/>
  <c r="AZ34" i="2"/>
  <c r="AZ44" i="2"/>
  <c r="AZ4" i="2"/>
  <c r="AZ39" i="2"/>
  <c r="AZ33" i="2"/>
  <c r="AZ47" i="2"/>
  <c r="AZ27" i="3"/>
  <c r="AZ27" i="2" s="1"/>
  <c r="AZ28" i="2"/>
  <c r="AZ41" i="2"/>
  <c r="AZ18" i="2"/>
  <c r="AZ37" i="2"/>
  <c r="AZ29" i="2"/>
  <c r="AZ51" i="2"/>
  <c r="AZ31" i="2"/>
  <c r="AZ52" i="2"/>
  <c r="T21" i="2"/>
  <c r="T13" i="2"/>
  <c r="T6" i="3"/>
  <c r="T6" i="2" s="1"/>
  <c r="T7" i="2"/>
  <c r="T5" i="2"/>
  <c r="T12" i="2"/>
  <c r="T11" i="2"/>
  <c r="T9" i="3"/>
  <c r="T9" i="2" s="1"/>
  <c r="T10" i="2"/>
  <c r="T8" i="2"/>
  <c r="T27" i="3"/>
  <c r="T27" i="2" s="1"/>
  <c r="T28" i="2"/>
  <c r="T45" i="2"/>
  <c r="T19" i="2"/>
  <c r="T35" i="2"/>
  <c r="T29" i="2"/>
  <c r="T47" i="2"/>
  <c r="T17" i="2"/>
  <c r="T42" i="2"/>
  <c r="T53" i="2"/>
  <c r="T30" i="2"/>
  <c r="T44" i="2"/>
  <c r="T4" i="2"/>
  <c r="T39" i="2"/>
  <c r="T31" i="2"/>
  <c r="T52" i="2"/>
  <c r="T14" i="2"/>
  <c r="T46" i="2"/>
  <c r="T18" i="2"/>
  <c r="T37" i="2"/>
  <c r="T32" i="2"/>
  <c r="T51" i="2"/>
  <c r="T20" i="2"/>
  <c r="T36" i="2"/>
  <c r="T23" i="3"/>
  <c r="T24" i="2"/>
  <c r="T41" i="2"/>
  <c r="T25" i="2"/>
  <c r="T38" i="2"/>
  <c r="T34" i="2"/>
  <c r="T48" i="2"/>
  <c r="T26" i="2"/>
  <c r="T50" i="2"/>
  <c r="T33" i="2"/>
  <c r="T49" i="2"/>
  <c r="CK12" i="2"/>
  <c r="CK11" i="2"/>
  <c r="CK9" i="3"/>
  <c r="CK9" i="2" s="1"/>
  <c r="CK10" i="2"/>
  <c r="CK8" i="2"/>
  <c r="CK21" i="2"/>
  <c r="CK13" i="2"/>
  <c r="CK6" i="3"/>
  <c r="CK6" i="2" s="1"/>
  <c r="CK7" i="2"/>
  <c r="CK5" i="2"/>
  <c r="CK34" i="2"/>
  <c r="CK52" i="2"/>
  <c r="CK26" i="2"/>
  <c r="CK45" i="2"/>
  <c r="CK18" i="2"/>
  <c r="CK37" i="2"/>
  <c r="CK25" i="2"/>
  <c r="CK44" i="2"/>
  <c r="CK19" i="2"/>
  <c r="CK41" i="2"/>
  <c r="CK29" i="2"/>
  <c r="CK46" i="2"/>
  <c r="CK14" i="2"/>
  <c r="CK42" i="2"/>
  <c r="CK27" i="3"/>
  <c r="CK27" i="2" s="1"/>
  <c r="CK28" i="2"/>
  <c r="CK48" i="2"/>
  <c r="CK4" i="2"/>
  <c r="CK38" i="2"/>
  <c r="CK17" i="2"/>
  <c r="CK35" i="2"/>
  <c r="CK53" i="2"/>
  <c r="CK31" i="2"/>
  <c r="CK39" i="2"/>
  <c r="CK30" i="2"/>
  <c r="CK47" i="2"/>
  <c r="CK32" i="2"/>
  <c r="CK51" i="2"/>
  <c r="CK20" i="2"/>
  <c r="CK50" i="2"/>
  <c r="CK33" i="2"/>
  <c r="CK49" i="2"/>
  <c r="CK23" i="3"/>
  <c r="CK24" i="2"/>
  <c r="CK36" i="2"/>
  <c r="Y12" i="2"/>
  <c r="Y11" i="2"/>
  <c r="Y9" i="3"/>
  <c r="Y9" i="2" s="1"/>
  <c r="Y10" i="2"/>
  <c r="Y21" i="2"/>
  <c r="Y13" i="2"/>
  <c r="Y6" i="3"/>
  <c r="Y6" i="2" s="1"/>
  <c r="Y7" i="2"/>
  <c r="Y5" i="2"/>
  <c r="Y8" i="2"/>
  <c r="Y32" i="2"/>
  <c r="Y46" i="2"/>
  <c r="Y20" i="2"/>
  <c r="Y50" i="2"/>
  <c r="Y33" i="2"/>
  <c r="Y47" i="2"/>
  <c r="Y23" i="3"/>
  <c r="Y24" i="2"/>
  <c r="Y36" i="2"/>
  <c r="Y30" i="2"/>
  <c r="Y52" i="2"/>
  <c r="Y26" i="2"/>
  <c r="Y45" i="2"/>
  <c r="Y18" i="2"/>
  <c r="Y37" i="2"/>
  <c r="Y25" i="2"/>
  <c r="Y44" i="2"/>
  <c r="Y19" i="2"/>
  <c r="Y41" i="2"/>
  <c r="Y29" i="2"/>
  <c r="Y49" i="2"/>
  <c r="Y14" i="2"/>
  <c r="Y42" i="2"/>
  <c r="Y27" i="3"/>
  <c r="Y27" i="2" s="1"/>
  <c r="Y28" i="2"/>
  <c r="Y48" i="2"/>
  <c r="Y4" i="2"/>
  <c r="Y38" i="2"/>
  <c r="Y17" i="2"/>
  <c r="Y34" i="2"/>
  <c r="Y53" i="2"/>
  <c r="Y31" i="2"/>
  <c r="Y39" i="2"/>
  <c r="Y35" i="2"/>
  <c r="Y51" i="2"/>
  <c r="AT11" i="2"/>
  <c r="AT9" i="3"/>
  <c r="AT9" i="2" s="1"/>
  <c r="AT10" i="2"/>
  <c r="AT8" i="2"/>
  <c r="AT21" i="2"/>
  <c r="AT13" i="2"/>
  <c r="AT12" i="2"/>
  <c r="AT6" i="3"/>
  <c r="AT6" i="2" s="1"/>
  <c r="AT7" i="2"/>
  <c r="AT5" i="2"/>
  <c r="AT34" i="2"/>
  <c r="AT48" i="2"/>
  <c r="AT23" i="3"/>
  <c r="AT24" i="2"/>
  <c r="AT38" i="2"/>
  <c r="AT31" i="2"/>
  <c r="AT49" i="2"/>
  <c r="AT17" i="2"/>
  <c r="AT44" i="2"/>
  <c r="AT53" i="2"/>
  <c r="AT32" i="2"/>
  <c r="AT51" i="2"/>
  <c r="AT25" i="2"/>
  <c r="AT47" i="2"/>
  <c r="AT33" i="2"/>
  <c r="AT52" i="2"/>
  <c r="AT20" i="2"/>
  <c r="AT36" i="2"/>
  <c r="AT18" i="2"/>
  <c r="AT35" i="2"/>
  <c r="AT26" i="2"/>
  <c r="AT45" i="2"/>
  <c r="AT19" i="2"/>
  <c r="AT39" i="2"/>
  <c r="AT30" i="2"/>
  <c r="AT42" i="2"/>
  <c r="AT14" i="2"/>
  <c r="AT41" i="2"/>
  <c r="AT29" i="2"/>
  <c r="AT50" i="2"/>
  <c r="AT4" i="2"/>
  <c r="AT37" i="2"/>
  <c r="AT27" i="3"/>
  <c r="AT27" i="2" s="1"/>
  <c r="AT28" i="2"/>
  <c r="AT46" i="2"/>
  <c r="BQ12" i="2"/>
  <c r="BQ11" i="2"/>
  <c r="BQ9" i="3"/>
  <c r="BQ9" i="2" s="1"/>
  <c r="BQ10" i="2"/>
  <c r="BQ8" i="2"/>
  <c r="BQ21" i="2"/>
  <c r="BQ13" i="2"/>
  <c r="BQ6" i="3"/>
  <c r="BQ6" i="2" s="1"/>
  <c r="BQ7" i="2"/>
  <c r="BQ5" i="2"/>
  <c r="BQ30" i="2"/>
  <c r="BQ49" i="2"/>
  <c r="BQ4" i="2"/>
  <c r="BQ48" i="2"/>
  <c r="BQ17" i="2"/>
  <c r="BQ35" i="2"/>
  <c r="BQ53" i="2"/>
  <c r="BQ14" i="2"/>
  <c r="BQ52" i="2"/>
  <c r="BQ23" i="3"/>
  <c r="BQ24" i="2"/>
  <c r="BQ41" i="2"/>
  <c r="BQ32" i="2"/>
  <c r="BQ46" i="2"/>
  <c r="BQ20" i="2"/>
  <c r="BQ37" i="2"/>
  <c r="BQ31" i="2"/>
  <c r="BQ39" i="2"/>
  <c r="BQ25" i="2"/>
  <c r="BQ42" i="2"/>
  <c r="BQ34" i="2"/>
  <c r="BQ51" i="2"/>
  <c r="BQ26" i="2"/>
  <c r="BQ38" i="2"/>
  <c r="BQ33" i="2"/>
  <c r="BQ47" i="2"/>
  <c r="BQ27" i="3"/>
  <c r="BQ27" i="2" s="1"/>
  <c r="BQ28" i="2"/>
  <c r="BQ44" i="2"/>
  <c r="BQ19" i="2"/>
  <c r="BQ45" i="2"/>
  <c r="BQ29" i="2"/>
  <c r="BQ50" i="2"/>
  <c r="BQ18" i="2"/>
  <c r="BQ36" i="2"/>
  <c r="F6" i="3"/>
  <c r="F6" i="2" s="1"/>
  <c r="F7" i="2"/>
  <c r="F9" i="3"/>
  <c r="F9" i="2" s="1"/>
  <c r="F10" i="2"/>
  <c r="F13" i="2"/>
  <c r="F5" i="2"/>
  <c r="F21" i="2"/>
  <c r="F11" i="2"/>
  <c r="F8" i="2"/>
  <c r="F12" i="2"/>
  <c r="F4" i="2"/>
  <c r="F42" i="2"/>
  <c r="F17" i="2"/>
  <c r="F39" i="2"/>
  <c r="F53" i="2"/>
  <c r="F30" i="2"/>
  <c r="F51" i="2"/>
  <c r="F29" i="2"/>
  <c r="F50" i="2"/>
  <c r="F31" i="2"/>
  <c r="F45" i="2"/>
  <c r="F20" i="2"/>
  <c r="F41" i="2"/>
  <c r="F32" i="2"/>
  <c r="F46" i="2"/>
  <c r="F23" i="3"/>
  <c r="F24" i="2"/>
  <c r="F36" i="2"/>
  <c r="F33" i="2"/>
  <c r="F52" i="2"/>
  <c r="F26" i="2"/>
  <c r="F48" i="2"/>
  <c r="F18" i="2"/>
  <c r="F35" i="2"/>
  <c r="F25" i="2"/>
  <c r="F37" i="2"/>
  <c r="F19" i="2"/>
  <c r="F38" i="2"/>
  <c r="F27" i="3"/>
  <c r="F27" i="2" s="1"/>
  <c r="F28" i="2"/>
  <c r="F49" i="2"/>
  <c r="F14" i="2"/>
  <c r="F47" i="2"/>
  <c r="F34" i="2"/>
  <c r="F44" i="2"/>
  <c r="AX11" i="2"/>
  <c r="AX9" i="3"/>
  <c r="AX9" i="2" s="1"/>
  <c r="AX10" i="2"/>
  <c r="AX8" i="2"/>
  <c r="AX21" i="2"/>
  <c r="AX13" i="2"/>
  <c r="AX12" i="2"/>
  <c r="AX5" i="2"/>
  <c r="AX6" i="3"/>
  <c r="AX6" i="2" s="1"/>
  <c r="AX7" i="2"/>
  <c r="AX17" i="2"/>
  <c r="AX36" i="2"/>
  <c r="AX26" i="2"/>
  <c r="AX47" i="2"/>
  <c r="AX19" i="2"/>
  <c r="AX39" i="2"/>
  <c r="AX30" i="2"/>
  <c r="AX42" i="2"/>
  <c r="AX14" i="2"/>
  <c r="AX49" i="2"/>
  <c r="AX29" i="2"/>
  <c r="AX50" i="2"/>
  <c r="AX4" i="2"/>
  <c r="AX37" i="2"/>
  <c r="AX27" i="3"/>
  <c r="AX27" i="2" s="1"/>
  <c r="AX28" i="2"/>
  <c r="AX51" i="2"/>
  <c r="AX34" i="2"/>
  <c r="AX44" i="2"/>
  <c r="AX23" i="3"/>
  <c r="AX24" i="2"/>
  <c r="AX38" i="2"/>
  <c r="AX31" i="2"/>
  <c r="AX45" i="2"/>
  <c r="AX18" i="2"/>
  <c r="AX35" i="2"/>
  <c r="AX53" i="2"/>
  <c r="AX32" i="2"/>
  <c r="AX46" i="2"/>
  <c r="AX25" i="2"/>
  <c r="AX41" i="2"/>
  <c r="AX33" i="2"/>
  <c r="AX52" i="2"/>
  <c r="AX20" i="2"/>
  <c r="AX48" i="2"/>
  <c r="BL21" i="2"/>
  <c r="BL13" i="2"/>
  <c r="BL6" i="3"/>
  <c r="BL6" i="2" s="1"/>
  <c r="BL7" i="2"/>
  <c r="BL5" i="2"/>
  <c r="BL12" i="2"/>
  <c r="BL11" i="2"/>
  <c r="BL9" i="3"/>
  <c r="BL9" i="2" s="1"/>
  <c r="BL10" i="2"/>
  <c r="BL8" i="2"/>
  <c r="BL20" i="2"/>
  <c r="BL42" i="2"/>
  <c r="BL30" i="2"/>
  <c r="BL44" i="2"/>
  <c r="BL25" i="2"/>
  <c r="BL45" i="2"/>
  <c r="BL29" i="2"/>
  <c r="BL47" i="2"/>
  <c r="BL23" i="3"/>
  <c r="BL24" i="2"/>
  <c r="BL46" i="2"/>
  <c r="BL17" i="2"/>
  <c r="BL36" i="2"/>
  <c r="BL53" i="2"/>
  <c r="BL32" i="2"/>
  <c r="BL52" i="2"/>
  <c r="BL26" i="2"/>
  <c r="BL49" i="2"/>
  <c r="BL33" i="2"/>
  <c r="BL50" i="2"/>
  <c r="BL14" i="2"/>
  <c r="BL38" i="2"/>
  <c r="BL34" i="2"/>
  <c r="BL48" i="2"/>
  <c r="BL19" i="2"/>
  <c r="BL37" i="2"/>
  <c r="BL31" i="2"/>
  <c r="BL51" i="2"/>
  <c r="BL27" i="3"/>
  <c r="BL27" i="2" s="1"/>
  <c r="BL28" i="2"/>
  <c r="BL41" i="2"/>
  <c r="BL18" i="2"/>
  <c r="BL35" i="2"/>
  <c r="BL4" i="2"/>
  <c r="BL39" i="2"/>
  <c r="AF21" i="2"/>
  <c r="AF13" i="2"/>
  <c r="AF6" i="3"/>
  <c r="AF6" i="2" s="1"/>
  <c r="AF7" i="2"/>
  <c r="AF5" i="2"/>
  <c r="AF12" i="2"/>
  <c r="AF11" i="2"/>
  <c r="AF9" i="3"/>
  <c r="AF9" i="2" s="1"/>
  <c r="AF10" i="2"/>
  <c r="AF8" i="2"/>
  <c r="AF25" i="2"/>
  <c r="AF38" i="2"/>
  <c r="AF34" i="2"/>
  <c r="AF48" i="2"/>
  <c r="AF26" i="2"/>
  <c r="AF39" i="2"/>
  <c r="AF33" i="2"/>
  <c r="AF50" i="2"/>
  <c r="AF27" i="3"/>
  <c r="AF27" i="2" s="1"/>
  <c r="AF28" i="2"/>
  <c r="AF41" i="2"/>
  <c r="AF19" i="2"/>
  <c r="AF37" i="2"/>
  <c r="AF29" i="2"/>
  <c r="AF47" i="2"/>
  <c r="AF17" i="2"/>
  <c r="AF36" i="2"/>
  <c r="AF53" i="2"/>
  <c r="AF30" i="2"/>
  <c r="AF44" i="2"/>
  <c r="AF4" i="2"/>
  <c r="AF45" i="2"/>
  <c r="AF31" i="2"/>
  <c r="AF49" i="2"/>
  <c r="AF14" i="2"/>
  <c r="AF51" i="2"/>
  <c r="AF18" i="2"/>
  <c r="AF35" i="2"/>
  <c r="AF32" i="2"/>
  <c r="AF52" i="2"/>
  <c r="AF20" i="2"/>
  <c r="AF42" i="2"/>
  <c r="AF23" i="3"/>
  <c r="AF24" i="2"/>
  <c r="AF46" i="2"/>
  <c r="CE9" i="3"/>
  <c r="CE9" i="2" s="1"/>
  <c r="CE10" i="2"/>
  <c r="CE8" i="2"/>
  <c r="CE21" i="2"/>
  <c r="CE13" i="2"/>
  <c r="CE6" i="3"/>
  <c r="CE6" i="2" s="1"/>
  <c r="CE7" i="2"/>
  <c r="CE5" i="2"/>
  <c r="CE12" i="2"/>
  <c r="CE11" i="2"/>
  <c r="CE23" i="3"/>
  <c r="CE24" i="2"/>
  <c r="CE47" i="2"/>
  <c r="CE26" i="2"/>
  <c r="CE45" i="2"/>
  <c r="CE20" i="2"/>
  <c r="CE50" i="2"/>
  <c r="CE30" i="2"/>
  <c r="CE44" i="2"/>
  <c r="CE25" i="2"/>
  <c r="CE41" i="2"/>
  <c r="CE18" i="2"/>
  <c r="CE38" i="2"/>
  <c r="CE53" i="2"/>
  <c r="CE33" i="2"/>
  <c r="CE46" i="2"/>
  <c r="CE27" i="3"/>
  <c r="CE27" i="2" s="1"/>
  <c r="CE28" i="2"/>
  <c r="CE51" i="2"/>
  <c r="CE34" i="2"/>
  <c r="CE48" i="2"/>
  <c r="CE19" i="2"/>
  <c r="CE39" i="2"/>
  <c r="CE31" i="2"/>
  <c r="CE49" i="2"/>
  <c r="CE4" i="2"/>
  <c r="CE35" i="2"/>
  <c r="CE32" i="2"/>
  <c r="CE52" i="2"/>
  <c r="CE29" i="2"/>
  <c r="CE42" i="2"/>
  <c r="CE17" i="2"/>
  <c r="CE37" i="2"/>
  <c r="CE14" i="2"/>
  <c r="CE36" i="2"/>
  <c r="AY9" i="3"/>
  <c r="AY9" i="2" s="1"/>
  <c r="AY10" i="2"/>
  <c r="AY8" i="2"/>
  <c r="AY21" i="2"/>
  <c r="AY13" i="2"/>
  <c r="AY6" i="3"/>
  <c r="AY6" i="2" s="1"/>
  <c r="AY7" i="2"/>
  <c r="AY5" i="2"/>
  <c r="AY12" i="2"/>
  <c r="AY11" i="2"/>
  <c r="AY19" i="2"/>
  <c r="AY50" i="2"/>
  <c r="AY27" i="3"/>
  <c r="AY27" i="2" s="1"/>
  <c r="AY28" i="2"/>
  <c r="AY49" i="2"/>
  <c r="AY14" i="2"/>
  <c r="AY41" i="2"/>
  <c r="AY34" i="2"/>
  <c r="AY45" i="2"/>
  <c r="AY29" i="2"/>
  <c r="AY46" i="2"/>
  <c r="AY4" i="2"/>
  <c r="AY35" i="2"/>
  <c r="AY30" i="2"/>
  <c r="AY48" i="2"/>
  <c r="AY18" i="2"/>
  <c r="AY38" i="2"/>
  <c r="AY53" i="2"/>
  <c r="AY31" i="2"/>
  <c r="AY51" i="2"/>
  <c r="AY20" i="2"/>
  <c r="AY36" i="2"/>
  <c r="AY32" i="2"/>
  <c r="AY52" i="2"/>
  <c r="AY23" i="3"/>
  <c r="AY24" i="2"/>
  <c r="AY39" i="2"/>
  <c r="AY17" i="2"/>
  <c r="AY37" i="2"/>
  <c r="AY33" i="2"/>
  <c r="AY44" i="2"/>
  <c r="AY26" i="2"/>
  <c r="AY47" i="2"/>
  <c r="AY25" i="2"/>
  <c r="AY42" i="2"/>
  <c r="S9" i="3"/>
  <c r="S9" i="2" s="1"/>
  <c r="S10" i="2"/>
  <c r="S8" i="2"/>
  <c r="S21" i="2"/>
  <c r="S13" i="2"/>
  <c r="S6" i="3"/>
  <c r="S6" i="2" s="1"/>
  <c r="S7" i="2"/>
  <c r="S5" i="2"/>
  <c r="S12" i="2"/>
  <c r="S11" i="2"/>
  <c r="S14" i="2"/>
  <c r="S41" i="2"/>
  <c r="S17" i="2"/>
  <c r="S38" i="2"/>
  <c r="S53" i="2"/>
  <c r="S29" i="2"/>
  <c r="S46" i="2"/>
  <c r="S27" i="3"/>
  <c r="S27" i="2" s="1"/>
  <c r="S28" i="2"/>
  <c r="S49" i="2"/>
  <c r="S30" i="2"/>
  <c r="S48" i="2"/>
  <c r="S23" i="3"/>
  <c r="S24" i="2"/>
  <c r="S39" i="2"/>
  <c r="S31" i="2"/>
  <c r="S51" i="2"/>
  <c r="S4" i="2"/>
  <c r="S35" i="2"/>
  <c r="S32" i="2"/>
  <c r="S52" i="2"/>
  <c r="S25" i="2"/>
  <c r="S42" i="2"/>
  <c r="S18" i="2"/>
  <c r="S37" i="2"/>
  <c r="S20" i="2"/>
  <c r="S36" i="2"/>
  <c r="S26" i="2"/>
  <c r="S47" i="2"/>
  <c r="S34" i="2"/>
  <c r="S45" i="2"/>
  <c r="S19" i="2"/>
  <c r="S50" i="2"/>
  <c r="S33" i="2"/>
  <c r="S44" i="2"/>
  <c r="AW12" i="2"/>
  <c r="AW11" i="2"/>
  <c r="AW9" i="3"/>
  <c r="AW9" i="2" s="1"/>
  <c r="AW10" i="2"/>
  <c r="AW21" i="2"/>
  <c r="AW13" i="2"/>
  <c r="AW6" i="3"/>
  <c r="AW6" i="2" s="1"/>
  <c r="AW7" i="2"/>
  <c r="AW5" i="2"/>
  <c r="AW8" i="2"/>
  <c r="AW27" i="3"/>
  <c r="AW27" i="2" s="1"/>
  <c r="AW28" i="2"/>
  <c r="AW49" i="2"/>
  <c r="AW19" i="2"/>
  <c r="AW41" i="2"/>
  <c r="AW29" i="2"/>
  <c r="AW47" i="2"/>
  <c r="AW17" i="2"/>
  <c r="AW37" i="2"/>
  <c r="AW30" i="2"/>
  <c r="AW51" i="2"/>
  <c r="AW4" i="2"/>
  <c r="AW45" i="2"/>
  <c r="AW18" i="2"/>
  <c r="AW35" i="2"/>
  <c r="AW53" i="2"/>
  <c r="AW14" i="2"/>
  <c r="AW44" i="2"/>
  <c r="AW23" i="3"/>
  <c r="AW24" i="2"/>
  <c r="AW36" i="2"/>
  <c r="AW32" i="2"/>
  <c r="AW46" i="2"/>
  <c r="AW20" i="2"/>
  <c r="AW42" i="2"/>
  <c r="AW31" i="2"/>
  <c r="AW48" i="2"/>
  <c r="AW25" i="2"/>
  <c r="AW38" i="2"/>
  <c r="AW34" i="2"/>
  <c r="AW52" i="2"/>
  <c r="AW26" i="2"/>
  <c r="AW39" i="2"/>
  <c r="AW33" i="2"/>
  <c r="AW50" i="2"/>
  <c r="BR11" i="2"/>
  <c r="BR9" i="3"/>
  <c r="BR9" i="2" s="1"/>
  <c r="BR10" i="2"/>
  <c r="BR8" i="2"/>
  <c r="BR21" i="2"/>
  <c r="BR13" i="2"/>
  <c r="BR12" i="2"/>
  <c r="BR5" i="2"/>
  <c r="BR6" i="3"/>
  <c r="BR6" i="2" s="1"/>
  <c r="BR7" i="2"/>
  <c r="BR19" i="2"/>
  <c r="BR38" i="2"/>
  <c r="BR27" i="3"/>
  <c r="BR27" i="2" s="1"/>
  <c r="BR28" i="2"/>
  <c r="BR46" i="2"/>
  <c r="BR14" i="2"/>
  <c r="BR41" i="2"/>
  <c r="BR26" i="2"/>
  <c r="BR49" i="2"/>
  <c r="BR4" i="2"/>
  <c r="BR37" i="2"/>
  <c r="BR18" i="2"/>
  <c r="BR39" i="2"/>
  <c r="BR53" i="2"/>
  <c r="BR34" i="2"/>
  <c r="BR48" i="2"/>
  <c r="BR29" i="2"/>
  <c r="BR50" i="2"/>
  <c r="BR31" i="2"/>
  <c r="BR45" i="2"/>
  <c r="BR20" i="2"/>
  <c r="BR44" i="2"/>
  <c r="BR32" i="2"/>
  <c r="BR51" i="2"/>
  <c r="BR23" i="3"/>
  <c r="BR24" i="2"/>
  <c r="BR36" i="2"/>
  <c r="BR33" i="2"/>
  <c r="BR52" i="2"/>
  <c r="BR30" i="2"/>
  <c r="BR42" i="2"/>
  <c r="BR17" i="2"/>
  <c r="BR35" i="2"/>
  <c r="BR25" i="2"/>
  <c r="BR47" i="2"/>
  <c r="AC12" i="2"/>
  <c r="AC11" i="2"/>
  <c r="AC9" i="3"/>
  <c r="AC9" i="2" s="1"/>
  <c r="AC10" i="2"/>
  <c r="AC21" i="2"/>
  <c r="AC13" i="2"/>
  <c r="AC6" i="3"/>
  <c r="AC6" i="2" s="1"/>
  <c r="AC7" i="2"/>
  <c r="AC5" i="2"/>
  <c r="AC8" i="2"/>
  <c r="AC4" i="2"/>
  <c r="AC48" i="2"/>
  <c r="AC17" i="2"/>
  <c r="AC35" i="2"/>
  <c r="AC53" i="2"/>
  <c r="AC31" i="2"/>
  <c r="AC38" i="2"/>
  <c r="AC30" i="2"/>
  <c r="AC52" i="2"/>
  <c r="AC32" i="2"/>
  <c r="AC44" i="2"/>
  <c r="AC20" i="2"/>
  <c r="AC36" i="2"/>
  <c r="AC33" i="2"/>
  <c r="AC47" i="2"/>
  <c r="AC23" i="3"/>
  <c r="AC24" i="2"/>
  <c r="AC37" i="2"/>
  <c r="AC34" i="2"/>
  <c r="AC51" i="2"/>
  <c r="AC26" i="2"/>
  <c r="AC50" i="2"/>
  <c r="AC18" i="2"/>
  <c r="AC41" i="2"/>
  <c r="AC25" i="2"/>
  <c r="AC42" i="2"/>
  <c r="AC19" i="2"/>
  <c r="AC45" i="2"/>
  <c r="AC29" i="2"/>
  <c r="AC46" i="2"/>
  <c r="AC14" i="2"/>
  <c r="AC49" i="2"/>
  <c r="AC27" i="3"/>
  <c r="AC27" i="2" s="1"/>
  <c r="AC28" i="2"/>
  <c r="AC39" i="2"/>
  <c r="AP11" i="2"/>
  <c r="AP9" i="3"/>
  <c r="AP9" i="2" s="1"/>
  <c r="AP10" i="2"/>
  <c r="AP8" i="2"/>
  <c r="AP21" i="2"/>
  <c r="AP13" i="2"/>
  <c r="AP12" i="2"/>
  <c r="AP6" i="3"/>
  <c r="AP6" i="2" s="1"/>
  <c r="AP7" i="2"/>
  <c r="AP5" i="2"/>
  <c r="AP26" i="2"/>
  <c r="AP51" i="2"/>
  <c r="AP19" i="2"/>
  <c r="AP38" i="2"/>
  <c r="AP27" i="3"/>
  <c r="AP27" i="2" s="1"/>
  <c r="AP28" i="2"/>
  <c r="AP46" i="2"/>
  <c r="AP18" i="2"/>
  <c r="AP35" i="2"/>
  <c r="AP29" i="2"/>
  <c r="AP50" i="2"/>
  <c r="AP4" i="2"/>
  <c r="AP42" i="2"/>
  <c r="AP17" i="2"/>
  <c r="AP36" i="2"/>
  <c r="AP53" i="2"/>
  <c r="AP14" i="2"/>
  <c r="AP41" i="2"/>
  <c r="AP23" i="3"/>
  <c r="AP24" i="2"/>
  <c r="AP39" i="2"/>
  <c r="AP31" i="2"/>
  <c r="AP45" i="2"/>
  <c r="AP20" i="2"/>
  <c r="AP48" i="2"/>
  <c r="AP34" i="2"/>
  <c r="AP47" i="2"/>
  <c r="AP25" i="2"/>
  <c r="AP37" i="2"/>
  <c r="AP33" i="2"/>
  <c r="AP52" i="2"/>
  <c r="AP30" i="2"/>
  <c r="AP44" i="2"/>
  <c r="AP32" i="2"/>
  <c r="AP49" i="2"/>
  <c r="O9" i="3"/>
  <c r="O9" i="2" s="1"/>
  <c r="O10" i="2"/>
  <c r="O8" i="2"/>
  <c r="O21" i="2"/>
  <c r="O13" i="2"/>
  <c r="O6" i="3"/>
  <c r="O6" i="2" s="1"/>
  <c r="O7" i="2"/>
  <c r="O5" i="2"/>
  <c r="O12" i="2"/>
  <c r="O11" i="2"/>
  <c r="O18" i="2"/>
  <c r="O35" i="2"/>
  <c r="O33" i="2"/>
  <c r="O42" i="2"/>
  <c r="O26" i="2"/>
  <c r="O50" i="2"/>
  <c r="O25" i="2"/>
  <c r="O41" i="2"/>
  <c r="O19" i="2"/>
  <c r="O46" i="2"/>
  <c r="O27" i="3"/>
  <c r="O27" i="2" s="1"/>
  <c r="O28" i="2"/>
  <c r="O49" i="2"/>
  <c r="O14" i="2"/>
  <c r="O36" i="2"/>
  <c r="O34" i="2"/>
  <c r="O48" i="2"/>
  <c r="O29" i="2"/>
  <c r="O47" i="2"/>
  <c r="O4" i="2"/>
  <c r="O37" i="2"/>
  <c r="O30" i="2"/>
  <c r="O44" i="2"/>
  <c r="O17" i="2"/>
  <c r="O38" i="2"/>
  <c r="O53" i="2"/>
  <c r="O31" i="2"/>
  <c r="O45" i="2"/>
  <c r="O20" i="2"/>
  <c r="O51" i="2"/>
  <c r="O32" i="2"/>
  <c r="O52" i="2"/>
  <c r="O23" i="3"/>
  <c r="O24" i="2"/>
  <c r="O39" i="2"/>
  <c r="BW9" i="3"/>
  <c r="BW9" i="2" s="1"/>
  <c r="BW10" i="2"/>
  <c r="BW8" i="2"/>
  <c r="BW21" i="2"/>
  <c r="BW13" i="2"/>
  <c r="BW6" i="3"/>
  <c r="BW6" i="2" s="1"/>
  <c r="BW7" i="2"/>
  <c r="BW5" i="2"/>
  <c r="BW12" i="2"/>
  <c r="BW11" i="2"/>
  <c r="BW30" i="2"/>
  <c r="BW48" i="2"/>
  <c r="BW23" i="3"/>
  <c r="BW24" i="2"/>
  <c r="BW47" i="2"/>
  <c r="BW26" i="2"/>
  <c r="BW45" i="2"/>
  <c r="BW17" i="2"/>
  <c r="BW35" i="2"/>
  <c r="BW27" i="3"/>
  <c r="BW27" i="2" s="1"/>
  <c r="BW28" i="2"/>
  <c r="BW51" i="2"/>
  <c r="BW25" i="2"/>
  <c r="BW42" i="2"/>
  <c r="BW18" i="2"/>
  <c r="BW38" i="2"/>
  <c r="BW53" i="2"/>
  <c r="BW20" i="2"/>
  <c r="BW36" i="2"/>
  <c r="BW4" i="2"/>
  <c r="BW37" i="2"/>
  <c r="BW34" i="2"/>
  <c r="BW50" i="2"/>
  <c r="BW19" i="2"/>
  <c r="BW39" i="2"/>
  <c r="BW33" i="2"/>
  <c r="BW44" i="2"/>
  <c r="BW14" i="2"/>
  <c r="BW41" i="2"/>
  <c r="BW32" i="2"/>
  <c r="BW52" i="2"/>
  <c r="BW29" i="2"/>
  <c r="BW46" i="2"/>
  <c r="BW31" i="2"/>
  <c r="BW49" i="2"/>
  <c r="AQ9" i="3"/>
  <c r="AQ9" i="2" s="1"/>
  <c r="AQ10" i="2"/>
  <c r="AQ8" i="2"/>
  <c r="AQ21" i="2"/>
  <c r="AQ13" i="2"/>
  <c r="AQ6" i="3"/>
  <c r="AQ6" i="2" s="1"/>
  <c r="AQ7" i="2"/>
  <c r="AQ5" i="2"/>
  <c r="AQ12" i="2"/>
  <c r="AQ11" i="2"/>
  <c r="AQ34" i="2"/>
  <c r="AQ50" i="2"/>
  <c r="AQ19" i="2"/>
  <c r="AQ39" i="2"/>
  <c r="AQ27" i="3"/>
  <c r="AQ27" i="2" s="1"/>
  <c r="AQ28" i="2"/>
  <c r="AQ49" i="2"/>
  <c r="AQ23" i="3"/>
  <c r="AQ24" i="2"/>
  <c r="AQ47" i="2"/>
  <c r="AQ18" i="2"/>
  <c r="AQ38" i="2"/>
  <c r="AQ53" i="2"/>
  <c r="AQ29" i="2"/>
  <c r="AQ46" i="2"/>
  <c r="AQ4" i="2"/>
  <c r="AQ37" i="2"/>
  <c r="AQ14" i="2"/>
  <c r="AQ41" i="2"/>
  <c r="AQ26" i="2"/>
  <c r="AQ51" i="2"/>
  <c r="AQ31" i="2"/>
  <c r="AQ45" i="2"/>
  <c r="AQ20" i="2"/>
  <c r="AQ36" i="2"/>
  <c r="AQ30" i="2"/>
  <c r="AQ48" i="2"/>
  <c r="AQ25" i="2"/>
  <c r="AQ42" i="2"/>
  <c r="AQ17" i="2"/>
  <c r="AQ35" i="2"/>
  <c r="AQ33" i="2"/>
  <c r="AQ44" i="2"/>
  <c r="AQ32" i="2"/>
  <c r="AQ52" i="2"/>
  <c r="K9" i="3"/>
  <c r="K9" i="2" s="1"/>
  <c r="K10" i="2"/>
  <c r="K8" i="2"/>
  <c r="K21" i="2"/>
  <c r="K13" i="2"/>
  <c r="K6" i="3"/>
  <c r="K6" i="2" s="1"/>
  <c r="K7" i="2"/>
  <c r="K5" i="2"/>
  <c r="K12" i="2"/>
  <c r="K11" i="2"/>
  <c r="K27" i="3"/>
  <c r="K27" i="2" s="1"/>
  <c r="K28" i="2"/>
  <c r="K49" i="2"/>
  <c r="K14" i="2"/>
  <c r="K41" i="2"/>
  <c r="K17" i="2"/>
  <c r="K35" i="2"/>
  <c r="K53" i="2"/>
  <c r="K19" i="2"/>
  <c r="K39" i="2"/>
  <c r="K4" i="2"/>
  <c r="K37" i="2"/>
  <c r="K30" i="2"/>
  <c r="K48" i="2"/>
  <c r="K23" i="3"/>
  <c r="K24" i="2"/>
  <c r="K51" i="2"/>
  <c r="K29" i="2"/>
  <c r="K46" i="2"/>
  <c r="K20" i="2"/>
  <c r="K36" i="2"/>
  <c r="K32" i="2"/>
  <c r="K52" i="2"/>
  <c r="K25" i="2"/>
  <c r="K42" i="2"/>
  <c r="K31" i="2"/>
  <c r="K45" i="2"/>
  <c r="K33" i="2"/>
  <c r="K44" i="2"/>
  <c r="K26" i="2"/>
  <c r="K47" i="2"/>
  <c r="K34" i="2"/>
  <c r="K50" i="2"/>
  <c r="K18" i="2"/>
  <c r="K38" i="2"/>
  <c r="BS9" i="3"/>
  <c r="BS9" i="2" s="1"/>
  <c r="BS10" i="2"/>
  <c r="BS8" i="2"/>
  <c r="BS21" i="2"/>
  <c r="BS13" i="2"/>
  <c r="BS6" i="3"/>
  <c r="BS6" i="2" s="1"/>
  <c r="BS7" i="2"/>
  <c r="BS5" i="2"/>
  <c r="BS12" i="2"/>
  <c r="BS11" i="2"/>
  <c r="BS14" i="2"/>
  <c r="BS47" i="2"/>
  <c r="BS18" i="2"/>
  <c r="BS37" i="2"/>
  <c r="BS53" i="2"/>
  <c r="BS29" i="2"/>
  <c r="BS44" i="2"/>
  <c r="BS27" i="3"/>
  <c r="BS27" i="2" s="1"/>
  <c r="BS28" i="2"/>
  <c r="BS51" i="2"/>
  <c r="BS30" i="2"/>
  <c r="BS45" i="2"/>
  <c r="BS26" i="2"/>
  <c r="BS46" i="2"/>
  <c r="BS31" i="2"/>
  <c r="BS49" i="2"/>
  <c r="BS4" i="2"/>
  <c r="BS38" i="2"/>
  <c r="BS32" i="2"/>
  <c r="BS52" i="2"/>
  <c r="BS25" i="2"/>
  <c r="BS42" i="2"/>
  <c r="BS17" i="2"/>
  <c r="BS35" i="2"/>
  <c r="BS20" i="2"/>
  <c r="BS41" i="2"/>
  <c r="BS23" i="3"/>
  <c r="BS24" i="2"/>
  <c r="BS39" i="2"/>
  <c r="BS34" i="2"/>
  <c r="BS50" i="2"/>
  <c r="BS19" i="2"/>
  <c r="BS36" i="2"/>
  <c r="BS33" i="2"/>
  <c r="BS48" i="2"/>
  <c r="AM9" i="3"/>
  <c r="AM9" i="2" s="1"/>
  <c r="AM10" i="2"/>
  <c r="AM8" i="2"/>
  <c r="AM21" i="2"/>
  <c r="AM13" i="2"/>
  <c r="AM6" i="3"/>
  <c r="AM6" i="2" s="1"/>
  <c r="AM7" i="2"/>
  <c r="AM5" i="2"/>
  <c r="AM12" i="2"/>
  <c r="AM11" i="2"/>
  <c r="AM26" i="2"/>
  <c r="AM39" i="2"/>
  <c r="AM34" i="2"/>
  <c r="AM45" i="2"/>
  <c r="AM19" i="2"/>
  <c r="AM36" i="2"/>
  <c r="AM33" i="2"/>
  <c r="AM48" i="2"/>
  <c r="AM14" i="2"/>
  <c r="AM47" i="2"/>
  <c r="AM18" i="2"/>
  <c r="AM37" i="2"/>
  <c r="AM53" i="2"/>
  <c r="AM29" i="2"/>
  <c r="AM44" i="2"/>
  <c r="AM27" i="3"/>
  <c r="AM27" i="2" s="1"/>
  <c r="AM28" i="2"/>
  <c r="AM49" i="2"/>
  <c r="AM30" i="2"/>
  <c r="AM51" i="2"/>
  <c r="AM23" i="3"/>
  <c r="AM24" i="2"/>
  <c r="AM46" i="2"/>
  <c r="AM31" i="2"/>
  <c r="AM50" i="2"/>
  <c r="AM4" i="2"/>
  <c r="AM38" i="2"/>
  <c r="AM32" i="2"/>
  <c r="AM52" i="2"/>
  <c r="AM25" i="2"/>
  <c r="AM42" i="2"/>
  <c r="AM17" i="2"/>
  <c r="AM35" i="2"/>
  <c r="AM20" i="2"/>
  <c r="AM41" i="2"/>
  <c r="G9" i="3"/>
  <c r="G9" i="2" s="1"/>
  <c r="G10" i="2"/>
  <c r="G8" i="2"/>
  <c r="G21" i="2"/>
  <c r="G13" i="2"/>
  <c r="G6" i="3"/>
  <c r="G6" i="2" s="1"/>
  <c r="G7" i="2"/>
  <c r="G5" i="2"/>
  <c r="G12" i="2"/>
  <c r="G11" i="2"/>
  <c r="G34" i="2"/>
  <c r="G45" i="2"/>
  <c r="G19" i="2"/>
  <c r="G36" i="2"/>
  <c r="G27" i="3"/>
  <c r="G27" i="2" s="1"/>
  <c r="G28" i="2"/>
  <c r="G50" i="2"/>
  <c r="G26" i="2"/>
  <c r="G39" i="2"/>
  <c r="G17" i="2"/>
  <c r="G37" i="2"/>
  <c r="G53" i="2"/>
  <c r="G29" i="2"/>
  <c r="G44" i="2"/>
  <c r="G4" i="2"/>
  <c r="G38" i="2"/>
  <c r="G14" i="2"/>
  <c r="G47" i="2"/>
  <c r="G23" i="3"/>
  <c r="G24" i="2"/>
  <c r="G46" i="2"/>
  <c r="G31" i="2"/>
  <c r="G49" i="2"/>
  <c r="G20" i="2"/>
  <c r="G41" i="2"/>
  <c r="G30" i="2"/>
  <c r="G51" i="2"/>
  <c r="G25" i="2"/>
  <c r="G42" i="2"/>
  <c r="G18" i="2"/>
  <c r="G35" i="2"/>
  <c r="G33" i="2"/>
  <c r="G48" i="2"/>
  <c r="G32" i="2"/>
  <c r="G52" i="2"/>
  <c r="BX2" i="2"/>
  <c r="AR2" i="2"/>
  <c r="L2" i="2"/>
  <c r="BK2" i="2"/>
  <c r="BU2" i="2"/>
  <c r="I2" i="2"/>
  <c r="AD2" i="2"/>
  <c r="BA2" i="2"/>
  <c r="Z2" i="2"/>
  <c r="R2" i="2"/>
  <c r="BT2" i="2"/>
  <c r="AN2" i="2"/>
  <c r="H2" i="2"/>
  <c r="BM2" i="2"/>
  <c r="CH2" i="2"/>
  <c r="V2" i="2"/>
  <c r="AS2" i="2"/>
  <c r="BN2" i="2"/>
  <c r="CD2" i="2"/>
  <c r="BP2" i="2"/>
  <c r="AJ2" i="2"/>
  <c r="BE2" i="2"/>
  <c r="BZ2" i="2"/>
  <c r="N2" i="2"/>
  <c r="AK2" i="2"/>
  <c r="AH2" i="2"/>
  <c r="CB2" i="2"/>
  <c r="AV2" i="2"/>
  <c r="P2" i="2"/>
  <c r="BO2" i="2"/>
  <c r="AI2" i="2"/>
  <c r="CC2" i="2"/>
  <c r="Q2" i="2"/>
  <c r="AL2" i="2"/>
  <c r="BI2" i="2"/>
  <c r="BF2" i="2"/>
  <c r="AE2" i="2"/>
  <c r="BG2" i="2"/>
  <c r="AA2" i="2"/>
  <c r="CI2" i="2"/>
  <c r="BC2" i="2"/>
  <c r="W2" i="2"/>
  <c r="BH2" i="2"/>
  <c r="AB2" i="2"/>
  <c r="CA2" i="2"/>
  <c r="AU2" i="2"/>
  <c r="AO2" i="2"/>
  <c r="BJ2" i="2"/>
  <c r="CG2" i="2"/>
  <c r="U2" i="2"/>
  <c r="BV2" i="2"/>
  <c r="CJ2" i="2"/>
  <c r="BD2" i="2"/>
  <c r="X2" i="2"/>
  <c r="AG2" i="2"/>
  <c r="BB2" i="2"/>
  <c r="BY2" i="2"/>
  <c r="M2" i="2"/>
  <c r="J2" i="2"/>
  <c r="CF2" i="2"/>
  <c r="AZ2" i="2"/>
  <c r="T2" i="2"/>
  <c r="CK2" i="2"/>
  <c r="Y2" i="2"/>
  <c r="AT2" i="2"/>
  <c r="BQ2" i="2"/>
  <c r="F2" i="2"/>
  <c r="AX2" i="2"/>
  <c r="BL2" i="2"/>
  <c r="AF2" i="2"/>
  <c r="CE2" i="2"/>
  <c r="AY2" i="2"/>
  <c r="S2" i="2"/>
  <c r="AW2" i="2"/>
  <c r="BR2" i="2"/>
  <c r="AC2" i="2"/>
  <c r="AP2" i="2"/>
  <c r="O2" i="2"/>
  <c r="BW2" i="2"/>
  <c r="AQ2" i="2"/>
  <c r="K2" i="2"/>
  <c r="BS2" i="2"/>
  <c r="AM2" i="2"/>
  <c r="G2" i="2"/>
  <c r="B9" i="5" l="1"/>
  <c r="B10" i="5" s="1"/>
  <c r="G22" i="3"/>
  <c r="G22" i="2" s="1"/>
  <c r="G23" i="2"/>
  <c r="O22" i="3"/>
  <c r="O22" i="2" s="1"/>
  <c r="O23" i="2"/>
  <c r="AF22" i="3"/>
  <c r="AF22" i="2" s="1"/>
  <c r="AF23" i="2"/>
  <c r="F22" i="3"/>
  <c r="F22" i="2" s="1"/>
  <c r="F23" i="2"/>
  <c r="Y22" i="3"/>
  <c r="Y22" i="2" s="1"/>
  <c r="Y23" i="2"/>
  <c r="T22" i="3"/>
  <c r="T22" i="2" s="1"/>
  <c r="T23" i="2"/>
  <c r="BB22" i="3"/>
  <c r="BB22" i="2" s="1"/>
  <c r="BB23" i="2"/>
  <c r="BD22" i="3"/>
  <c r="BD22" i="2" s="1"/>
  <c r="BD23" i="2"/>
  <c r="CJ22" i="3"/>
  <c r="CJ22" i="2" s="1"/>
  <c r="CJ23" i="2"/>
  <c r="AU22" i="3"/>
  <c r="AU22" i="2" s="1"/>
  <c r="AU23" i="2"/>
  <c r="AB22" i="3"/>
  <c r="AB22" i="2" s="1"/>
  <c r="AB23" i="2"/>
  <c r="CI22" i="3"/>
  <c r="CI22" i="2" s="1"/>
  <c r="CI23" i="2"/>
  <c r="BG22" i="3"/>
  <c r="BG22" i="2" s="1"/>
  <c r="BG23" i="2"/>
  <c r="AE22" i="3"/>
  <c r="AE22" i="2" s="1"/>
  <c r="AE23" i="2"/>
  <c r="BF22" i="3"/>
  <c r="BF22" i="2" s="1"/>
  <c r="BF23" i="2"/>
  <c r="Q22" i="3"/>
  <c r="Q22" i="2" s="1"/>
  <c r="Q23" i="2"/>
  <c r="CC22" i="3"/>
  <c r="CC22" i="2" s="1"/>
  <c r="CC23" i="2"/>
  <c r="BO22" i="3"/>
  <c r="BO22" i="2" s="1"/>
  <c r="BO23" i="2"/>
  <c r="CB22" i="3"/>
  <c r="CB22" i="2" s="1"/>
  <c r="CB23" i="2"/>
  <c r="AH22" i="3"/>
  <c r="AH22" i="2" s="1"/>
  <c r="AH23" i="2"/>
  <c r="AK22" i="3"/>
  <c r="AK22" i="2" s="1"/>
  <c r="AK23" i="2"/>
  <c r="AJ22" i="3"/>
  <c r="AJ22" i="2" s="1"/>
  <c r="AJ23" i="2"/>
  <c r="V22" i="3"/>
  <c r="V22" i="2" s="1"/>
  <c r="V23" i="2"/>
  <c r="R22" i="3"/>
  <c r="R22" i="2" s="1"/>
  <c r="R23" i="2"/>
  <c r="AD22" i="3"/>
  <c r="AD22" i="2" s="1"/>
  <c r="AD23" i="2"/>
  <c r="BK22" i="3"/>
  <c r="BK22" i="2" s="1"/>
  <c r="BK23" i="2"/>
  <c r="BX22" i="3"/>
  <c r="BX22" i="2" s="1"/>
  <c r="BX23" i="2"/>
  <c r="BW22" i="3"/>
  <c r="BW22" i="2" s="1"/>
  <c r="BW23" i="2"/>
  <c r="S22" i="3"/>
  <c r="S22" i="2" s="1"/>
  <c r="S23" i="2"/>
  <c r="BL22" i="3"/>
  <c r="BL22" i="2" s="1"/>
  <c r="BL23" i="2"/>
  <c r="CF22" i="3"/>
  <c r="CF22" i="2" s="1"/>
  <c r="CF23" i="2"/>
  <c r="J22" i="3"/>
  <c r="J22" i="2" s="1"/>
  <c r="J23" i="2"/>
  <c r="AG22" i="3"/>
  <c r="AG22" i="2" s="1"/>
  <c r="AG23" i="2"/>
  <c r="BV22" i="3"/>
  <c r="BV22" i="2" s="1"/>
  <c r="BV23" i="2"/>
  <c r="U22" i="3"/>
  <c r="U22" i="2" s="1"/>
  <c r="U23" i="2"/>
  <c r="CA22" i="3"/>
  <c r="CA22" i="2" s="1"/>
  <c r="CA23" i="2"/>
  <c r="BH22" i="3"/>
  <c r="BH22" i="2" s="1"/>
  <c r="BH23" i="2"/>
  <c r="BC22" i="3"/>
  <c r="BC22" i="2" s="1"/>
  <c r="BC23" i="2"/>
  <c r="AA22" i="3"/>
  <c r="AA22" i="2" s="1"/>
  <c r="AA23" i="2"/>
  <c r="BI22" i="3"/>
  <c r="BI22" i="2" s="1"/>
  <c r="BI23" i="2"/>
  <c r="AL22" i="3"/>
  <c r="AL22" i="2" s="1"/>
  <c r="AL23" i="2"/>
  <c r="AI22" i="3"/>
  <c r="AI22" i="2" s="1"/>
  <c r="AI23" i="2"/>
  <c r="P22" i="3"/>
  <c r="P22" i="2" s="1"/>
  <c r="P23" i="2"/>
  <c r="N22" i="3"/>
  <c r="N22" i="2" s="1"/>
  <c r="N23" i="2"/>
  <c r="BZ22" i="3"/>
  <c r="BZ22" i="2" s="1"/>
  <c r="BZ23" i="2"/>
  <c r="BT22" i="3"/>
  <c r="BT22" i="2" s="1"/>
  <c r="BT23" i="2"/>
  <c r="I22" i="3"/>
  <c r="I22" i="2" s="1"/>
  <c r="I23" i="2"/>
  <c r="L22" i="3"/>
  <c r="L22" i="2" s="1"/>
  <c r="L23" i="2"/>
  <c r="BS22" i="3"/>
  <c r="BS22" i="2" s="1"/>
  <c r="BS23" i="2"/>
  <c r="AW22" i="3"/>
  <c r="AW22" i="2" s="1"/>
  <c r="AW23" i="2"/>
  <c r="AY22" i="3"/>
  <c r="AY22" i="2" s="1"/>
  <c r="AY23" i="2"/>
  <c r="AZ22" i="3"/>
  <c r="AZ22" i="2" s="1"/>
  <c r="AZ23" i="2"/>
  <c r="M22" i="3"/>
  <c r="M22" i="2" s="1"/>
  <c r="M23" i="2"/>
  <c r="X22" i="3"/>
  <c r="X22" i="2" s="1"/>
  <c r="X23" i="2"/>
  <c r="CG22" i="3"/>
  <c r="CG22" i="2" s="1"/>
  <c r="CG23" i="2"/>
  <c r="AO22" i="3"/>
  <c r="AO22" i="2" s="1"/>
  <c r="AO23" i="2"/>
  <c r="W22" i="3"/>
  <c r="W22" i="2" s="1"/>
  <c r="W23" i="2"/>
  <c r="AV22" i="3"/>
  <c r="AV22" i="2" s="1"/>
  <c r="AV23" i="2"/>
  <c r="BE22" i="3"/>
  <c r="BE22" i="2" s="1"/>
  <c r="BE23" i="2"/>
  <c r="BP22" i="3"/>
  <c r="BP22" i="2" s="1"/>
  <c r="BP23" i="2"/>
  <c r="BM22" i="3"/>
  <c r="BM22" i="2" s="1"/>
  <c r="BM23" i="2"/>
  <c r="H22" i="3"/>
  <c r="H22" i="2" s="1"/>
  <c r="H23" i="2"/>
  <c r="BA22" i="3"/>
  <c r="BA22" i="2" s="1"/>
  <c r="BA23" i="2"/>
  <c r="AM22" i="3"/>
  <c r="AM22" i="2" s="1"/>
  <c r="AM23" i="2"/>
  <c r="K22" i="3"/>
  <c r="K22" i="2" s="1"/>
  <c r="K23" i="2"/>
  <c r="AQ22" i="3"/>
  <c r="AQ22" i="2" s="1"/>
  <c r="AQ23" i="2"/>
  <c r="AP22" i="3"/>
  <c r="AP22" i="2" s="1"/>
  <c r="AP23" i="2"/>
  <c r="AC22" i="3"/>
  <c r="AC22" i="2" s="1"/>
  <c r="AC23" i="2"/>
  <c r="BR22" i="3"/>
  <c r="BR22" i="2" s="1"/>
  <c r="BR23" i="2"/>
  <c r="CE22" i="3"/>
  <c r="CE22" i="2" s="1"/>
  <c r="CE23" i="2"/>
  <c r="AX22" i="3"/>
  <c r="AX22" i="2" s="1"/>
  <c r="AX23" i="2"/>
  <c r="BQ22" i="3"/>
  <c r="BQ22" i="2" s="1"/>
  <c r="BQ23" i="2"/>
  <c r="AT22" i="3"/>
  <c r="AT22" i="2" s="1"/>
  <c r="AT23" i="2"/>
  <c r="CK22" i="3"/>
  <c r="CK22" i="2" s="1"/>
  <c r="CK23" i="2"/>
  <c r="BY22" i="3"/>
  <c r="BY22" i="2" s="1"/>
  <c r="BY23" i="2"/>
  <c r="BJ22" i="3"/>
  <c r="BJ22" i="2" s="1"/>
  <c r="BJ23" i="2"/>
  <c r="CD22" i="3"/>
  <c r="CD22" i="2" s="1"/>
  <c r="CD23" i="2"/>
  <c r="BN22" i="3"/>
  <c r="BN22" i="2" s="1"/>
  <c r="BN23" i="2"/>
  <c r="AS22" i="3"/>
  <c r="AS22" i="2" s="1"/>
  <c r="AS23" i="2"/>
  <c r="CH22" i="3"/>
  <c r="CH22" i="2" s="1"/>
  <c r="CH23" i="2"/>
  <c r="AN22" i="3"/>
  <c r="AN22" i="2" s="1"/>
  <c r="AN23" i="2"/>
  <c r="Z22" i="3"/>
  <c r="Z22" i="2" s="1"/>
  <c r="Z23" i="2"/>
  <c r="BU22" i="3"/>
  <c r="BU22" i="2" s="1"/>
  <c r="BU23" i="2"/>
  <c r="AR22" i="3"/>
  <c r="AR22" i="2" s="1"/>
  <c r="AR23" i="2"/>
</calcChain>
</file>

<file path=xl/sharedStrings.xml><?xml version="1.0" encoding="utf-8"?>
<sst xmlns="http://schemas.openxmlformats.org/spreadsheetml/2006/main" count="112" uniqueCount="111">
  <si>
    <t>**IMPORTANT NOTE**</t>
  </si>
  <si>
    <t>This document, the information contained herein and any derived information created therefrom are for the exclusive use of FREDRIK LINDAU at LONDON BUSINESS SCHO.</t>
  </si>
  <si>
    <t>~~~~~~~~~~~~~~~~~~~~~~~~~~~~~~~~~~~~~~~~~~~~~~~~~~~~~~~~~~~~~~~~~~~~~~~~~~~~~~~~~~~~~~~~~~~~~~~~~~~~~~~~~~~~~~~~~~~~~~~~~~~~~~~~~~~~~~~~~~~~~~~~~~~~~~~~~~~~~~~~</t>
  </si>
  <si>
    <t>**REFERENCE**</t>
  </si>
  <si>
    <t xml:space="preserve">     Spreadsheets generated from the BI Excel export can be used as reference tables to fuel various models and other sheets on your desktop.</t>
  </si>
  <si>
    <t xml:space="preserve">     Automated model building or 'drag and drop' from the BI export sheet are not supported at this time, but using the BI export</t>
  </si>
  <si>
    <t xml:space="preserve">     as a reference table for use in other spreadsheets is a powerful and convenient tool to help achieve your goals.</t>
  </si>
  <si>
    <t xml:space="preserve">   --The BI Excel export sheet typically contains two data tabs (certain BI modules like those in the 'Monitor' section on BI will only result in a single 'Sheet 1' data tab):</t>
  </si>
  <si>
    <t xml:space="preserve">     1) 'BIData':  This is the fully curated grid that is meant to be a clean, simple, synchronized match to what is seen on the BI dashboard. </t>
  </si>
  <si>
    <t xml:space="preserve">          The grid on the 'BIData' tab can be used as a reference table for use in your models and other downstream spreadsheets.</t>
  </si>
  <si>
    <t xml:space="preserve">     2) 'ReferenceData':  This is the tab where all the raw data is housed and data preparation is done.  There are typically 2 separate grids here:</t>
  </si>
  <si>
    <t xml:space="preserve">          a top curated grid that includes error handling, expressions, etc., and a bottom raw grid that includes any/all live API information for this export. </t>
  </si>
  <si>
    <t xml:space="preserve">          The bottom grid on the ReferenceData tab is where actual API (BDP/BDH) expressions are constructed, so refer to this section if you</t>
  </si>
  <si>
    <t xml:space="preserve">          are interested in seeing/using the underlying API details.</t>
  </si>
  <si>
    <t xml:space="preserve">          Note: In some cases the bottom grid will not exist (in the event that none of the data selected is coming from live API links).</t>
  </si>
  <si>
    <t xml:space="preserve">   --In any grid on either tab, there are common columns:</t>
  </si>
  <si>
    <t xml:space="preserve">     1) Description:  The row label that matches the row label you'd find on BI</t>
  </si>
  <si>
    <t xml:space="preserve">     2) Ticker:  The company/index ticker corresponding to that row (this is the ticker used in the </t>
  </si>
  <si>
    <t xml:space="preserve">          BDP/BDH formula for that row, if applicable)</t>
  </si>
  <si>
    <t xml:space="preserve">     3) Field ID:  The calcrout ID used to structure the BDP/BDH formula for that row (where applicable).</t>
  </si>
  <si>
    <t xml:space="preserve">     4) Field Mnemonic:  The calcrout mnemonic corresponding to the field ID used to structure the BDP/BDH formula for that row (where applicable).</t>
  </si>
  <si>
    <t xml:space="preserve">     5) Data State:  The state of the data within that particular row, including 'Dynamic', 'Static', 'Sum', 'Average', 'Median' or 'Heading'.  If 'Dynamic'</t>
  </si>
  <si>
    <t xml:space="preserve">          then new data will be expected to come to the sheet when it becomes available in the database with no need for another export.</t>
  </si>
  <si>
    <t xml:space="preserve">          If 'Static' then there are no live links in this row and new data will only be procured by running and exporting from BI again.</t>
  </si>
  <si>
    <t xml:space="preserve">          If it's 'Sum', 'Average', 'Median' or 'Expression', then new data may come to the sheet for some expression components, but</t>
  </si>
  <si>
    <t xml:space="preserve">          to ensure the latest data is present in the sheet, BI should be run and exported again.</t>
  </si>
  <si>
    <t>**HELP**</t>
  </si>
  <si>
    <t xml:space="preserve">     If you experience any issues with the BI Excel export process or results, run the BI&lt;GO&gt; function on your Bloomberg terminal, and then hit the &lt;HELP&gt; key twice.</t>
  </si>
  <si>
    <t>9/2023</t>
  </si>
  <si>
    <t>8/2023</t>
  </si>
  <si>
    <t>7/2023</t>
  </si>
  <si>
    <t>6/2023</t>
  </si>
  <si>
    <t>5/2023</t>
  </si>
  <si>
    <t>4/2023</t>
  </si>
  <si>
    <t>3/2023</t>
  </si>
  <si>
    <t>2/2023</t>
  </si>
  <si>
    <t>1/2023</t>
  </si>
  <si>
    <t>12/2022</t>
  </si>
  <si>
    <t>11/2022</t>
  </si>
  <si>
    <t>10/2022</t>
  </si>
  <si>
    <t>9/2022</t>
  </si>
  <si>
    <t>8/2022</t>
  </si>
  <si>
    <t>7/2022</t>
  </si>
  <si>
    <t>6/2022</t>
  </si>
  <si>
    <t>5/2022</t>
  </si>
  <si>
    <t>4/2022</t>
  </si>
  <si>
    <t>3/2022</t>
  </si>
  <si>
    <t>2/2022</t>
  </si>
  <si>
    <t>1/2022</t>
  </si>
  <si>
    <t>12/2021</t>
  </si>
  <si>
    <t>11/2021</t>
  </si>
  <si>
    <t>10/2021</t>
  </si>
  <si>
    <t>9/2021</t>
  </si>
  <si>
    <t>8/2021</t>
  </si>
  <si>
    <t>7/2021</t>
  </si>
  <si>
    <t>6/2021</t>
  </si>
  <si>
    <t>5/2021</t>
  </si>
  <si>
    <t>4/2021</t>
  </si>
  <si>
    <t>3/2021</t>
  </si>
  <si>
    <t>2/2021</t>
  </si>
  <si>
    <t>1/2021</t>
  </si>
  <si>
    <t>12/2020</t>
  </si>
  <si>
    <t>11/2020</t>
  </si>
  <si>
    <t>10/2020</t>
  </si>
  <si>
    <t>9/2020</t>
  </si>
  <si>
    <t>8/2020</t>
  </si>
  <si>
    <t>7/2020</t>
  </si>
  <si>
    <t>6/2020</t>
  </si>
  <si>
    <t>5/2020</t>
  </si>
  <si>
    <t>4/2020</t>
  </si>
  <si>
    <t>3/2020</t>
  </si>
  <si>
    <t>2/2020</t>
  </si>
  <si>
    <t>1/2020</t>
  </si>
  <si>
    <t>12/2019</t>
  </si>
  <si>
    <t>11/2019</t>
  </si>
  <si>
    <t>10/2019</t>
  </si>
  <si>
    <t>9/2019</t>
  </si>
  <si>
    <t>8/2019</t>
  </si>
  <si>
    <t>7/2019</t>
  </si>
  <si>
    <t>6/2019</t>
  </si>
  <si>
    <t>5/2019</t>
  </si>
  <si>
    <t>4/2019</t>
  </si>
  <si>
    <t>3/2019</t>
  </si>
  <si>
    <t>2/2019</t>
  </si>
  <si>
    <t>1/2019</t>
  </si>
  <si>
    <t>12/2018</t>
  </si>
  <si>
    <t>11/2018</t>
  </si>
  <si>
    <t>10/2018</t>
  </si>
  <si>
    <t>9/2018</t>
  </si>
  <si>
    <t>8/2018</t>
  </si>
  <si>
    <t>7/2018</t>
  </si>
  <si>
    <t>6/2018</t>
  </si>
  <si>
    <t>5/2018</t>
  </si>
  <si>
    <t>4/2018</t>
  </si>
  <si>
    <t>3/2018</t>
  </si>
  <si>
    <t>2/2018</t>
  </si>
  <si>
    <t>1/2018</t>
  </si>
  <si>
    <t>12/2017</t>
  </si>
  <si>
    <t>11/2017</t>
  </si>
  <si>
    <t>10/2017</t>
  </si>
  <si>
    <t>9/2017</t>
  </si>
  <si>
    <t>8/2017</t>
  </si>
  <si>
    <t>7/2017</t>
  </si>
  <si>
    <t>6/2017</t>
  </si>
  <si>
    <t>5/2017</t>
  </si>
  <si>
    <t>4/2017</t>
  </si>
  <si>
    <t>3/2017</t>
  </si>
  <si>
    <t>2/2017</t>
  </si>
  <si>
    <t>1/2017</t>
  </si>
  <si>
    <t>12/2016</t>
  </si>
  <si>
    <t>11/2016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</si>
</sst>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3">
    <xf numFmtId="0" fontId="0" fillId="0" borderId="0" xfId="0"/>
    <xf numFmtId="1" fontId="0" fillId="0" borderId="0" xfId="0" applyNumberFormat="1"/>
    <xf numFmtId="0" fontId="1" fillId="33" borderId="0" xfId="26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BDP|12702663692225230283</stp>
        <tr r="AP101" s="3"/>
      </tp>
      <tp t="s">
        <v>#N/A N/A</v>
        <stp/>
        <stp>BDP|18274426004183426596</stp>
        <tr r="CK87" s="3"/>
      </tp>
      <tp t="s">
        <v>#N/A N/A</v>
        <stp/>
        <stp>BDP|13083496820859448659</stp>
        <tr r="P91" s="3"/>
      </tp>
      <tp t="s">
        <v>#N/A N/A</v>
        <stp/>
        <stp>BDP|18218830491550100399</stp>
        <tr r="BC88" s="3"/>
      </tp>
      <tp t="s">
        <v>#N/A N/A</v>
        <stp/>
        <stp>BDP|15923947135666381300</stp>
        <tr r="O111" s="3"/>
      </tp>
      <tp t="s">
        <v>#N/A N/A</v>
        <stp/>
        <stp>BDP|11477998941890467637</stp>
        <tr r="BJ99" s="3"/>
      </tp>
      <tp t="s">
        <v>#N/A N/A</v>
        <stp/>
        <stp>BDP|14549884407253553543</stp>
        <tr r="BO105" s="3"/>
      </tp>
      <tp t="s">
        <v>#N/A N/A</v>
        <stp/>
        <stp>BDP|18302063832548485995</stp>
        <tr r="AJ113" s="3"/>
      </tp>
      <tp t="s">
        <v>#N/A N/A</v>
        <stp/>
        <stp>BDP|18367495917811249653</stp>
        <tr r="CD112" s="3"/>
      </tp>
      <tp t="s">
        <v>#N/A N/A</v>
        <stp/>
        <stp>BDP|13146701865591627981</stp>
        <tr r="BH107" s="3"/>
      </tp>
      <tp t="s">
        <v>#N/A N/A</v>
        <stp/>
        <stp>BDP|14574448907528983253</stp>
        <tr r="BI110" s="3"/>
      </tp>
      <tp t="s">
        <v>#N/A N/A</v>
        <stp/>
        <stp>BDP|15292266758139675109</stp>
        <tr r="AC92" s="3"/>
      </tp>
      <tp t="s">
        <v>#N/A N/A</v>
        <stp/>
        <stp>BDP|12806478093691211448</stp>
        <tr r="CH113" s="3"/>
      </tp>
      <tp t="s">
        <v>#N/A N/A</v>
        <stp/>
        <stp>BDP|13492491671252357858</stp>
        <tr r="BF105" s="3"/>
      </tp>
      <tp t="s">
        <v>#N/A N/A</v>
        <stp/>
        <stp>BDP|10179284550155508865</stp>
        <tr r="BW113" s="3"/>
      </tp>
      <tp t="s">
        <v>#N/A N/A</v>
        <stp/>
        <stp>BDP|13647235546546054996</stp>
        <tr r="AI89" s="3"/>
      </tp>
      <tp t="s">
        <v>#N/A N/A</v>
        <stp/>
        <stp>BDP|17729459689384295537</stp>
        <tr r="V93" s="3"/>
      </tp>
      <tp t="s">
        <v>#N/A N/A</v>
        <stp/>
        <stp>BDP|14006345295887511394</stp>
        <tr r="CD77" s="3"/>
      </tp>
      <tp t="s">
        <v>#N/A N/A</v>
        <stp/>
        <stp>BDP|14103181103658359740</stp>
        <tr r="CJ88" s="3"/>
      </tp>
      <tp t="s">
        <v>#N/A N/A</v>
        <stp/>
        <stp>BDP|11569722414404936973</stp>
        <tr r="AQ106" s="3"/>
      </tp>
      <tp t="s">
        <v>#N/A N/A</v>
        <stp/>
        <stp>BDP|16399552352449050581</stp>
        <tr r="BP100" s="3"/>
      </tp>
      <tp t="s">
        <v>#N/A N/A</v>
        <stp/>
        <stp>BDP|14863286348951247962</stp>
        <tr r="V97" s="3"/>
      </tp>
      <tp t="s">
        <v>#N/A N/A</v>
        <stp/>
        <stp>BDP|12806840635105706627</stp>
        <tr r="I106" s="3"/>
      </tp>
      <tp t="s">
        <v>#N/A N/A</v>
        <stp/>
        <stp>BDP|18073290059657770289</stp>
        <tr r="CJ91" s="3"/>
      </tp>
      <tp t="s">
        <v>#N/A N/A</v>
        <stp/>
        <stp>BDP|18358243350950832502</stp>
        <tr r="BM109" s="3"/>
      </tp>
      <tp t="s">
        <v>#N/A N/A</v>
        <stp/>
        <stp>BDP|15025966847894951675</stp>
        <tr r="BP95" s="3"/>
      </tp>
      <tp t="s">
        <v>#N/A N/A</v>
        <stp/>
        <stp>BDP|10010762397577757392</stp>
        <tr r="F75" s="3"/>
      </tp>
      <tp t="s">
        <v>#N/A N/A</v>
        <stp/>
        <stp>BDP|14507603693717004691</stp>
        <tr r="CD74" s="3"/>
      </tp>
      <tp t="s">
        <v>#N/A N/A</v>
        <stp/>
        <stp>BDP|16515057776992867906</stp>
        <tr r="T108" s="3"/>
      </tp>
      <tp t="s">
        <v>#N/A N/A</v>
        <stp/>
        <stp>BDP|11925863114486603434</stp>
        <tr r="BN103" s="3"/>
      </tp>
      <tp t="s">
        <v>#N/A N/A</v>
        <stp/>
        <stp>BDP|17640342008088177656</stp>
        <tr r="AG76" s="3"/>
      </tp>
      <tp t="s">
        <v>#N/A N/A</v>
        <stp/>
        <stp>BDP|12065871937482623187</stp>
        <tr r="P106" s="3"/>
      </tp>
      <tp t="s">
        <v>#N/A N/A</v>
        <stp/>
        <stp>BDP|10926938744074616391</stp>
        <tr r="I113" s="3"/>
      </tp>
      <tp t="s">
        <v>#N/A N/A</v>
        <stp/>
        <stp>BDP|18091051354376919192</stp>
        <tr r="G92" s="3"/>
      </tp>
      <tp t="s">
        <v>#N/A N/A</v>
        <stp/>
        <stp>BDP|10637362240498800599</stp>
        <tr r="CF90" s="3"/>
      </tp>
      <tp t="s">
        <v>#N/A N/A</v>
        <stp/>
        <stp>BDP|11304720388270189496</stp>
        <tr r="AX91" s="3"/>
      </tp>
      <tp t="s">
        <v>#N/A N/A</v>
        <stp/>
        <stp>BDP|11910225289812301300</stp>
        <tr r="CA97" s="3"/>
      </tp>
      <tp t="s">
        <v>#N/A N/A</v>
        <stp/>
        <stp>BDP|16707545983370401157</stp>
        <tr r="CC102" s="3"/>
      </tp>
      <tp t="s">
        <v>#N/A N/A</v>
        <stp/>
        <stp>BDP|11987293492406137636</stp>
        <tr r="S100" s="3"/>
      </tp>
      <tp t="s">
        <v>#N/A N/A</v>
        <stp/>
        <stp>BDP|18017217132201190225</stp>
        <tr r="T100" s="3"/>
      </tp>
      <tp t="s">
        <v>#N/A N/A</v>
        <stp/>
        <stp>BDP|12513043640325493957</stp>
        <tr r="P100" s="3"/>
      </tp>
      <tp t="s">
        <v>#N/A N/A</v>
        <stp/>
        <stp>BDP|17323238189052010595</stp>
        <tr r="AG108" s="3"/>
      </tp>
      <tp t="s">
        <v>#N/A N/A</v>
        <stp/>
        <stp>BDP|11035571482364544205</stp>
        <tr r="BP85" s="3"/>
      </tp>
      <tp t="s">
        <v>#N/A N/A</v>
        <stp/>
        <stp>BDP|10864535846153510884</stp>
        <tr r="BG113" s="3"/>
      </tp>
      <tp t="s">
        <v>#N/A N/A</v>
        <stp/>
        <stp>BDP|13236913499140928936</stp>
        <tr r="H107" s="3"/>
      </tp>
      <tp t="s">
        <v>#N/A N/A</v>
        <stp/>
        <stp>BDP|11334883668045929099</stp>
        <tr r="BN77" s="3"/>
      </tp>
      <tp t="s">
        <v>#N/A N/A</v>
        <stp/>
        <stp>BDP|12816906223691024289</stp>
        <tr r="BY101" s="3"/>
      </tp>
      <tp t="s">
        <v>#N/A N/A</v>
        <stp/>
        <stp>BDP|11773926192623382873</stp>
        <tr r="BG76" s="3"/>
      </tp>
      <tp t="s">
        <v>#N/A N/A</v>
        <stp/>
        <stp>BDP|11503465873019355103</stp>
        <tr r="CA103" s="3"/>
      </tp>
      <tp t="s">
        <v>#N/A N/A</v>
        <stp/>
        <stp>BDP|15014159681993223555</stp>
        <tr r="S93" s="3"/>
      </tp>
      <tp t="s">
        <v>#N/A N/A</v>
        <stp/>
        <stp>BDP|13227850919231435188</stp>
        <tr r="R74" s="3"/>
      </tp>
      <tp t="s">
        <v>#N/A N/A</v>
        <stp/>
        <stp>BDP|15404929179726478797</stp>
        <tr r="BC97" s="3"/>
      </tp>
      <tp t="s">
        <v>#N/A N/A</v>
        <stp/>
        <stp>BDP|17568354202278280625</stp>
        <tr r="Q77" s="3"/>
      </tp>
      <tp t="s">
        <v>#N/A N/A</v>
        <stp/>
        <stp>BDP|14485446037601435816</stp>
        <tr r="BY94" s="3"/>
      </tp>
      <tp t="s">
        <v>#N/A N/A</v>
        <stp/>
        <stp>BDP|10875035479438428545</stp>
        <tr r="F85" s="3"/>
      </tp>
      <tp t="s">
        <v>#N/A N/A</v>
        <stp/>
        <stp>BDP|10563478830794652917</stp>
        <tr r="AK108" s="3"/>
      </tp>
      <tp t="s">
        <v>#N/A N/A</v>
        <stp/>
        <stp>BDP|16599352915657348936</stp>
        <tr r="CC112" s="3"/>
      </tp>
      <tp t="s">
        <v>#N/A N/A</v>
        <stp/>
        <stp>BDP|11595415209788973711</stp>
        <tr r="CE106" s="3"/>
      </tp>
      <tp t="s">
        <v>#N/A N/A</v>
        <stp/>
        <stp>BDP|14398900792456553815</stp>
        <tr r="AN95" s="3"/>
      </tp>
      <tp t="s">
        <v>#N/A N/A</v>
        <stp/>
        <stp>BDP|14507555980741711222</stp>
        <tr r="BT103" s="3"/>
      </tp>
      <tp t="s">
        <v>#N/A N/A</v>
        <stp/>
        <stp>BDP|14724591698074514662</stp>
        <tr r="S85" s="3"/>
      </tp>
      <tp t="s">
        <v>#N/A N/A</v>
        <stp/>
        <stp>BDP|10523208017998605115</stp>
        <tr r="Y103" s="3"/>
      </tp>
      <tp t="s">
        <v>#N/A N/A</v>
        <stp/>
        <stp>BDP|18303297575031273686</stp>
        <tr r="V101" s="3"/>
      </tp>
      <tp t="s">
        <v>#N/A N/A</v>
        <stp/>
        <stp>BDP|15407948732952297742</stp>
        <tr r="BW100" s="3"/>
      </tp>
      <tp t="s">
        <v>#N/A N/A</v>
        <stp/>
        <stp>BDP|15297847661744614551</stp>
        <tr r="CK96" s="3"/>
      </tp>
      <tp t="s">
        <v>#N/A N/A</v>
        <stp/>
        <stp>BDP|13308429413004584839</stp>
        <tr r="AF96" s="3"/>
      </tp>
      <tp t="s">
        <v>#N/A N/A</v>
        <stp/>
        <stp>BDP|15589336363863399927</stp>
        <tr r="CJ104" s="3"/>
      </tp>
      <tp t="s">
        <v>#N/A N/A</v>
        <stp/>
        <stp>BDP|16161806605170447448</stp>
        <tr r="CC113" s="3"/>
      </tp>
      <tp t="s">
        <v>#N/A N/A</v>
        <stp/>
        <stp>BDP|15435667606340313930</stp>
        <tr r="BC108" s="3"/>
      </tp>
      <tp t="s">
        <v>#N/A N/A</v>
        <stp/>
        <stp>BDP|15030906572141641004</stp>
        <tr r="AU75" s="3"/>
      </tp>
      <tp t="s">
        <v>#N/A N/A</v>
        <stp/>
        <stp>BDP|15618305120208246639</stp>
        <tr r="BB97" s="3"/>
      </tp>
      <tp t="s">
        <v>#N/A N/A</v>
        <stp/>
        <stp>BDP|16240359120594466944</stp>
        <tr r="J108" s="3"/>
      </tp>
      <tp t="s">
        <v>#N/A N/A</v>
        <stp/>
        <stp>BDP|14709292119484493945</stp>
        <tr r="K74" s="3"/>
      </tp>
      <tp t="s">
        <v>#N/A N/A</v>
        <stp/>
        <stp>BDP|18186060817035319641</stp>
        <tr r="CI77" s="3"/>
      </tp>
      <tp t="s">
        <v>#N/A N/A</v>
        <stp/>
        <stp>BDP|17219767382501606374</stp>
        <tr r="BA106" s="3"/>
      </tp>
      <tp t="s">
        <v>#N/A N/A</v>
        <stp/>
        <stp>BDP|10465994811415369787</stp>
        <tr r="BB88" s="3"/>
      </tp>
      <tp t="s">
        <v>#N/A N/A</v>
        <stp/>
        <stp>BDP|11814382136162281923</stp>
        <tr r="BJ77" s="3"/>
      </tp>
      <tp t="s">
        <v>#N/A N/A</v>
        <stp/>
        <stp>BDP|16963778070484113895</stp>
        <tr r="BH111" s="3"/>
      </tp>
      <tp t="s">
        <v>#N/A N/A</v>
        <stp/>
        <stp>BDP|12137915376787314137</stp>
        <tr r="BS102" s="3"/>
      </tp>
      <tp t="s">
        <v>#N/A N/A</v>
        <stp/>
        <stp>BDP|18303265116171320062</stp>
        <tr r="AA93" s="3"/>
      </tp>
      <tp t="s">
        <v>#N/A N/A</v>
        <stp/>
        <stp>BDP|12912846371266332068</stp>
        <tr r="M102" s="3"/>
      </tp>
      <tp t="s">
        <v>#N/A N/A</v>
        <stp/>
        <stp>BDP|13794106097214971404</stp>
        <tr r="BF92" s="3"/>
      </tp>
      <tp t="s">
        <v>#N/A N/A</v>
        <stp/>
        <stp>BDP|10420249298081755162</stp>
        <tr r="Q76" s="3"/>
      </tp>
      <tp t="s">
        <v>#N/A N/A</v>
        <stp/>
        <stp>BDP|17806039622179955791</stp>
        <tr r="K99" s="3"/>
      </tp>
      <tp t="s">
        <v>#N/A N/A</v>
        <stp/>
        <stp>BDP|16550193050151412815</stp>
        <tr r="CH106" s="3"/>
      </tp>
      <tp t="s">
        <v>#N/A N/A</v>
        <stp/>
        <stp>BDP|16442983145645442542</stp>
        <tr r="AM112" s="3"/>
      </tp>
      <tp t="s">
        <v>#N/A N/A</v>
        <stp/>
        <stp>BDP|17108853354957868600</stp>
        <tr r="Q111" s="3"/>
      </tp>
      <tp t="s">
        <v>#N/A N/A</v>
        <stp/>
        <stp>BDP|10098062340269925678</stp>
        <tr r="AG101" s="3"/>
      </tp>
      <tp t="s">
        <v>#N/A N/A</v>
        <stp/>
        <stp>BDP|16371097104789048459</stp>
        <tr r="AI76" s="3"/>
      </tp>
      <tp t="s">
        <v>#N/A N/A</v>
        <stp/>
        <stp>BDP|18080958799347145465</stp>
        <tr r="I97" s="3"/>
      </tp>
      <tp t="s">
        <v>#N/A N/A</v>
        <stp/>
        <stp>BDP|14721941806673698596</stp>
        <tr r="AR112" s="3"/>
      </tp>
      <tp t="s">
        <v>#N/A N/A</v>
        <stp/>
        <stp>BDP|16424341940473871929</stp>
        <tr r="CE103" s="3"/>
      </tp>
      <tp t="s">
        <v>#N/A N/A</v>
        <stp/>
        <stp>BDP|10627881636198051824</stp>
        <tr r="N89" s="3"/>
      </tp>
      <tp t="s">
        <v>#N/A N/A</v>
        <stp/>
        <stp>BDP|15541406772354472995</stp>
        <tr r="L96" s="3"/>
      </tp>
      <tp t="s">
        <v>#N/A N/A</v>
        <stp/>
        <stp>BDP|12288995864576117048</stp>
        <tr r="M75" s="3"/>
      </tp>
      <tp t="s">
        <v>#N/A N/A</v>
        <stp/>
        <stp>BDP|17473981241508347940</stp>
        <tr r="L105" s="3"/>
      </tp>
      <tp t="s">
        <v>#N/A N/A</v>
        <stp/>
        <stp>BDP|16209864388148208543</stp>
        <tr r="O103" s="3"/>
      </tp>
      <tp t="s">
        <v>#N/A N/A</v>
        <stp/>
        <stp>BDP|10677089699241870320</stp>
        <tr r="H113" s="3"/>
      </tp>
      <tp t="s">
        <v>#N/A N/A</v>
        <stp/>
        <stp>BDP|13336859043753939716</stp>
        <tr r="S91" s="3"/>
      </tp>
      <tp t="s">
        <v>#N/A N/A</v>
        <stp/>
        <stp>BDP|11545366655235317983</stp>
        <tr r="BS101" s="3"/>
      </tp>
      <tp t="s">
        <v>#N/A N/A</v>
        <stp/>
        <stp>BDP|16525208989737842098</stp>
        <tr r="H96" s="3"/>
      </tp>
      <tp t="s">
        <v>#N/A N/A</v>
        <stp/>
        <stp>BDP|12847403107848236508</stp>
        <tr r="BT95" s="3"/>
      </tp>
      <tp t="s">
        <v>#N/A N/A</v>
        <stp/>
        <stp>BDP|18100711734502831513</stp>
        <tr r="M107" s="3"/>
      </tp>
      <tp t="s">
        <v>#N/A N/A</v>
        <stp/>
        <stp>BDP|12576400683251953439</stp>
        <tr r="AU94" s="3"/>
      </tp>
      <tp t="s">
        <v>#N/A N/A</v>
        <stp/>
        <stp>BDP|17752832364090494281</stp>
        <tr r="BS95" s="3"/>
      </tp>
      <tp t="s">
        <v>#N/A N/A</v>
        <stp/>
        <stp>BDP|10986930943527187143</stp>
        <tr r="I105" s="3"/>
      </tp>
      <tp t="s">
        <v>#N/A N/A</v>
        <stp/>
        <stp>BDP|13361863763583801524</stp>
        <tr r="AK110" s="3"/>
      </tp>
      <tp t="s">
        <v>#N/A N/A</v>
        <stp/>
        <stp>BDP|10593150255678201785</stp>
        <tr r="BD107" s="3"/>
      </tp>
      <tp t="s">
        <v>#N/A N/A</v>
        <stp/>
        <stp>BDP|18289288550454754022</stp>
        <tr r="AW76" s="3"/>
      </tp>
      <tp t="s">
        <v>#N/A N/A</v>
        <stp/>
        <stp>BDP|13844246707063706932</stp>
        <tr r="BD88" s="3"/>
      </tp>
      <tp t="s">
        <v>#N/A N/A</v>
        <stp/>
        <stp>BDP|15809123666691720843</stp>
        <tr r="BC76" s="3"/>
      </tp>
      <tp t="s">
        <v>#N/A N/A</v>
        <stp/>
        <stp>BDP|18419588741166054437</stp>
        <tr r="BX87" s="3"/>
      </tp>
      <tp t="s">
        <v>#N/A N/A</v>
        <stp/>
        <stp>BDP|15170429636871877838</stp>
        <tr r="G73" s="3"/>
      </tp>
      <tp t="s">
        <v>#N/A N/A</v>
        <stp/>
        <stp>BDP|18376628473985492781</stp>
        <tr r="BX94" s="3"/>
      </tp>
      <tp t="s">
        <v>#N/A N/A</v>
        <stp/>
        <stp>BDP|15164597987346606571</stp>
        <tr r="CH93" s="3"/>
      </tp>
      <tp t="s">
        <v>#N/A N/A</v>
        <stp/>
        <stp>BDP|16287564515038741176</stp>
        <tr r="W109" s="3"/>
      </tp>
      <tp t="s">
        <v>#N/A N/A</v>
        <stp/>
        <stp>BDP|18308905181566230414</stp>
        <tr r="AK112" s="3"/>
      </tp>
      <tp t="s">
        <v>#N/A N/A</v>
        <stp/>
        <stp>BDP|16230371720289315577</stp>
        <tr r="Y104" s="3"/>
      </tp>
      <tp t="s">
        <v>#N/A N/A</v>
        <stp/>
        <stp>BDP|12264175886238758847</stp>
        <tr r="AH85" s="3"/>
      </tp>
      <tp t="s">
        <v>#N/A N/A</v>
        <stp/>
        <stp>BDP|14118829780168186719</stp>
        <tr r="J109" s="3"/>
      </tp>
      <tp t="s">
        <v>#N/A N/A</v>
        <stp/>
        <stp>BDP|13482072130689227228</stp>
        <tr r="AC98" s="3"/>
      </tp>
      <tp t="s">
        <v>#N/A N/A</v>
        <stp/>
        <stp>BDP|15983219322417055996</stp>
        <tr r="P95" s="3"/>
      </tp>
      <tp t="s">
        <v>#N/A N/A</v>
        <stp/>
        <stp>BDP|16208088738809941781</stp>
        <tr r="AH97" s="3"/>
      </tp>
      <tp t="s">
        <v>#N/A N/A</v>
        <stp/>
        <stp>BDP|15149062646379187322</stp>
        <tr r="U102" s="3"/>
      </tp>
      <tp t="s">
        <v>#N/A N/A</v>
        <stp/>
        <stp>BDP|12634266494873428123</stp>
        <tr r="J110" s="3"/>
      </tp>
      <tp t="s">
        <v>#N/A N/A</v>
        <stp/>
        <stp>BDP|18406030382223663817</stp>
        <tr r="BF93" s="3"/>
      </tp>
      <tp t="s">
        <v>#N/A N/A</v>
        <stp/>
        <stp>BDP|13279900037990341248</stp>
        <tr r="CK88" s="3"/>
      </tp>
      <tp t="s">
        <v>#N/A N/A</v>
        <stp/>
        <stp>BDP|14222443940508124750</stp>
        <tr r="BQ92" s="3"/>
      </tp>
      <tp t="s">
        <v>#N/A N/A</v>
        <stp/>
        <stp>BDP|15113853882329511715</stp>
        <tr r="AF89" s="3"/>
      </tp>
      <tp t="s">
        <v>#N/A N/A</v>
        <stp/>
        <stp>BDP|10040658315728535402</stp>
        <tr r="CE102" s="3"/>
      </tp>
      <tp t="s">
        <v>#N/A N/A</v>
        <stp/>
        <stp>BDP|10400133595810621310</stp>
        <tr r="AG100" s="3"/>
      </tp>
      <tp t="s">
        <v>#N/A N/A</v>
        <stp/>
        <stp>BDP|11391254976658368765</stp>
        <tr r="K107" s="3"/>
      </tp>
      <tp t="s">
        <v>#N/A N/A</v>
        <stp/>
        <stp>BDP|14330822711950630633</stp>
        <tr r="AQ89" s="3"/>
      </tp>
      <tp t="s">
        <v>#N/A N/A</v>
        <stp/>
        <stp>BDP|13794823379556004190</stp>
        <tr r="BL88" s="3"/>
      </tp>
      <tp t="s">
        <v>#N/A N/A</v>
        <stp/>
        <stp>BDP|15620909828314867130</stp>
        <tr r="AD90" s="3"/>
      </tp>
      <tp t="s">
        <v>#N/A N/A</v>
        <stp/>
        <stp>BDP|15504839375799055869</stp>
        <tr r="AY90" s="3"/>
      </tp>
      <tp t="s">
        <v>#N/A N/A</v>
        <stp/>
        <stp>BDP|16393519710891390841</stp>
        <tr r="BI85" s="3"/>
      </tp>
      <tp t="s">
        <v>#N/A N/A</v>
        <stp/>
        <stp>BDP|15404387598453586756</stp>
        <tr r="AG74" s="3"/>
      </tp>
      <tp t="s">
        <v>#N/A N/A</v>
        <stp/>
        <stp>BDP|12239169882616048624</stp>
        <tr r="T76" s="3"/>
      </tp>
      <tp t="s">
        <v>#N/A N/A</v>
        <stp/>
        <stp>BDP|16933897834517026100</stp>
        <tr r="Q91" s="3"/>
      </tp>
      <tp t="s">
        <v>#N/A N/A</v>
        <stp/>
        <stp>BDP|15412517592241150322</stp>
        <tr r="I95" s="3"/>
      </tp>
      <tp t="s">
        <v>#N/A N/A</v>
        <stp/>
        <stp>BDP|13098278992783632077</stp>
        <tr r="AA111" s="3"/>
      </tp>
      <tp t="s">
        <v>#N/A N/A</v>
        <stp/>
        <stp>BDP|13816964329705066633</stp>
        <tr r="AG109" s="3"/>
      </tp>
      <tp t="s">
        <v>#N/A N/A</v>
        <stp/>
        <stp>BDP|16675844174055113737</stp>
        <tr r="F98" s="3"/>
      </tp>
      <tp t="s">
        <v>#N/A N/A</v>
        <stp/>
        <stp>BDP|11413013385417340576</stp>
        <tr r="BJ102" s="3"/>
      </tp>
      <tp t="s">
        <v>#N/A N/A</v>
        <stp/>
        <stp>BDP|12423872196938622042</stp>
        <tr r="AT102" s="3"/>
      </tp>
      <tp t="s">
        <v>#N/A N/A</v>
        <stp/>
        <stp>BDP|13600328193146047402</stp>
        <tr r="BP73" s="3"/>
      </tp>
      <tp t="s">
        <v>#N/A N/A</v>
        <stp/>
        <stp>BDP|11904714739408713612</stp>
        <tr r="AI108" s="3"/>
      </tp>
      <tp t="s">
        <v>#N/A N/A</v>
        <stp/>
        <stp>BDP|11400406825694277845</stp>
        <tr r="AF76" s="3"/>
      </tp>
      <tp t="s">
        <v>#N/A N/A</v>
        <stp/>
        <stp>BDP|18236703624302820493</stp>
        <tr r="BX75" s="3"/>
      </tp>
      <tp t="s">
        <v>#N/A N/A</v>
        <stp/>
        <stp>BDP|14335933934211029431</stp>
        <tr r="AI74" s="3"/>
      </tp>
      <tp t="s">
        <v>#N/A N/A</v>
        <stp/>
        <stp>BDP|15003027465758206025</stp>
        <tr r="AA101" s="3"/>
      </tp>
      <tp t="s">
        <v>#N/A N/A</v>
        <stp/>
        <stp>BDP|15994457494082932169</stp>
        <tr r="AR88" s="3"/>
      </tp>
      <tp t="s">
        <v>#N/A N/A</v>
        <stp/>
        <stp>BDP|15860801309922132466</stp>
        <tr r="BO107" s="3"/>
      </tp>
      <tp t="s">
        <v>#N/A N/A</v>
        <stp/>
        <stp>BDP|11346897847006235099</stp>
        <tr r="AI110" s="3"/>
      </tp>
      <tp t="s">
        <v>#N/A N/A</v>
        <stp/>
        <stp>BDP|12980882913002330274</stp>
        <tr r="BZ92" s="3"/>
      </tp>
      <tp t="s">
        <v>#N/A N/A</v>
        <stp/>
        <stp>BDP|12262189188586419608</stp>
        <tr r="AT89" s="3"/>
      </tp>
      <tp t="s">
        <v>#N/A N/A</v>
        <stp/>
        <stp>BDP|15753195674790871840</stp>
        <tr r="J93" s="3"/>
      </tp>
      <tp t="s">
        <v>#N/A N/A</v>
        <stp/>
        <stp>BDP|11076172772094510863</stp>
        <tr r="AV76" s="3"/>
      </tp>
      <tp t="s">
        <v>#N/A N/A</v>
        <stp/>
        <stp>BDP|10616827133367470755</stp>
        <tr r="Y110" s="3"/>
      </tp>
      <tp t="s">
        <v>#N/A N/A</v>
        <stp/>
        <stp>BDP|15366865839492259786</stp>
        <tr r="AY77" s="3"/>
      </tp>
      <tp t="s">
        <v>#N/A N/A</v>
        <stp/>
        <stp>BDH|13123946518377697794</stp>
        <tr r="F84" s="3"/>
      </tp>
      <tp t="s">
        <v>#N/A N/A</v>
        <stp/>
        <stp>BDP|12235403417378808741</stp>
        <tr r="AX99" s="3"/>
      </tp>
      <tp t="s">
        <v>#N/A N/A</v>
        <stp/>
        <stp>BDP|13387949666995982111</stp>
        <tr r="H95" s="3"/>
      </tp>
      <tp t="s">
        <v>#N/A N/A</v>
        <stp/>
        <stp>BDP|13975967828653806362</stp>
        <tr r="BL107" s="3"/>
      </tp>
      <tp t="s">
        <v>#N/A N/A</v>
        <stp/>
        <stp>BDP|15368850005207951235</stp>
        <tr r="AY102" s="3"/>
      </tp>
      <tp t="s">
        <v>#N/A N/A</v>
        <stp/>
        <stp>BDP|15889413085328065944</stp>
        <tr r="AV91" s="3"/>
      </tp>
      <tp t="s">
        <v>#N/A N/A</v>
        <stp/>
        <stp>BDP|10828281577854820976</stp>
        <tr r="J105" s="3"/>
      </tp>
      <tp t="s">
        <v>#N/A N/A</v>
        <stp/>
        <stp>BDP|13198721382904096099</stp>
        <tr r="AD108" s="3"/>
      </tp>
      <tp t="s">
        <v>#N/A N/A</v>
        <stp/>
        <stp>BDP|16044980173705064532</stp>
        <tr r="Y93" s="3"/>
      </tp>
      <tp t="s">
        <v>#N/A N/A</v>
        <stp/>
        <stp>BDP|10764421519029567414</stp>
        <tr r="CC101" s="3"/>
      </tp>
      <tp t="s">
        <v>#N/A N/A</v>
        <stp/>
        <stp>BDP|14402182119755467997</stp>
        <tr r="CC99" s="3"/>
      </tp>
      <tp t="s">
        <v>#N/A N/A</v>
        <stp/>
        <stp>BDP|15155579205471815900</stp>
        <tr r="AR77" s="3"/>
      </tp>
      <tp t="s">
        <v>#N/A N/A</v>
        <stp/>
        <stp>BDP|15514691996135637773</stp>
        <tr r="W98" s="3"/>
      </tp>
      <tp t="s">
        <v>#N/A N/A</v>
        <stp/>
        <stp>BDP|13376935984348864270</stp>
        <tr r="AT98" s="3"/>
      </tp>
      <tp t="s">
        <v>#N/A N/A</v>
        <stp/>
        <stp>BDP|13082890657904111247</stp>
        <tr r="BX110" s="3"/>
      </tp>
      <tp t="s">
        <v>#N/A N/A</v>
        <stp/>
        <stp>BDP|10038140798441532121</stp>
        <tr r="K96" s="3"/>
      </tp>
      <tp t="s">
        <v>#N/A N/A</v>
        <stp/>
        <stp>BDP|15461684440756246955</stp>
        <tr r="S97" s="3"/>
      </tp>
      <tp t="s">
        <v>#N/A N/A</v>
        <stp/>
        <stp>BDP|15844079550720117846</stp>
        <tr r="K108" s="3"/>
      </tp>
      <tp t="s">
        <v>#N/A N/A</v>
        <stp/>
        <stp>BDP|15059232045532511990</stp>
        <tr r="AG91" s="3"/>
      </tp>
      <tp t="s">
        <v>#N/A N/A</v>
        <stp/>
        <stp>BDP|14822844426703170515</stp>
        <tr r="AC110" s="3"/>
      </tp>
      <tp t="s">
        <v>#N/A N/A</v>
        <stp/>
        <stp>BDP|13735978980838277283</stp>
        <tr r="AA92" s="3"/>
      </tp>
      <tp t="s">
        <v>#N/A N/A</v>
        <stp/>
        <stp>BDP|12026446104416974833</stp>
        <tr r="CJ102" s="3"/>
      </tp>
      <tp t="s">
        <v>#N/A N/A</v>
        <stp/>
        <stp>BDP|13012339188807317759</stp>
        <tr r="AL85" s="3"/>
      </tp>
      <tp t="s">
        <v>#N/A N/A</v>
        <stp/>
        <stp>BDP|17793753280951955169</stp>
        <tr r="AW91" s="3"/>
      </tp>
      <tp t="s">
        <v>#N/A N/A</v>
        <stp/>
        <stp>BDP|15787283787752795528</stp>
        <tr r="CH75" s="3"/>
      </tp>
      <tp t="s">
        <v>#N/A N/A</v>
        <stp/>
        <stp>BDP|14405926836084574283</stp>
        <tr r="AH104" s="3"/>
      </tp>
      <tp t="s">
        <v>#N/A N/A</v>
        <stp/>
        <stp>BDP|13329180345267741945</stp>
        <tr r="AR104" s="3"/>
      </tp>
      <tp t="s">
        <v>#N/A N/A</v>
        <stp/>
        <stp>BDP|13652887341016333115</stp>
        <tr r="BO102" s="3"/>
      </tp>
      <tp t="s">
        <v>#N/A N/A</v>
        <stp/>
        <stp>BDP|18168181815356552658</stp>
        <tr r="I110" s="3"/>
      </tp>
      <tp t="s">
        <v>#N/A N/A</v>
        <stp/>
        <stp>BDP|16219992421732543700</stp>
        <tr r="Q110" s="3"/>
      </tp>
      <tp t="s">
        <v>#N/A N/A</v>
        <stp/>
        <stp>BDP|17532041085625859237</stp>
        <tr r="BP111" s="3"/>
      </tp>
      <tp t="s">
        <v>#N/A N/A</v>
        <stp/>
        <stp>BDP|17318485133290515821</stp>
        <tr r="BV92" s="3"/>
      </tp>
      <tp t="s">
        <v>#N/A N/A</v>
        <stp/>
        <stp>BDP|17299498493070053270</stp>
        <tr r="N109" s="3"/>
      </tp>
      <tp t="s">
        <v>#N/A N/A</v>
        <stp/>
        <stp>BDP|13266438788480185760</stp>
        <tr r="CG105" s="3"/>
      </tp>
      <tp t="s">
        <v>#N/A N/A</v>
        <stp/>
        <stp>BDP|14579869361473735146</stp>
        <tr r="BZ105" s="3"/>
      </tp>
      <tp t="s">
        <v>#N/A N/A</v>
        <stp/>
        <stp>BDP|12488226370426021975</stp>
        <tr r="F89" s="3"/>
      </tp>
      <tp t="s">
        <v>#N/A N/A</v>
        <stp/>
        <stp>BDP|10106415894304466112</stp>
        <tr r="BN104" s="3"/>
      </tp>
      <tp t="s">
        <v>#N/A N/A</v>
        <stp/>
        <stp>BDP|10204609922058310429</stp>
        <tr r="BQ91" s="3"/>
      </tp>
      <tp t="s">
        <v>#N/A N/A</v>
        <stp/>
        <stp>BDP|10611569415175556906</stp>
        <tr r="AI87" s="3"/>
      </tp>
      <tp t="s">
        <v>#N/A N/A</v>
        <stp/>
        <stp>BDP|13635486293141908748</stp>
        <tr r="BA109" s="3"/>
      </tp>
      <tp t="s">
        <v>#N/A N/A</v>
        <stp/>
        <stp>BDP|14008347840169239267</stp>
        <tr r="J76" s="3"/>
      </tp>
      <tp t="s">
        <v>#N/A N/A</v>
        <stp/>
        <stp>BDP|16207026037465038871</stp>
        <tr r="AF91" s="3"/>
      </tp>
      <tp t="s">
        <v>#N/A N/A</v>
        <stp/>
        <stp>BDP|17584927077399094800</stp>
        <tr r="CE75" s="3"/>
      </tp>
      <tp t="s">
        <v>#N/A N/A</v>
        <stp/>
        <stp>BDP|13215957099613666883</stp>
        <tr r="BJ85" s="3"/>
      </tp>
      <tp t="s">
        <v>#N/A N/A</v>
        <stp/>
        <stp>BDP|17227222842569711068</stp>
        <tr r="BY91" s="3"/>
      </tp>
      <tp t="s">
        <v>#N/A N/A</v>
        <stp/>
        <stp>BDP|12862902184998895377</stp>
        <tr r="AC112" s="3"/>
      </tp>
      <tp t="s">
        <v>#N/A N/A</v>
        <stp/>
        <stp>BDP|15148833214672211675</stp>
        <tr r="CE108" s="3"/>
      </tp>
      <tp t="s">
        <v>#N/A N/A</v>
        <stp/>
        <stp>BDP|14495763191007794577</stp>
        <tr r="BW92" s="3"/>
      </tp>
      <tp t="s">
        <v>#N/A N/A</v>
        <stp/>
        <stp>BDP|15441846151357488773</stp>
        <tr r="CD91" s="3"/>
      </tp>
      <tp t="s">
        <v>#N/A N/A</v>
        <stp/>
        <stp>BDP|10655804844210996492</stp>
        <tr r="O101" s="3"/>
      </tp>
      <tp t="s">
        <v>#N/A N/A</v>
        <stp/>
        <stp>BDP|12591709225537227808</stp>
        <tr r="G105" s="3"/>
      </tp>
      <tp t="s">
        <v>#N/A N/A</v>
        <stp/>
        <stp>BDP|18267975234163614952</stp>
        <tr r="AK92" s="3"/>
      </tp>
      <tp t="s">
        <v>#N/A N/A</v>
        <stp/>
        <stp>BDP|10788358921328238149</stp>
        <tr r="BX102" s="3"/>
      </tp>
      <tp t="s">
        <v>#N/A N/A</v>
        <stp/>
        <stp>BDP|13623141401829225340</stp>
        <tr r="AI88" s="3"/>
      </tp>
      <tp t="s">
        <v>#N/A N/A</v>
        <stp/>
        <stp>BDP|12267355394803588330</stp>
        <tr r="AF77" s="3"/>
      </tp>
      <tp t="s">
        <v>#N/A N/A</v>
        <stp/>
        <stp>BDP|12852767184784700186</stp>
        <tr r="BG87" s="3"/>
      </tp>
      <tp t="s">
        <v>#N/A N/A</v>
        <stp/>
        <stp>BDP|10272770815878546609</stp>
        <tr r="F97" s="3"/>
      </tp>
      <tp t="s">
        <v>#N/A N/A</v>
        <stp/>
        <stp>BDP|13608863404440369324</stp>
        <tr r="AO93" s="3"/>
      </tp>
      <tp t="s">
        <v>#N/A N/A</v>
        <stp/>
        <stp>BDP|11885599214279065417</stp>
        <tr r="CA104" s="3"/>
      </tp>
      <tp t="s">
        <v>#N/A N/A</v>
        <stp/>
        <stp>BDP|11338197788644569436</stp>
        <tr r="R98" s="3"/>
      </tp>
      <tp t="s">
        <v>#N/A N/A</v>
        <stp/>
        <stp>BDP|12494137537251427908</stp>
        <tr r="AH98" s="3"/>
      </tp>
      <tp t="s">
        <v>#N/A N/A</v>
        <stp/>
        <stp>BDP|13080451152842198816</stp>
        <tr r="BY99" s="3"/>
      </tp>
      <tp t="s">
        <v>#N/A N/A</v>
        <stp/>
        <stp>BDP|11462304982642984081</stp>
        <tr r="CE74" s="3"/>
      </tp>
      <tp t="s">
        <v>#N/A N/A</v>
        <stp/>
        <stp>BDP|14565101218354869820</stp>
        <tr r="O109" s="3"/>
      </tp>
      <tp t="s">
        <v>#N/A N/A</v>
        <stp/>
        <stp>BDP|17867835952281952376</stp>
        <tr r="X88" s="3"/>
      </tp>
      <tp t="s">
        <v>#N/A N/A</v>
        <stp/>
        <stp>BDP|17192822566536369702</stp>
        <tr r="AJ104" s="3"/>
      </tp>
      <tp t="s">
        <v>#N/A N/A</v>
        <stp/>
        <stp>BDP|16501934519406104089</stp>
        <tr r="AE88" s="3"/>
      </tp>
      <tp t="s">
        <v>#N/A N/A</v>
        <stp/>
        <stp>BDP|15779328672579679078</stp>
        <tr r="U103" s="3"/>
      </tp>
      <tp t="s">
        <v>#N/A N/A</v>
        <stp/>
        <stp>BDH|16096378484584578121</stp>
        <tr r="F81" s="3"/>
      </tp>
      <tp t="s">
        <v>#N/A N/A</v>
        <stp/>
        <stp>BDP|16968667781256504729</stp>
        <tr r="K104" s="3"/>
      </tp>
      <tp t="s">
        <v>#N/A N/A</v>
        <stp/>
        <stp>BDP|14703940229066450078</stp>
        <tr r="H92" s="3"/>
      </tp>
      <tp t="s">
        <v>#N/A N/A</v>
        <stp/>
        <stp>BDP|13534981369272506780</stp>
        <tr r="AL96" s="3"/>
      </tp>
      <tp t="s">
        <v>#N/A N/A</v>
        <stp/>
        <stp>BDP|16446847539825224133</stp>
        <tr r="AX87" s="3"/>
      </tp>
      <tp t="s">
        <v>#N/A N/A</v>
        <stp/>
        <stp>BDP|17942240993773155678</stp>
        <tr r="BL91" s="3"/>
      </tp>
      <tp t="s">
        <v>#N/A N/A</v>
        <stp/>
        <stp>BDP|12472998967565348118</stp>
        <tr r="AU106" s="3"/>
      </tp>
      <tp t="s">
        <v>#N/A N/A</v>
        <stp/>
        <stp>BDP|10277479486322836738</stp>
        <tr r="M76" s="3"/>
      </tp>
      <tp t="s">
        <v>#N/A N/A</v>
        <stp/>
        <stp>BDP|16423670529562583942</stp>
        <tr r="BS108" s="3"/>
      </tp>
      <tp t="s">
        <v>#N/A N/A</v>
        <stp/>
        <stp>BDP|17699534979528741401</stp>
        <tr r="BY75" s="3"/>
      </tp>
      <tp t="s">
        <v>#N/A N/A</v>
        <stp/>
        <stp>BDP|15533587797144977481</stp>
        <tr r="BL111" s="3"/>
      </tp>
      <tp t="s">
        <v>#N/A N/A</v>
        <stp/>
        <stp>BDP|11305316862908992524</stp>
        <tr r="CH76" s="3"/>
      </tp>
      <tp t="s">
        <v>#N/A N/A</v>
        <stp/>
        <stp>BDP|15353996840329441852</stp>
        <tr r="L88" s="3"/>
      </tp>
      <tp t="s">
        <v>#N/A N/A</v>
        <stp/>
        <stp>BDP|13079772676129860339</stp>
        <tr r="BF96" s="3"/>
      </tp>
      <tp t="s">
        <v>#N/A N/A</v>
        <stp/>
        <stp>BDP|17966852319872911567</stp>
        <tr r="BN76" s="3"/>
      </tp>
      <tp t="s">
        <v>#N/A N/A</v>
        <stp/>
        <stp>BDP|10561879049926678378</stp>
        <tr r="AX97" s="3"/>
      </tp>
      <tp t="s">
        <v>#N/A N/A</v>
        <stp/>
        <stp>BDP|11102243896002121188</stp>
        <tr r="AG73" s="3"/>
      </tp>
      <tp t="s">
        <v>#N/A N/A</v>
        <stp/>
        <stp>BDP|10044430847998711193</stp>
        <tr r="K92" s="3"/>
      </tp>
      <tp t="s">
        <v>#N/A N/A</v>
        <stp/>
        <stp>BDP|13143882762464842099</stp>
        <tr r="CE111" s="3"/>
      </tp>
      <tp t="s">
        <v>#N/A N/A</v>
        <stp/>
        <stp>BDP|13428166822838853125</stp>
        <tr r="BS110" s="3"/>
      </tp>
      <tp t="s">
        <v>#N/A N/A</v>
        <stp/>
        <stp>BDP|16757462184080897305</stp>
        <tr r="K97" s="3"/>
      </tp>
      <tp t="s">
        <v>#N/A N/A</v>
        <stp/>
        <stp>BDP|10089120222633404996</stp>
        <tr r="O89" s="3"/>
      </tp>
      <tp t="s">
        <v>#N/A N/A</v>
        <stp/>
        <stp>BDP|13554818328045124500</stp>
        <tr r="N103" s="3"/>
      </tp>
      <tp t="s">
        <v>#N/A N/A</v>
        <stp/>
        <stp>BDP|17387974658171689377</stp>
        <tr r="BQ113" s="3"/>
      </tp>
      <tp t="s">
        <v>#N/A N/A</v>
        <stp/>
        <stp>BDP|16457430571674306881</stp>
        <tr r="K85" s="3"/>
      </tp>
      <tp t="s">
        <v>#N/A N/A</v>
        <stp/>
        <stp>BDP|10124471166559858252</stp>
        <tr r="G103" s="3"/>
      </tp>
      <tp t="s">
        <v>#N/A N/A</v>
        <stp/>
        <stp>BDP|16169346824737591998</stp>
        <tr r="AS107" s="3"/>
      </tp>
      <tp t="s">
        <v>#N/A N/A</v>
        <stp/>
        <stp>BDP|10325403588936040369</stp>
        <tr r="AL110" s="3"/>
      </tp>
      <tp t="s">
        <v>#N/A N/A</v>
        <stp/>
        <stp>BDP|11722371799460311272</stp>
        <tr r="N90" s="3"/>
      </tp>
      <tp t="s">
        <v>#N/A N/A</v>
        <stp/>
        <stp>BDP|11420568336717046982</stp>
        <tr r="AI75" s="3"/>
      </tp>
      <tp t="s">
        <v>#N/A N/A</v>
        <stp/>
        <stp>BDP|16777396723709586745</stp>
        <tr r="BS88" s="3"/>
      </tp>
      <tp t="s">
        <v>#N/A N/A</v>
        <stp/>
        <stp>BDP|17619356699971562534</stp>
        <tr r="AF92" s="3"/>
      </tp>
      <tp t="s">
        <v>#N/A N/A</v>
        <stp/>
        <stp>BDP|17843812358930997345</stp>
        <tr r="R107" s="3"/>
      </tp>
      <tp t="s">
        <v>#N/A N/A</v>
        <stp/>
        <stp>BDP|12288245554738948478</stp>
        <tr r="AZ76" s="3"/>
      </tp>
      <tp t="s">
        <v>#N/A N/A</v>
        <stp/>
        <stp>BDP|12267062578959102527</stp>
        <tr r="AZ77" s="3"/>
      </tp>
      <tp t="s">
        <v>#N/A N/A</v>
        <stp/>
        <stp>BDP|10278003278027689935</stp>
        <tr r="AD93" s="3"/>
      </tp>
      <tp t="s">
        <v>#N/A N/A</v>
        <stp/>
        <stp>BDP|15979921644958890982</stp>
        <tr r="AN106" s="3"/>
      </tp>
      <tp t="s">
        <v>#N/A N/A</v>
        <stp/>
        <stp>BDP|18190395078453771696</stp>
        <tr r="CB92" s="3"/>
      </tp>
      <tp t="s">
        <v>#N/A N/A</v>
        <stp/>
        <stp>BDP|11692197170196190809</stp>
        <tr r="AC106" s="3"/>
      </tp>
      <tp t="s">
        <v>#N/A N/A</v>
        <stp/>
        <stp>BDP|17007436315993071884</stp>
        <tr r="BI94" s="3"/>
      </tp>
      <tp t="s">
        <v>#N/A N/A</v>
        <stp/>
        <stp>BDP|17913673636689757210</stp>
        <tr r="AJ109" s="3"/>
      </tp>
      <tp t="s">
        <v>#N/A N/A</v>
        <stp/>
        <stp>BDP|17472956606115163287</stp>
        <tr r="AA94" s="3"/>
      </tp>
      <tp t="s">
        <v>#N/A N/A</v>
        <stp/>
        <stp>BDP|11878077695211671022</stp>
        <tr r="AT75" s="3"/>
      </tp>
      <tp t="s">
        <v>#N/A N/A</v>
        <stp/>
        <stp>BDP|14362809440419656849</stp>
        <tr r="BX104" s="3"/>
      </tp>
      <tp t="s">
        <v>#N/A N/A</v>
        <stp/>
        <stp>BDP|14234253033065489904</stp>
        <tr r="Q85" s="3"/>
      </tp>
      <tp t="s">
        <v>#N/A N/A</v>
        <stp/>
        <stp>BDP|11635665674588432107</stp>
        <tr r="H112" s="3"/>
      </tp>
      <tp t="s">
        <v>#N/A N/A</v>
        <stp/>
        <stp>BDP|10566974411580080138</stp>
        <tr r="R112" s="3"/>
      </tp>
      <tp t="s">
        <v>#N/A N/A</v>
        <stp/>
        <stp>BDP|13462466089654396288</stp>
        <tr r="O97" s="3"/>
      </tp>
      <tp t="s">
        <v>#N/A N/A</v>
        <stp/>
        <stp>BDP|14977940439257638022</stp>
        <tr r="BP106" s="3"/>
      </tp>
      <tp t="s">
        <v>#N/A N/A</v>
        <stp/>
        <stp>BDP|14791972562430070217</stp>
        <tr r="BF100" s="3"/>
      </tp>
      <tp t="s">
        <v>#N/A N/A</v>
        <stp/>
        <stp>BDP|16202608185430795123</stp>
        <tr r="BU105" s="3"/>
      </tp>
      <tp t="s">
        <v>#N/A N/A</v>
        <stp/>
        <stp>BDP|12996530096925622287</stp>
        <tr r="U112" s="3"/>
      </tp>
      <tp t="s">
        <v>#N/A N/A</v>
        <stp/>
        <stp>BDP|16533479296101154305</stp>
        <tr r="AN94" s="3"/>
      </tp>
      <tp t="s">
        <v>#N/A N/A</v>
        <stp/>
        <stp>BDP|12491896228981583057</stp>
        <tr r="BF103" s="3"/>
      </tp>
      <tp t="s">
        <v>#N/A N/A</v>
        <stp/>
        <stp>BDP|11524056939929569294</stp>
        <tr r="Q97" s="3"/>
      </tp>
      <tp t="s">
        <v>#N/A N/A</v>
        <stp/>
        <stp>BDP|15588005841801131908</stp>
        <tr r="CA93" s="3"/>
      </tp>
      <tp t="s">
        <v>#N/A N/A</v>
        <stp/>
        <stp>BDP|10424344259588529790</stp>
        <tr r="CG88" s="3"/>
      </tp>
      <tp t="s">
        <v>#N/A N/A</v>
        <stp/>
        <stp>BDP|10486606633808611446</stp>
        <tr r="BU89" s="3"/>
      </tp>
      <tp t="s">
        <v>#N/A N/A</v>
        <stp/>
        <stp>BDP|10524361655039663654</stp>
        <tr r="Y91" s="3"/>
      </tp>
      <tp t="s">
        <v>#N/A N/A</v>
        <stp/>
        <stp>BDP|16000147212286176927</stp>
        <tr r="BC100" s="3"/>
      </tp>
      <tp t="s">
        <v>#N/A N/A</v>
        <stp/>
        <stp>BDP|11688069205621653966</stp>
        <tr r="AO76" s="3"/>
      </tp>
      <tp t="s">
        <v>#N/A N/A</v>
        <stp/>
        <stp>BDP|13457805770521951484</stp>
        <tr r="BA87" s="3"/>
      </tp>
      <tp t="s">
        <v>#N/A N/A</v>
        <stp/>
        <stp>BDP|16764745037239293223</stp>
        <tr r="L85" s="3"/>
      </tp>
      <tp t="s">
        <v>#N/A N/A</v>
        <stp/>
        <stp>BDP|16861646040505905816</stp>
        <tr r="AS108" s="3"/>
      </tp>
      <tp t="s">
        <v>#N/A N/A</v>
        <stp/>
        <stp>BDP|11062170202188669176</stp>
        <tr r="BX76" s="3"/>
      </tp>
      <tp t="s">
        <v>#N/A N/A</v>
        <stp/>
        <stp>BDP|14545053723867006844</stp>
        <tr r="AW106" s="3"/>
      </tp>
      <tp t="s">
        <v>#N/A N/A</v>
        <stp/>
        <stp>BDP|12617137623571330929</stp>
        <tr r="CK111" s="3"/>
      </tp>
      <tp t="s">
        <v>#N/A N/A</v>
        <stp/>
        <stp>BDP|10401553825017094937</stp>
        <tr r="AQ85" s="3"/>
      </tp>
      <tp t="s">
        <v>#N/A N/A</v>
        <stp/>
        <stp>BDP|14041704923678560013</stp>
        <tr r="AL90" s="3"/>
      </tp>
      <tp t="s">
        <v>#N/A N/A</v>
        <stp/>
        <stp>BDP|17260859255802705127</stp>
        <tr r="CG85" s="3"/>
      </tp>
      <tp t="s">
        <v>#N/A N/A</v>
        <stp/>
        <stp>BDP|14032696098300205240</stp>
        <tr r="P101" s="3"/>
      </tp>
      <tp t="s">
        <v>#N/A N/A</v>
        <stp/>
        <stp>BDP|10614168776968813789</stp>
        <tr r="S74" s="3"/>
      </tp>
      <tp t="s">
        <v>#N/A N/A</v>
        <stp/>
        <stp>BDP|18175465274424459612</stp>
        <tr r="O110" s="3"/>
      </tp>
      <tp t="s">
        <v>#N/A N/A</v>
        <stp/>
        <stp>BDP|18172316314897204409</stp>
        <tr r="BR88" s="3"/>
      </tp>
      <tp t="s">
        <v>#N/A N/A</v>
        <stp/>
        <stp>BDP|15775694600769071383</stp>
        <tr r="AX110" s="3"/>
      </tp>
      <tp t="s">
        <v>#N/A N/A</v>
        <stp/>
        <stp>BDP|11671940413577574725</stp>
        <tr r="BT113" s="3"/>
      </tp>
      <tp t="s">
        <v>#N/A N/A</v>
        <stp/>
        <stp>BDP|16557943840897616518</stp>
        <tr r="AA97" s="3"/>
      </tp>
      <tp t="s">
        <v>#N/A N/A</v>
        <stp/>
        <stp>BDP|11767824006518700821</stp>
        <tr r="AH88" s="3"/>
      </tp>
      <tp t="s">
        <v>#N/A N/A</v>
        <stp/>
        <stp>BDP|11969500381191876465</stp>
        <tr r="L108" s="3"/>
      </tp>
      <tp t="s">
        <v>#N/A N/A</v>
        <stp/>
        <stp>BDP|15544484428013551960</stp>
        <tr r="AR90" s="3"/>
      </tp>
      <tp t="s">
        <v>#N/A N/A</v>
        <stp/>
        <stp>BDP|18014012169086950685</stp>
        <tr r="J89" s="3"/>
      </tp>
      <tp t="s">
        <v>#N/A N/A</v>
        <stp/>
        <stp>BDP|14468260699971256009</stp>
        <tr r="P73" s="3"/>
      </tp>
      <tp t="s">
        <v>#N/A N/A</v>
        <stp/>
        <stp>BDP|13103936330215233296</stp>
        <tr r="AN108" s="3"/>
      </tp>
      <tp t="s">
        <v>#N/A N/A</v>
        <stp/>
        <stp>BDP|10432472468408015424</stp>
        <tr r="T97" s="3"/>
      </tp>
      <tp t="s">
        <v>#N/A N/A</v>
        <stp/>
        <stp>BDP|12980849466966634451</stp>
        <tr r="Q107" s="3"/>
      </tp>
      <tp t="s">
        <v>#N/A N/A</v>
        <stp/>
        <stp>BDP|18130764689599627009</stp>
        <tr r="AP85" s="3"/>
      </tp>
      <tp t="s">
        <v>#N/A N/A</v>
        <stp/>
        <stp>BDP|11988402083607434460</stp>
        <tr r="AU95" s="3"/>
      </tp>
      <tp t="s">
        <v>#N/A N/A</v>
        <stp/>
        <stp>BDP|13847869581604159957</stp>
        <tr r="BK77" s="3"/>
      </tp>
      <tp t="s">
        <v>#N/A N/A</v>
        <stp/>
        <stp>BDP|12613041150861005891</stp>
        <tr r="CC94" s="3"/>
      </tp>
      <tp t="s">
        <v>#N/A N/A</v>
        <stp/>
        <stp>BDP|12519783446117495847</stp>
        <tr r="BV91" s="3"/>
      </tp>
      <tp t="s">
        <v>#N/A N/A</v>
        <stp/>
        <stp>BDP|18030698945332296650</stp>
        <tr r="AZ96" s="3"/>
      </tp>
      <tp t="s">
        <v>#N/A N/A</v>
        <stp/>
        <stp>BDP|14357888420534169418</stp>
        <tr r="CJ85" s="3"/>
      </tp>
      <tp t="s">
        <v>#N/A N/A</v>
        <stp/>
        <stp>BDP|18134384668814858731</stp>
        <tr r="BO100" s="3"/>
      </tp>
      <tp t="s">
        <v>#N/A N/A</v>
        <stp/>
        <stp>BDP|13786251963911993823</stp>
        <tr r="H73" s="3"/>
      </tp>
      <tp t="s">
        <v>#N/A N/A</v>
        <stp/>
        <stp>BDP|12915388015618802666</stp>
        <tr r="X99" s="3"/>
      </tp>
      <tp t="s">
        <v>#N/A N/A</v>
        <stp/>
        <stp>BDP|17588355039148658155</stp>
        <tr r="AE90" s="3"/>
      </tp>
      <tp t="s">
        <v>#N/A N/A</v>
        <stp/>
        <stp>BDP|16400229845619970708</stp>
        <tr r="CI105" s="3"/>
      </tp>
      <tp t="s">
        <v>#N/A N/A</v>
        <stp/>
        <stp>BDP|14071162996594843624</stp>
        <tr r="AH90" s="3"/>
      </tp>
      <tp t="s">
        <v>#N/A N/A</v>
        <stp/>
        <stp>BDP|13274336072370855912</stp>
        <tr r="BU98" s="3"/>
      </tp>
      <tp t="s">
        <v>#N/A N/A</v>
        <stp/>
        <stp>BDP|11011830926003114698</stp>
        <tr r="P103" s="3"/>
      </tp>
      <tp t="s">
        <v>#N/A N/A</v>
        <stp/>
        <stp>BDP|11640148855199808220</stp>
        <tr r="R94" s="3"/>
      </tp>
      <tp t="s">
        <v>#N/A N/A</v>
        <stp/>
        <stp>BDP|16273211641508880669</stp>
        <tr r="Y73" s="3"/>
      </tp>
      <tp t="s">
        <v>#N/A N/A</v>
        <stp/>
        <stp>BDP|17315425874253022992</stp>
        <tr r="BZ108" s="3"/>
      </tp>
      <tp t="s">
        <v>#N/A N/A</v>
        <stp/>
        <stp>BDP|14193802517343291087</stp>
        <tr r="BA89" s="3"/>
      </tp>
      <tp t="s">
        <v>#N/A N/A</v>
        <stp/>
        <stp>BDP|18195172739456259229</stp>
        <tr r="BT90" s="3"/>
      </tp>
      <tp t="s">
        <v>#N/A N/A</v>
        <stp/>
        <stp>BDP|17630031587299873852</stp>
        <tr r="AL87" s="3"/>
      </tp>
      <tp t="s">
        <v>#N/A N/A</v>
        <stp/>
        <stp>BDP|17108189355114481968</stp>
        <tr r="G93" s="3"/>
      </tp>
      <tp t="s">
        <v>#N/A N/A</v>
        <stp/>
        <stp>BDP|16008650291921313695</stp>
        <tr r="AY85" s="3"/>
      </tp>
      <tp t="s">
        <v>#N/A N/A</v>
        <stp/>
        <stp>BDP|15350011731199507189</stp>
        <tr r="BF75" s="3"/>
      </tp>
      <tp t="s">
        <v>#N/A N/A</v>
        <stp/>
        <stp>BDP|12999258556202544915</stp>
        <tr r="AW74" s="3"/>
      </tp>
      <tp t="s">
        <v>#N/A N/A</v>
        <stp/>
        <stp>BDP|10316453887786643491</stp>
        <tr r="CJ107" s="3"/>
      </tp>
      <tp t="s">
        <v>#N/A N/A</v>
        <stp/>
        <stp>BDP|15293831324910308184</stp>
        <tr r="BQ112" s="3"/>
      </tp>
      <tp t="s">
        <v>#N/A N/A</v>
        <stp/>
        <stp>BDP|15991337741339718528</stp>
        <tr r="CG113" s="3"/>
      </tp>
      <tp t="s">
        <v>#N/A N/A</v>
        <stp/>
        <stp>BDP|16667300137461857989</stp>
        <tr r="AK74" s="3"/>
      </tp>
      <tp t="s">
        <v>#N/A N/A</v>
        <stp/>
        <stp>BDP|14731464618656850907</stp>
        <tr r="N97" s="3"/>
      </tp>
      <tp t="s">
        <v>#N/A N/A</v>
        <stp/>
        <stp>BDP|13980494354904009851</stp>
        <tr r="AV109" s="3"/>
      </tp>
      <tp t="s">
        <v>#N/A N/A</v>
        <stp/>
        <stp>BDP|16859993763877202000</stp>
        <tr r="CE85" s="3"/>
      </tp>
      <tp t="s">
        <v>#N/A N/A</v>
        <stp/>
        <stp>BDP|17453368465704159862</stp>
        <tr r="BH96" s="3"/>
      </tp>
      <tp t="s">
        <v>#N/A N/A</v>
        <stp/>
        <stp>BDP|16603845172850093706</stp>
        <tr r="Q74" s="3"/>
      </tp>
      <tp t="s">
        <v>#N/A N/A</v>
        <stp/>
        <stp>BDP|16318382404282835975</stp>
        <tr r="CH102" s="3"/>
      </tp>
      <tp t="s">
        <v>#N/A N/A</v>
        <stp/>
        <stp>BDP|18343907195751326753</stp>
        <tr r="X87" s="3"/>
      </tp>
      <tp t="s">
        <v>#N/A N/A</v>
        <stp/>
        <stp>BDP|17328100430543351806</stp>
        <tr r="AN92" s="3"/>
      </tp>
      <tp t="s">
        <v>#N/A N/A</v>
        <stp/>
        <stp>BDP|11328115801678315604</stp>
        <tr r="T94" s="3"/>
      </tp>
      <tp t="s">
        <v>#N/A N/A</v>
        <stp/>
        <stp>BDP|10278654746869125532</stp>
        <tr r="BV88" s="3"/>
      </tp>
      <tp t="s">
        <v>#N/A N/A</v>
        <stp/>
        <stp>BDP|14251940364437592251</stp>
        <tr r="CH98" s="3"/>
      </tp>
      <tp t="s">
        <v>#N/A N/A</v>
        <stp/>
        <stp>BDP|17521846414111236158</stp>
        <tr r="BQ103" s="3"/>
      </tp>
      <tp t="s">
        <v>#N/A N/A</v>
        <stp/>
        <stp>BDP|10949994172154549458</stp>
        <tr r="BE85" s="3"/>
      </tp>
      <tp t="s">
        <v>#N/A N/A</v>
        <stp/>
        <stp>BDP|13140188517854864947</stp>
        <tr r="CF104" s="3"/>
      </tp>
      <tp t="s">
        <v>#N/A N/A</v>
        <stp/>
        <stp>BDP|12295546881728728950</stp>
        <tr r="AI99" s="3"/>
      </tp>
      <tp t="s">
        <v>#N/A N/A</v>
        <stp/>
        <stp>BDP|10215939257270017235</stp>
        <tr r="AT91" s="3"/>
      </tp>
      <tp t="s">
        <v>#N/A N/A</v>
        <stp/>
        <stp>BDP|15056829013262093051</stp>
        <tr r="BB76" s="3"/>
      </tp>
      <tp t="s">
        <v>#N/A N/A</v>
        <stp/>
        <stp>BDP|16679891709466073619</stp>
        <tr r="CB112" s="3"/>
      </tp>
      <tp t="s">
        <v>#N/A N/A</v>
        <stp/>
        <stp>BDP|13038912691645435834</stp>
        <tr r="AJ91" s="3"/>
      </tp>
      <tp t="s">
        <v>#N/A N/A</v>
        <stp/>
        <stp>BDP|11583741917250929993</stp>
        <tr r="CK89" s="3"/>
      </tp>
      <tp t="s">
        <v>#N/A N/A</v>
        <stp/>
        <stp>BDP|15950048488916294512</stp>
        <tr r="V102" s="3"/>
      </tp>
      <tp t="s">
        <v>#N/A N/A</v>
        <stp/>
        <stp>BDP|13791116196227267248</stp>
        <tr r="BU92" s="3"/>
      </tp>
      <tp t="s">
        <v>#N/A N/A</v>
        <stp/>
        <stp>BDP|14886337354105947909</stp>
        <tr r="AI94" s="3"/>
      </tp>
      <tp t="s">
        <v>#N/A N/A</v>
        <stp/>
        <stp>BDP|11813475122309265090</stp>
        <tr r="M104" s="3"/>
      </tp>
      <tp t="s">
        <v>#N/A N/A</v>
        <stp/>
        <stp>BDH|12402078656649565035</stp>
        <tr r="F80" s="3"/>
      </tp>
      <tp t="s">
        <v>#N/A N/A</v>
        <stp/>
        <stp>BDP|12619063698053196700</stp>
        <tr r="CJ112" s="3"/>
      </tp>
      <tp t="s">
        <v>#N/A N/A</v>
        <stp/>
        <stp>BDP|12215891518073976739</stp>
        <tr r="AQ75" s="3"/>
      </tp>
      <tp t="s">
        <v>#N/A N/A</v>
        <stp/>
        <stp>BDP|16733017181542851378</stp>
        <tr r="AM95" s="3"/>
      </tp>
      <tp t="s">
        <v>#N/A N/A</v>
        <stp/>
        <stp>BDP|11900833410680046722</stp>
        <tr r="AB100" s="3"/>
      </tp>
      <tp t="s">
        <v>#N/A N/A</v>
        <stp/>
        <stp>BDP|10316074882630724790</stp>
        <tr r="CI90" s="3"/>
      </tp>
      <tp t="s">
        <v>#N/A N/A</v>
        <stp/>
        <stp>BDP|17953340893005600700</stp>
        <tr r="BT98" s="3"/>
      </tp>
      <tp t="s">
        <v>#N/A N/A</v>
        <stp/>
        <stp>BDP|16684200183082666185</stp>
        <tr r="BH106" s="3"/>
      </tp>
      <tp t="s">
        <v>#N/A N/A</v>
        <stp/>
        <stp>BDP|12081343031758956571</stp>
        <tr r="BF88" s="3"/>
      </tp>
      <tp t="s">
        <v>#N/A N/A</v>
        <stp/>
        <stp>BDP|11453882660493152369</stp>
        <tr r="BO98" s="3"/>
      </tp>
      <tp t="s">
        <v>#N/A N/A</v>
        <stp/>
        <stp>BDP|15911022276074640909</stp>
        <tr r="AH77" s="3"/>
      </tp>
      <tp t="s">
        <v>#N/A N/A</v>
        <stp/>
        <stp>BDP|18034692977036375065</stp>
        <tr r="L76" s="3"/>
      </tp>
      <tp t="s">
        <v>#N/A N/A</v>
        <stp/>
        <stp>BDP|14896946741543484525</stp>
        <tr r="CH103" s="3"/>
      </tp>
      <tp t="s">
        <v>#N/A N/A</v>
        <stp/>
        <stp>BDP|16284822588988621154</stp>
        <tr r="BC103" s="3"/>
      </tp>
      <tp t="s">
        <v>#N/A N/A</v>
        <stp/>
        <stp>BDP|10186493595671509324</stp>
        <tr r="U104" s="3"/>
      </tp>
      <tp t="s">
        <v>#N/A N/A</v>
        <stp/>
        <stp>BDP|10313626043715882801</stp>
        <tr r="BD112" s="3"/>
      </tp>
      <tp t="s">
        <v>#N/A N/A</v>
        <stp/>
        <stp>BDP|17639757123969230481</stp>
        <tr r="BR90" s="3"/>
      </tp>
      <tp t="s">
        <v>#N/A N/A</v>
        <stp/>
        <stp>BDP|17562328900489449292</stp>
        <tr r="BR112" s="3"/>
      </tp>
      <tp t="s">
        <v>#N/A N/A</v>
        <stp/>
        <stp>BDP|14181841730891648196</stp>
        <tr r="AJ105" s="3"/>
      </tp>
      <tp t="s">
        <v>#N/A N/A</v>
        <stp/>
        <stp>BDP|11929341552409477111</stp>
        <tr r="AT100" s="3"/>
      </tp>
      <tp t="s">
        <v>#N/A N/A</v>
        <stp/>
        <stp>BDP|10410183231634720906</stp>
        <tr r="CD95" s="3"/>
      </tp>
      <tp t="s">
        <v>#N/A N/A</v>
        <stp/>
        <stp>BDP|10476000999447326146</stp>
        <tr r="CA91" s="3"/>
      </tp>
      <tp t="s">
        <v>#N/A N/A</v>
        <stp/>
        <stp>BDP|17289876736031745299</stp>
        <tr r="BB92" s="3"/>
      </tp>
      <tp t="s">
        <v>#N/A N/A</v>
        <stp/>
        <stp>BDP|17003152789701141001</stp>
        <tr r="AC102" s="3"/>
      </tp>
      <tp t="s">
        <v>#N/A N/A</v>
        <stp/>
        <stp>BDP|18162253308446561340</stp>
        <tr r="Z98" s="3"/>
      </tp>
      <tp t="s">
        <v>#N/A N/A</v>
        <stp/>
        <stp>BDP|11410857131686910344</stp>
        <tr r="AN98" s="3"/>
      </tp>
      <tp t="s">
        <v>#N/A N/A</v>
        <stp/>
        <stp>BDP|13931498707060244894</stp>
        <tr r="L74" s="3"/>
      </tp>
      <tp t="s">
        <v>#N/A N/A</v>
        <stp/>
        <stp>BDP|15400099561174035803</stp>
        <tr r="BY111" s="3"/>
      </tp>
      <tp t="s">
        <v>#N/A N/A</v>
        <stp/>
        <stp>BDP|15015388620768445302</stp>
        <tr r="BI112" s="3"/>
      </tp>
      <tp t="s">
        <v>#N/A N/A</v>
        <stp/>
        <stp>BDP|17389060588113579341</stp>
        <tr r="BY76" s="3"/>
      </tp>
      <tp t="s">
        <v>#N/A N/A</v>
        <stp/>
        <stp>BDP|14888541392584123304</stp>
        <tr r="AO91" s="3"/>
      </tp>
      <tp t="s">
        <v>#N/A N/A</v>
        <stp/>
        <stp>BDP|13601225796351890656</stp>
        <tr r="L92" s="3"/>
      </tp>
      <tp t="s">
        <v>#N/A N/A</v>
        <stp/>
        <stp>BDP|15325379991681819124</stp>
        <tr r="CK85" s="3"/>
      </tp>
      <tp t="s">
        <v>#N/A N/A</v>
        <stp/>
        <stp>BDP|12525567789992717225</stp>
        <tr r="CG101" s="3"/>
      </tp>
      <tp t="s">
        <v>#N/A N/A</v>
        <stp/>
        <stp>BDP|16569221601059933208</stp>
        <tr r="L93" s="3"/>
      </tp>
      <tp t="s">
        <v>#N/A N/A</v>
        <stp/>
        <stp>BDP|14407912608273488168</stp>
        <tr r="AK85" s="3"/>
      </tp>
      <tp t="s">
        <v>#N/A N/A</v>
        <stp/>
        <stp>BDP|16214636393005910340</stp>
        <tr r="Z90" s="3"/>
      </tp>
      <tp t="s">
        <v>#N/A N/A</v>
        <stp/>
        <stp>BDP|12211958424450936646</stp>
        <tr r="AG96" s="3"/>
      </tp>
      <tp t="s">
        <v>#N/A N/A</v>
        <stp/>
        <stp>BDP|11225602662436795892</stp>
        <tr r="N111" s="3"/>
      </tp>
      <tp t="s">
        <v>#N/A N/A</v>
        <stp/>
        <stp>BDP|11974732969446588986</stp>
        <tr r="S88" s="3"/>
      </tp>
      <tp t="s">
        <v>#N/A N/A</v>
        <stp/>
        <stp>BDP|10099336073992710999</stp>
        <tr r="J98" s="3"/>
      </tp>
      <tp t="s">
        <v>#N/A N/A</v>
        <stp/>
        <stp>BDP|16157952618345443461</stp>
        <tr r="CB73" s="3"/>
      </tp>
      <tp t="s">
        <v>#N/A N/A</v>
        <stp/>
        <stp>BDP|15193343082984779514</stp>
        <tr r="M90" s="3"/>
      </tp>
      <tp t="s">
        <v>#N/A N/A</v>
        <stp/>
        <stp>BDP|16345521230107093813</stp>
        <tr r="AG111" s="3"/>
      </tp>
      <tp t="s">
        <v>#N/A N/A</v>
        <stp/>
        <stp>BDP|18398972381341504704</stp>
        <tr r="X85" s="3"/>
      </tp>
      <tp t="s">
        <v>#N/A N/A</v>
        <stp/>
        <stp>BDP|16385972507706429678</stp>
        <tr r="AQ103" s="3"/>
      </tp>
      <tp t="s">
        <v>#N/A N/A</v>
        <stp/>
        <stp>BDP|10737659091003417341</stp>
        <tr r="R108" s="3"/>
      </tp>
      <tp t="s">
        <v>#N/A N/A</v>
        <stp/>
        <stp>BDP|13532704716083263929</stp>
        <tr r="AU104" s="3"/>
      </tp>
      <tp t="s">
        <v>#N/A N/A</v>
        <stp/>
        <stp>BDP|18091327473354121732</stp>
        <tr r="AH87" s="3"/>
      </tp>
      <tp t="s">
        <v>#N/A N/A</v>
        <stp/>
        <stp>BDP|14985436338069384527</stp>
        <tr r="BO77" s="3"/>
      </tp>
      <tp t="s">
        <v>#N/A N/A</v>
        <stp/>
        <stp>BDP|12769070725169052662</stp>
        <tr r="P107" s="3"/>
      </tp>
      <tp t="s">
        <v>#N/A N/A</v>
        <stp/>
        <stp>BDP|17596340882141536240</stp>
        <tr r="AO105" s="3"/>
      </tp>
      <tp t="s">
        <v>#N/A N/A</v>
        <stp/>
        <stp>BDP|15835450601708867666</stp>
        <tr r="P75" s="3"/>
      </tp>
      <tp t="s">
        <v>#N/A N/A</v>
        <stp/>
        <stp>BDP|16170722880302652409</stp>
        <tr r="AB91" s="3"/>
      </tp>
      <tp t="s">
        <v>#N/A N/A</v>
        <stp/>
        <stp>BDP|14870857979924253034</stp>
        <tr r="BR111" s="3"/>
      </tp>
      <tp t="s">
        <v>#N/A N/A</v>
        <stp/>
        <stp>BDP|13460405444638040459</stp>
        <tr r="CF96" s="3"/>
      </tp>
      <tp t="s">
        <v>#N/A N/A</v>
        <stp/>
        <stp>BDP|17386186225508809335</stp>
        <tr r="BS75" s="3"/>
      </tp>
      <tp t="s">
        <v>#N/A N/A</v>
        <stp/>
        <stp>BDP|14389378778507031895</stp>
        <tr r="AU98" s="3"/>
      </tp>
      <tp t="s">
        <v>#N/A N/A</v>
        <stp/>
        <stp>BDP|13954875719032140737</stp>
        <tr r="AI77" s="3"/>
      </tp>
      <tp t="s">
        <v>#N/A N/A</v>
        <stp/>
        <stp>BDP|17153854180060122803</stp>
        <tr r="BX105" s="3"/>
      </tp>
      <tp t="s">
        <v>#N/A N/A</v>
        <stp/>
        <stp>BDP|16961225007793128882</stp>
        <tr r="T96" s="3"/>
      </tp>
      <tp t="s">
        <v>#N/A N/A</v>
        <stp/>
        <stp>BDP|13342287315419295684</stp>
        <tr r="S101" s="3"/>
      </tp>
      <tp t="s">
        <v>#N/A N/A</v>
        <stp/>
        <stp>BDP|16299373064315327963</stp>
        <tr r="BM104" s="3"/>
      </tp>
      <tp t="s">
        <v>#N/A N/A</v>
        <stp/>
        <stp>BDP|16797067384296275736</stp>
        <tr r="BE88" s="3"/>
      </tp>
      <tp t="s">
        <v>#N/A N/A</v>
        <stp/>
        <stp>BDP|17639546362992282967</stp>
        <tr r="BA104" s="3"/>
      </tp>
      <tp t="s">
        <v>#N/A N/A</v>
        <stp/>
        <stp>BDP|11406441984014854680</stp>
        <tr r="AQ100" s="3"/>
      </tp>
      <tp t="s">
        <v>#N/A N/A</v>
        <stp/>
        <stp>BDP|15255342210768594046</stp>
        <tr r="BK95" s="3"/>
      </tp>
      <tp t="s">
        <v>#N/A N/A</v>
        <stp/>
        <stp>BDP|13046015492867423206</stp>
        <tr r="AV93" s="3"/>
      </tp>
      <tp t="s">
        <v>#N/A N/A</v>
        <stp/>
        <stp>BDP|17770338326548371161</stp>
        <tr r="CF74" s="3"/>
      </tp>
      <tp t="s">
        <v>#N/A N/A</v>
        <stp/>
        <stp>BDP|10721283653668311085</stp>
        <tr r="BZ88" s="3"/>
      </tp>
      <tp t="s">
        <v>#N/A N/A</v>
        <stp/>
        <stp>BDP|14931991263911590512</stp>
        <tr r="Y109" s="3"/>
      </tp>
      <tp t="s">
        <v>#N/A N/A</v>
        <stp/>
        <stp>BDP|13191326776179398111</stp>
        <tr r="N94" s="3"/>
      </tp>
      <tp t="s">
        <v>#N/A N/A</v>
        <stp/>
        <stp>BDP|13700181638469619760</stp>
        <tr r="AL77" s="3"/>
      </tp>
      <tp t="s">
        <v>#N/A N/A</v>
        <stp/>
        <stp>BDP|17270214890913461015</stp>
        <tr r="P89" s="3"/>
      </tp>
      <tp t="s">
        <v>#N/A N/A</v>
        <stp/>
        <stp>BDP|10481665355098267434</stp>
        <tr r="H87" s="3"/>
      </tp>
      <tp t="s">
        <v>#N/A N/A</v>
        <stp/>
        <stp>BDP|18296862271448415073</stp>
        <tr r="AH73" s="3"/>
      </tp>
      <tp t="s">
        <v>#N/A N/A</v>
        <stp/>
        <stp>BDP|11701208103365718956</stp>
        <tr r="CC97" s="3"/>
      </tp>
      <tp t="s">
        <v>#N/A N/A</v>
        <stp/>
        <stp>BDP|16356611040522707930</stp>
        <tr r="CI106" s="3"/>
      </tp>
      <tp t="s">
        <v>#N/A N/A</v>
        <stp/>
        <stp>BDP|16045866763275500267</stp>
        <tr r="AJ94" s="3"/>
      </tp>
      <tp t="s">
        <v>#N/A N/A</v>
        <stp/>
        <stp>BDP|10444001845498112366</stp>
        <tr r="J87" s="3"/>
      </tp>
      <tp t="s">
        <v>#N/A N/A</v>
        <stp/>
        <stp>BDP|17292342852497385911</stp>
        <tr r="U92" s="3"/>
      </tp>
      <tp t="s">
        <v>#N/A N/A</v>
        <stp/>
        <stp>BDP|10489201339118227564</stp>
        <tr r="G88" s="3"/>
      </tp>
      <tp t="s">
        <v>#N/A N/A</v>
        <stp/>
        <stp>BDP|12106148050109414385</stp>
        <tr r="CE104" s="3"/>
      </tp>
      <tp t="s">
        <v>#N/A N/A</v>
        <stp/>
        <stp>BDP|12819245961189048342</stp>
        <tr r="BF95" s="3"/>
      </tp>
      <tp t="s">
        <v>#N/A N/A</v>
        <stp/>
        <stp>BDP|13337257379199682308</stp>
        <tr r="M74" s="3"/>
      </tp>
      <tp t="s">
        <v>#N/A N/A</v>
        <stp/>
        <stp>BDP|11806824818713385792</stp>
        <tr r="Y97" s="3"/>
      </tp>
      <tp t="s">
        <v>#N/A N/A</v>
        <stp/>
        <stp>BDP|14673236091245933651</stp>
        <tr r="BM102" s="3"/>
      </tp>
      <tp t="s">
        <v>#N/A N/A</v>
        <stp/>
        <stp>BDP|15625763316196777997</stp>
        <tr r="O91" s="3"/>
      </tp>
      <tp t="s">
        <v>#N/A N/A</v>
        <stp/>
        <stp>BDP|12484969469230315104</stp>
        <tr r="Q73" s="3"/>
      </tp>
      <tp t="s">
        <v>#N/A N/A</v>
        <stp/>
        <stp>BDP|10063332098626728044</stp>
        <tr r="BH74" s="3"/>
      </tp>
      <tp t="s">
        <v>#N/A N/A</v>
        <stp/>
        <stp>BDP|15350884429827945439</stp>
        <tr r="AX88" s="3"/>
      </tp>
      <tp t="s">
        <v>#N/A N/A</v>
        <stp/>
        <stp>BDP|14628781247658311319</stp>
        <tr r="CI109" s="3"/>
      </tp>
      <tp t="s">
        <v>#N/A N/A</v>
        <stp/>
        <stp>BDP|10778995770942669031</stp>
        <tr r="BU90" s="3"/>
      </tp>
      <tp t="s">
        <v>#N/A N/A</v>
        <stp/>
        <stp>BDP|13314774709298557030</stp>
        <tr r="BS89" s="3"/>
      </tp>
      <tp t="s">
        <v>#N/A N/A</v>
        <stp/>
        <stp>BDP|14638898827155793743</stp>
        <tr r="AW110" s="3"/>
      </tp>
      <tp t="s">
        <v>#N/A N/A</v>
        <stp/>
        <stp>BDP|10408942276425950758</stp>
        <tr r="AN99" s="3"/>
      </tp>
      <tp t="s">
        <v>#N/A N/A</v>
        <stp/>
        <stp>BDP|10477208190744965374</stp>
        <tr r="AU91" s="3"/>
      </tp>
      <tp t="s">
        <v>#N/A N/A</v>
        <stp/>
        <stp>BDP|10501581870838446631</stp>
        <tr r="Q92" s="3"/>
      </tp>
      <tp t="s">
        <v>#N/A N/A</v>
        <stp/>
        <stp>BDP|14165986112428273830</stp>
        <tr r="CK90" s="3"/>
      </tp>
      <tp t="s">
        <v>#N/A N/A</v>
        <stp/>
        <stp>BDP|14946791232484014882</stp>
        <tr r="BU101" s="3"/>
      </tp>
      <tp t="s">
        <v>#N/A N/A</v>
        <stp/>
        <stp>BDP|14889450230836444935</stp>
        <tr r="AR101" s="3"/>
      </tp>
      <tp t="s">
        <v>#N/A N/A</v>
        <stp/>
        <stp>BDP|17677787848160418885</stp>
        <tr r="AC89" s="3"/>
      </tp>
      <tp t="s">
        <v>#N/A N/A</v>
        <stp/>
        <stp>BDP|10965448807748555058</stp>
        <tr r="AA113" s="3"/>
      </tp>
      <tp t="s">
        <v>#N/A N/A</v>
        <stp/>
        <stp>BDP|16629129348786815997</stp>
        <tr r="AK98" s="3"/>
      </tp>
      <tp t="s">
        <v>#N/A N/A</v>
        <stp/>
        <stp>BDP|12918054074948431112</stp>
        <tr r="K77" s="3"/>
      </tp>
      <tp t="s">
        <v>#N/A N/A</v>
        <stp/>
        <stp>BDP|14175993405159567852</stp>
        <tr r="BT77" s="3"/>
      </tp>
      <tp t="s">
        <v>#N/A N/A</v>
        <stp/>
        <stp>BDP|11328195204235297919</stp>
        <tr r="AS94" s="3"/>
      </tp>
      <tp t="s">
        <v>#N/A N/A</v>
        <stp/>
        <stp>BDP|11079897875704687667</stp>
        <tr r="K98" s="3"/>
      </tp>
      <tp t="s">
        <v>#N/A N/A</v>
        <stp/>
        <stp>BDP|14470945178676607022</stp>
        <tr r="BG96" s="3"/>
      </tp>
      <tp t="s">
        <v>#N/A N/A</v>
        <stp/>
        <stp>BDP|17920596637675194897</stp>
        <tr r="BS100" s="3"/>
      </tp>
      <tp t="s">
        <v>#N/A N/A</v>
        <stp/>
        <stp>BDP|12037880766342785272</stp>
        <tr r="CJ101" s="3"/>
      </tp>
      <tp t="s">
        <v>#N/A N/A</v>
        <stp/>
        <stp>BDP|11385751783061301387</stp>
        <tr r="X108" s="3"/>
      </tp>
      <tp t="s">
        <v>#N/A N/A</v>
        <stp/>
        <stp>BDP|13875523323750055870</stp>
        <tr r="AK96" s="3"/>
      </tp>
      <tp t="s">
        <v>#N/A N/A</v>
        <stp/>
        <stp>BDP|15357759181873820513</stp>
        <tr r="AY96" s="3"/>
      </tp>
      <tp t="s">
        <v>#N/A N/A</v>
        <stp/>
        <stp>BDP|16862184982710665358</stp>
        <tr r="CF76" s="3"/>
      </tp>
      <tp t="s">
        <v>#N/A N/A</v>
        <stp/>
        <stp>BDP|14285130191289066910</stp>
        <tr r="BR98" s="3"/>
      </tp>
      <tp t="s">
        <v>#N/A N/A</v>
        <stp/>
        <stp>BDP|17215812378166297291</stp>
        <tr r="BK97" s="3"/>
      </tp>
      <tp t="s">
        <v>#N/A N/A</v>
        <stp/>
        <stp>BDP|13730061446808745303</stp>
        <tr r="BL100" s="3"/>
      </tp>
      <tp t="s">
        <v>#N/A N/A</v>
        <stp/>
        <stp>BDP|18109561460621128667</stp>
        <tr r="CJ100" s="3"/>
      </tp>
      <tp t="s">
        <v>#N/A N/A</v>
        <stp/>
        <stp>BDP|13078730181817487766</stp>
        <tr r="J88" s="3"/>
      </tp>
      <tp t="s">
        <v>#N/A N/A</v>
        <stp/>
        <stp>BDP|15291134125853306974</stp>
        <tr r="BN107" s="3"/>
      </tp>
      <tp t="s">
        <v>#N/A N/A</v>
        <stp/>
        <stp>BDP|15040386279714579947</stp>
        <tr r="BE106" s="3"/>
      </tp>
      <tp t="s">
        <v>#N/A N/A</v>
        <stp/>
        <stp>BDP|18355119160701292239</stp>
        <tr r="X100" s="3"/>
      </tp>
      <tp t="s">
        <v>#N/A N/A</v>
        <stp/>
        <stp>BDP|18186862795134288139</stp>
        <tr r="AR93" s="3"/>
      </tp>
      <tp t="s">
        <v>#N/A N/A</v>
        <stp/>
        <stp>BDP|10150619053339617667</stp>
        <tr r="BL87" s="3"/>
      </tp>
      <tp t="s">
        <v>#N/A N/A</v>
        <stp/>
        <stp>BDP|18109930514029699536</stp>
        <tr r="AA99" s="3"/>
      </tp>
      <tp t="s">
        <v>#N/A N/A</v>
        <stp/>
        <stp>BDP|15157478644478360129</stp>
        <tr r="BZ90" s="3"/>
      </tp>
      <tp t="s">
        <v>#N/A N/A</v>
        <stp/>
        <stp>BDP|14523700040683624802</stp>
        <tr r="CF95" s="3"/>
      </tp>
      <tp t="s">
        <v>#N/A N/A</v>
        <stp/>
        <stp>BDP|15912889120774134721</stp>
        <tr r="BC92" s="3"/>
      </tp>
      <tp t="s">
        <v>#N/A N/A</v>
        <stp/>
        <stp>BDP|14503810554224415162</stp>
        <tr r="Q96" s="3"/>
      </tp>
      <tp t="s">
        <v>#N/A N/A</v>
        <stp/>
        <stp>BDP|17260351192713522223</stp>
        <tr r="BB99" s="3"/>
      </tp>
      <tp t="s">
        <v>#N/A N/A</v>
        <stp/>
        <stp>BDP|13321971250374773712</stp>
        <tr r="AZ109" s="3"/>
      </tp>
      <tp t="s">
        <v>#N/A N/A</v>
        <stp/>
        <stp>BDP|10240509298422849278</stp>
        <tr r="AX112" s="3"/>
      </tp>
      <tp t="s">
        <v>#N/A N/A</v>
        <stp/>
        <stp>BDP|17536540126715683957</stp>
        <tr r="CH91" s="3"/>
      </tp>
      <tp t="s">
        <v>#N/A N/A</v>
        <stp/>
        <stp>BDP|13972414095521081395</stp>
        <tr r="BS91" s="3"/>
      </tp>
      <tp t="s">
        <v>#N/A N/A</v>
        <stp/>
        <stp>BDP|14713628850562739960</stp>
        <tr r="U110" s="3"/>
      </tp>
      <tp t="s">
        <v>#N/A N/A</v>
        <stp/>
        <stp>BDP|11119831277664944681</stp>
        <tr r="N100" s="3"/>
      </tp>
      <tp t="s">
        <v>#N/A N/A</v>
        <stp/>
        <stp>BDP|17281709262553007946</stp>
        <tr r="AN73" s="3"/>
      </tp>
      <tp t="s">
        <v>#N/A N/A</v>
        <stp/>
        <stp>BDP|17876396290231537001</stp>
        <tr r="BQ90" s="3"/>
      </tp>
      <tp t="s">
        <v>#N/A N/A</v>
        <stp/>
        <stp>BDP|11705149885303296706</stp>
        <tr r="BG106" s="3"/>
      </tp>
      <tp t="s">
        <v>#N/A N/A</v>
        <stp/>
        <stp>BDP|12493199299020271623</stp>
        <tr r="AF107" s="3"/>
      </tp>
      <tp t="s">
        <v>#N/A N/A</v>
        <stp/>
        <stp>BDP|11389959967307254546</stp>
        <tr r="BP87" s="3"/>
      </tp>
      <tp t="s">
        <v>#N/A N/A</v>
        <stp/>
        <stp>BDP|11076249444869234252</stp>
        <tr r="BG102" s="3"/>
      </tp>
      <tp t="s">
        <v>#N/A N/A</v>
        <stp/>
        <stp>BDP|15765605621425775865</stp>
        <tr r="X102" s="3"/>
      </tp>
      <tp t="s">
        <v>#N/A N/A</v>
        <stp/>
        <stp>BDP|16057868564232797623</stp>
        <tr r="BX93" s="3"/>
      </tp>
      <tp t="s">
        <v>#N/A N/A</v>
        <stp/>
        <stp>BDP|11230655975145023949</stp>
        <tr r="AE94" s="3"/>
      </tp>
      <tp t="s">
        <v>#N/A N/A</v>
        <stp/>
        <stp>BDP|17379906271346715333</stp>
        <tr r="AE92" s="3"/>
      </tp>
      <tp t="s">
        <v>#N/A N/A</v>
        <stp/>
        <stp>BDP|11002590378768775700</stp>
        <tr r="BV96" s="3"/>
      </tp>
      <tp t="s">
        <v>#N/A N/A</v>
        <stp/>
        <stp>BDP|15851481126256897874</stp>
        <tr r="BZ106" s="3"/>
      </tp>
      <tp t="s">
        <v>#N/A N/A</v>
        <stp/>
        <stp>BDP|14099714105359442793</stp>
        <tr r="AQ87" s="3"/>
      </tp>
      <tp t="s">
        <v>#N/A N/A</v>
        <stp/>
        <stp>BDP|17376556848709227258</stp>
        <tr r="V87" s="3"/>
      </tp>
      <tp t="s">
        <v>#N/A N/A</v>
        <stp/>
        <stp>BDP|11420932431462607494</stp>
        <tr r="CJ109" s="3"/>
      </tp>
      <tp t="s">
        <v>#N/A N/A</v>
        <stp/>
        <stp>BDP|18265581347055707130</stp>
        <tr r="AD85" s="3"/>
      </tp>
      <tp t="s">
        <v>#N/A N/A</v>
        <stp/>
        <stp>BDP|13842194678281713968</stp>
        <tr r="BG73" s="3"/>
      </tp>
      <tp t="s">
        <v>#N/A N/A</v>
        <stp/>
        <stp>BDP|16290150992636818557</stp>
        <tr r="F99" s="3"/>
      </tp>
      <tp t="s">
        <v>#N/A N/A</v>
        <stp/>
        <stp>BDP|17173892655576118140</stp>
        <tr r="CH99" s="3"/>
      </tp>
      <tp t="s">
        <v>#N/A N/A</v>
        <stp/>
        <stp>BDP|12590208626207860833</stp>
        <tr r="AN96" s="3"/>
      </tp>
      <tp t="s">
        <v>#N/A N/A</v>
        <stp/>
        <stp>BDP|13201845008520230672</stp>
        <tr r="BH92" s="3"/>
      </tp>
      <tp t="s">
        <v>#N/A N/A</v>
        <stp/>
        <stp>BDP|17602932603307840452</stp>
        <tr r="Z108" s="3"/>
      </tp>
      <tp t="s">
        <v>#N/A N/A</v>
        <stp/>
        <stp>BDP|16582009446089064683</stp>
        <tr r="K103" s="3"/>
      </tp>
      <tp t="s">
        <v>#N/A N/A</v>
        <stp/>
        <stp>BDP|11866863356539386813</stp>
        <tr r="AI105" s="3"/>
      </tp>
      <tp t="s">
        <v>#N/A N/A</v>
        <stp/>
        <stp>BDP|16911825633893066322</stp>
        <tr r="BY96" s="3"/>
      </tp>
      <tp t="s">
        <v>#N/A N/A</v>
        <stp/>
        <stp>BDP|13664860465286961665</stp>
        <tr r="CF111" s="3"/>
      </tp>
      <tp t="s">
        <v>#N/A N/A</v>
        <stp/>
        <stp>BDP|11640045804789956556</stp>
        <tr r="AP111" s="3"/>
      </tp>
      <tp t="s">
        <v>#N/A N/A</v>
        <stp/>
        <stp>BDP|14209562468279298333</stp>
        <tr r="CJ90" s="3"/>
      </tp>
      <tp t="s">
        <v>#N/A N/A</v>
        <stp/>
        <stp>BDP|15478757736349214582</stp>
        <tr r="L95" s="3"/>
      </tp>
      <tp t="s">
        <v>#N/A N/A</v>
        <stp/>
        <stp>BDP|14150956218421456052</stp>
        <tr r="CD96" s="3"/>
      </tp>
      <tp t="s">
        <v>#N/A N/A</v>
        <stp/>
        <stp>BDP|15946860069675343380</stp>
        <tr r="BL77" s="3"/>
      </tp>
      <tp t="s">
        <v>#N/A N/A</v>
        <stp/>
        <stp>BDP|10828588194885987413</stp>
        <tr r="AP103" s="3"/>
      </tp>
      <tp t="s">
        <v>#N/A N/A</v>
        <stp/>
        <stp>BDP|13649958473954898442</stp>
        <tr r="BW105" s="3"/>
      </tp>
      <tp t="s">
        <v>#N/A N/A</v>
        <stp/>
        <stp>BDP|14961870315544248451</stp>
        <tr r="V90" s="3"/>
      </tp>
      <tp t="s">
        <v>#N/A N/A</v>
        <stp/>
        <stp>BDP|12849432477039114511</stp>
        <tr r="O94" s="3"/>
      </tp>
      <tp t="s">
        <v>#N/A N/A</v>
        <stp/>
        <stp>BDP|14611581472883052836</stp>
        <tr r="AK90" s="3"/>
      </tp>
      <tp t="s">
        <v>#N/A N/A</v>
        <stp/>
        <stp>BDP|17832088036550811914</stp>
        <tr r="CB106" s="3"/>
      </tp>
      <tp t="s">
        <v>#N/A N/A</v>
        <stp/>
        <stp>BDP|10429090101764560969</stp>
        <tr r="Z103" s="3"/>
      </tp>
      <tp t="s">
        <v>#N/A N/A</v>
        <stp/>
        <stp>BDP|17025770376562968872</stp>
        <tr r="CK113" s="3"/>
      </tp>
      <tp t="s">
        <v>#N/A N/A</v>
        <stp/>
        <stp>BDP|18036527759985150059</stp>
        <tr r="BF98" s="3"/>
      </tp>
      <tp t="s">
        <v>#N/A N/A</v>
        <stp/>
        <stp>BDP|13414845079726371754</stp>
        <tr r="P111" s="3"/>
      </tp>
      <tp t="s">
        <v>#N/A N/A</v>
        <stp/>
        <stp>BDP|13927965499606894805</stp>
        <tr r="AO88" s="3"/>
      </tp>
      <tp t="s">
        <v>#N/A N/A</v>
        <stp/>
        <stp>BDP|12143720469917558914</stp>
        <tr r="BS92" s="3"/>
      </tp>
      <tp t="s">
        <v>#N/A N/A</v>
        <stp/>
        <stp>BDP|13686576309752380952</stp>
        <tr r="CE101" s="3"/>
      </tp>
      <tp t="s">
        <v>#N/A N/A</v>
        <stp/>
        <stp>BDP|13518370371558497299</stp>
        <tr r="AK99" s="3"/>
      </tp>
      <tp t="s">
        <v>#N/A N/A</v>
        <stp/>
        <stp>BDP|14119759120295378961</stp>
        <tr r="Q108" s="3"/>
      </tp>
      <tp t="s">
        <v>#N/A N/A</v>
        <stp/>
        <stp>BDP|17156544381670741723</stp>
        <tr r="AX92" s="3"/>
      </tp>
      <tp t="s">
        <v>#N/A N/A</v>
        <stp/>
        <stp>BDP|13665678008848976009</stp>
        <tr r="AI93" s="3"/>
      </tp>
      <tp t="s">
        <v>#N/A N/A</v>
        <stp/>
        <stp>BDP|18359150225473143528</stp>
        <tr r="AF94" s="3"/>
      </tp>
      <tp t="s">
        <v>#N/A N/A</v>
        <stp/>
        <stp>BDP|18098724664043050765</stp>
        <tr r="CJ75" s="3"/>
      </tp>
      <tp t="s">
        <v>#N/A N/A</v>
        <stp/>
        <stp>BDP|16322703832847248830</stp>
        <tr r="AV105" s="3"/>
      </tp>
      <tp t="s">
        <v>#N/A N/A</v>
        <stp/>
        <stp>BDP|12588839428677974271</stp>
        <tr r="AH107" s="3"/>
      </tp>
      <tp t="s">
        <v>#N/A N/A</v>
        <stp/>
        <stp>BDP|10067279864721554868</stp>
        <tr r="BI103" s="3"/>
      </tp>
      <tp t="s">
        <v>#N/A N/A</v>
        <stp/>
        <stp>BDP|11789600265369224533</stp>
        <tr r="BB73" s="3"/>
      </tp>
      <tp t="s">
        <v>#N/A N/A</v>
        <stp/>
        <stp>BDP|12201809163248306911</stp>
        <tr r="H101" s="3"/>
      </tp>
      <tp t="s">
        <v>#N/A N/A</v>
        <stp/>
        <stp>BDP|12902745569996182869</stp>
        <tr r="CG99" s="3"/>
      </tp>
      <tp t="s">
        <v>#N/A N/A</v>
        <stp/>
        <stp>BDP|13664011981294564207</stp>
        <tr r="K87" s="3"/>
      </tp>
      <tp t="s">
        <v>#N/A N/A</v>
        <stp/>
        <stp>BDP|17491579597423590532</stp>
        <tr r="AB98" s="3"/>
      </tp>
      <tp t="s">
        <v>#N/A N/A</v>
        <stp/>
        <stp>BDP|12643740207981624913</stp>
        <tr r="BR105" s="3"/>
      </tp>
      <tp t="s">
        <v>#N/A N/A</v>
        <stp/>
        <stp>BDP|14422820364753309435</stp>
        <tr r="BO97" s="3"/>
      </tp>
      <tp t="s">
        <v>#N/A N/A</v>
        <stp/>
        <stp>BDP|12439630542059027476</stp>
        <tr r="W101" s="3"/>
      </tp>
      <tp t="s">
        <v>#N/A N/A</v>
        <stp/>
        <stp>BDP|17974984809557216483</stp>
        <tr r="AW87" s="3"/>
      </tp>
      <tp t="s">
        <v>#N/A N/A</v>
        <stp/>
        <stp>BDP|15415679319917983860</stp>
        <tr r="F77" s="3"/>
      </tp>
      <tp t="s">
        <v>#N/A N/A</v>
        <stp/>
        <stp>BDP|12937951617342986577</stp>
        <tr r="Q90" s="3"/>
      </tp>
      <tp t="s">
        <v>#N/A N/A</v>
        <stp/>
        <stp>BDP|11458465665886610848</stp>
        <tr r="BZ89" s="3"/>
      </tp>
      <tp t="s">
        <v>#N/A N/A</v>
        <stp/>
        <stp>BDP|18289026284875617871</stp>
        <tr r="BJ110" s="3"/>
      </tp>
      <tp t="s">
        <v>#N/A N/A</v>
        <stp/>
        <stp>BDP|15070874804013252356</stp>
        <tr r="AD74" s="3"/>
      </tp>
      <tp t="s">
        <v>#N/A N/A</v>
        <stp/>
        <stp>BDP|17051939019874907673</stp>
        <tr r="AJ89" s="3"/>
      </tp>
      <tp t="s">
        <v>#N/A N/A</v>
        <stp/>
        <stp>BDP|14661101779666374980</stp>
        <tr r="CE73" s="3"/>
      </tp>
      <tp t="s">
        <v>#N/A N/A</v>
        <stp/>
        <stp>BDP|17484047258827405881</stp>
        <tr r="BT111" s="3"/>
      </tp>
      <tp t="s">
        <v>#N/A N/A</v>
        <stp/>
        <stp>BDP|15364595989616162367</stp>
        <tr r="Z77" s="3"/>
      </tp>
      <tp t="s">
        <v>#N/A N/A</v>
        <stp/>
        <stp>BDP|15257854954426064349</stp>
        <tr r="X73" s="3"/>
      </tp>
      <tp t="s">
        <v>#N/A N/A</v>
        <stp/>
        <stp>BDP|13353398750341859955</stp>
        <tr r="AI95" s="3"/>
      </tp>
      <tp t="s">
        <v>#N/A N/A</v>
        <stp/>
        <stp>BDP|16906187783186412419</stp>
        <tr r="BE100" s="3"/>
      </tp>
      <tp t="s">
        <v>#N/A N/A</v>
        <stp/>
        <stp>BDP|10319720387071900382</stp>
        <tr r="M108" s="3"/>
      </tp>
      <tp t="s">
        <v>#N/A N/A</v>
        <stp/>
        <stp>BDP|15336232427389591159</stp>
        <tr r="AG87" s="3"/>
      </tp>
      <tp t="s">
        <v>#N/A N/A</v>
        <stp/>
        <stp>BDP|10187945657705183442</stp>
        <tr r="T90" s="3"/>
      </tp>
      <tp t="s">
        <v>#N/A N/A</v>
        <stp/>
        <stp>BDP|18227947397547417226</stp>
        <tr r="AJ75" s="3"/>
      </tp>
      <tp t="s">
        <v>#N/A N/A</v>
        <stp/>
        <stp>BDP|14201800063113407424</stp>
        <tr r="BU74" s="3"/>
      </tp>
      <tp t="s">
        <v>#N/A N/A</v>
        <stp/>
        <stp>BDP|17788035923621925982</stp>
        <tr r="AD96" s="3"/>
      </tp>
      <tp t="s">
        <v>#N/A N/A</v>
        <stp/>
        <stp>BDP|12846896523465488007</stp>
        <tr r="AH103" s="3"/>
      </tp>
      <tp t="s">
        <v>#N/A N/A</v>
        <stp/>
        <stp>BDP|16565293725209893270</stp>
        <tr r="L75" s="3"/>
      </tp>
      <tp t="s">
        <v>#N/A N/A</v>
        <stp/>
        <stp>BDP|10482223286586559137</stp>
        <tr r="AB89" s="3"/>
      </tp>
      <tp t="s">
        <v>#N/A N/A</v>
        <stp/>
        <stp>BDP|11204681511348498399</stp>
        <tr r="T109" s="3"/>
      </tp>
      <tp t="s">
        <v>#N/A N/A</v>
        <stp/>
        <stp>BDP|14214406594707254327</stp>
        <tr r="AZ97" s="3"/>
      </tp>
      <tp t="s">
        <v>#N/A N/A</v>
        <stp/>
        <stp>BDP|14997309668008277455</stp>
        <tr r="CG110" s="3"/>
      </tp>
      <tp t="s">
        <v>#N/A N/A</v>
        <stp/>
        <stp>BDP|18353104656544769544</stp>
        <tr r="G100" s="3"/>
      </tp>
      <tp t="s">
        <v>#N/A N/A</v>
        <stp/>
        <stp>BDP|18278672274081687519</stp>
        <tr r="BU73" s="3"/>
      </tp>
      <tp t="s">
        <v>#N/A N/A</v>
        <stp/>
        <stp>BDH|12938214907949896487</stp>
        <tr r="F78" s="3"/>
      </tp>
      <tp t="s">
        <v>#N/A N/A</v>
        <stp/>
        <stp>BDP|17972500675827192048</stp>
        <tr r="R106" s="3"/>
      </tp>
      <tp t="s">
        <v>#N/A N/A</v>
        <stp/>
        <stp>BDP|11466863282164165781</stp>
        <tr r="R76" s="3"/>
      </tp>
      <tp t="s">
        <v>#N/A N/A</v>
        <stp/>
        <stp>BDP|17102132023534017284</stp>
        <tr r="AA105" s="3"/>
      </tp>
      <tp t="s">
        <v>#N/A N/A</v>
        <stp/>
        <stp>BDP|18444562581724811322</stp>
        <tr r="BB103" s="3"/>
      </tp>
      <tp t="s">
        <v>#N/A N/A</v>
        <stp/>
        <stp>BDP|18217842358470279751</stp>
        <tr r="AZ113" s="3"/>
      </tp>
      <tp t="s">
        <v>#N/A N/A</v>
        <stp/>
        <stp>BDP|12022806100969084194</stp>
        <tr r="CD97" s="3"/>
      </tp>
      <tp t="s">
        <v>#N/A N/A</v>
        <stp/>
        <stp>BDP|16890653551915234268</stp>
        <tr r="R102" s="3"/>
      </tp>
      <tp t="s">
        <v>#N/A N/A</v>
        <stp/>
        <stp>BDP|18269972391898544294</stp>
        <tr r="F100" s="3"/>
      </tp>
      <tp t="s">
        <v>#N/A N/A</v>
        <stp/>
        <stp>BDP|11106656638947387177</stp>
        <tr r="T85" s="3"/>
      </tp>
      <tp t="s">
        <v>#N/A N/A</v>
        <stp/>
        <stp>BDP|16001736634289775984</stp>
        <tr r="I107" s="3"/>
      </tp>
      <tp t="s">
        <v>#N/A N/A</v>
        <stp/>
        <stp>BDP|12764910085316803732</stp>
        <tr r="AK113" s="3"/>
      </tp>
      <tp t="s">
        <v>#N/A N/A</v>
        <stp/>
        <stp>BDP|16292594035346318466</stp>
        <tr r="AD75" s="3"/>
      </tp>
      <tp t="s">
        <v>#N/A N/A</v>
        <stp/>
        <stp>BDP|10136691871983218002</stp>
        <tr r="CB98" s="3"/>
      </tp>
      <tp t="s">
        <v>#N/A N/A</v>
        <stp/>
        <stp>BDP|11088772543351947163</stp>
        <tr r="AG90" s="3"/>
      </tp>
      <tp t="s">
        <v>#N/A N/A</v>
        <stp/>
        <stp>BDP|13705274922897048686</stp>
        <tr r="AX109" s="3"/>
      </tp>
      <tp t="s">
        <v>#N/A N/A</v>
        <stp/>
        <stp>BDP|13443489226417420046</stp>
        <tr r="I76" s="3"/>
      </tp>
      <tp t="s">
        <v>#N/A N/A</v>
        <stp/>
        <stp>BDP|13404686774922643247</stp>
        <tr r="AZ107" s="3"/>
      </tp>
      <tp t="s">
        <v>#N/A N/A</v>
        <stp/>
        <stp>BDP|13850462567772168123</stp>
        <tr r="CB109" s="3"/>
      </tp>
      <tp t="s">
        <v>#N/A N/A</v>
        <stp/>
        <stp>BDP|12055102218040659039</stp>
        <tr r="BJ98" s="3"/>
      </tp>
      <tp t="s">
        <v>#N/A N/A</v>
        <stp/>
        <stp>BDP|16135446129076696477</stp>
        <tr r="AE100" s="3"/>
      </tp>
      <tp t="s">
        <v>#N/A N/A</v>
        <stp/>
        <stp>BDP|10622942674964873835</stp>
        <tr r="N96" s="3"/>
      </tp>
      <tp t="s">
        <v>#N/A N/A</v>
        <stp/>
        <stp>BDP|17661464239376763434</stp>
        <tr r="AN112" s="3"/>
      </tp>
      <tp t="s">
        <v>#N/A N/A</v>
        <stp/>
        <stp>BDP|16736820395192557781</stp>
        <tr r="BU88" s="3"/>
      </tp>
      <tp t="s">
        <v>#N/A N/A</v>
        <stp/>
        <stp>BDP|12399609444937341587</stp>
        <tr r="BQ99" s="3"/>
      </tp>
      <tp t="s">
        <v>#N/A N/A</v>
        <stp/>
        <stp>BDP|12954784738921210571</stp>
        <tr r="BC104" s="3"/>
      </tp>
      <tp t="s">
        <v>#N/A N/A</v>
        <stp/>
        <stp>BDP|18432626686985437182</stp>
        <tr r="AA85" s="3"/>
      </tp>
      <tp t="s">
        <v>#N/A N/A</v>
        <stp/>
        <stp>BDP|12818506672583086167</stp>
        <tr r="AH102" s="3"/>
      </tp>
      <tp t="s">
        <v>#N/A N/A</v>
        <stp/>
        <stp>BDP|17636253769007640605</stp>
        <tr r="BI102" s="3"/>
      </tp>
      <tp t="s">
        <v>#N/A N/A</v>
        <stp/>
        <stp>BDP|14856048213206094130</stp>
        <tr r="BV111" s="3"/>
      </tp>
      <tp t="s">
        <v>#N/A N/A</v>
        <stp/>
        <stp>BDP|11632889894075093766</stp>
        <tr r="BG107" s="3"/>
      </tp>
      <tp t="s">
        <v>#N/A N/A</v>
        <stp/>
        <stp>BDP|11429303308116445640</stp>
        <tr r="BH98" s="3"/>
      </tp>
      <tp t="s">
        <v>#N/A N/A</v>
        <stp/>
        <stp>BDP|16251855369402545849</stp>
        <tr r="CA77" s="3"/>
      </tp>
      <tp t="s">
        <v>#N/A N/A</v>
        <stp/>
        <stp>BDP|13662241280543492896</stp>
        <tr r="Y94" s="3"/>
      </tp>
      <tp t="s">
        <v>#N/A N/A</v>
        <stp/>
        <stp>BDP|13825789569329508927</stp>
        <tr r="R75" s="3"/>
      </tp>
      <tp t="s">
        <v>#N/A N/A</v>
        <stp/>
        <stp>BDP|10021183556816024008</stp>
        <tr r="BL101" s="3"/>
      </tp>
      <tp t="s">
        <v>#N/A N/A</v>
        <stp/>
        <stp>BDP|16266366911744968222</stp>
        <tr r="AT94" s="3"/>
      </tp>
      <tp t="s">
        <v>#N/A N/A</v>
        <stp/>
        <stp>BDP|10799538445764632797</stp>
        <tr r="S106" s="3"/>
      </tp>
      <tp t="s">
        <v>#N/A N/A</v>
        <stp/>
        <stp>BDP|13373144218367515644</stp>
        <tr r="BC75" s="3"/>
      </tp>
      <tp t="s">
        <v>#N/A N/A</v>
        <stp/>
        <stp>BDP|10058620563155269728</stp>
        <tr r="BS76" s="3"/>
      </tp>
      <tp t="s">
        <v>#N/A N/A</v>
        <stp/>
        <stp>BDP|16889686623244101433</stp>
        <tr r="BA88" s="3"/>
      </tp>
      <tp t="s">
        <v>#N/A N/A</v>
        <stp/>
        <stp>BDP|12374928342728652540</stp>
        <tr r="AX103" s="3"/>
      </tp>
      <tp t="s">
        <v>#N/A N/A</v>
        <stp/>
        <stp>BDP|14641937845969205238</stp>
        <tr r="BP103" s="3"/>
      </tp>
      <tp t="s">
        <v>#N/A N/A</v>
        <stp/>
        <stp>BDP|17893149988358155444</stp>
        <tr r="AD76" s="3"/>
      </tp>
      <tp t="s">
        <v>#N/A N/A</v>
        <stp/>
        <stp>BDP|14238118057497311574</stp>
        <tr r="AR109" s="3"/>
      </tp>
      <tp t="s">
        <v>#N/A N/A</v>
        <stp/>
        <stp>BDP|10140191954856417082</stp>
        <tr r="AA96" s="3"/>
      </tp>
      <tp t="s">
        <v>#N/A N/A</v>
        <stp/>
        <stp>BDP|13830410130972962401</stp>
        <tr r="CJ106" s="3"/>
      </tp>
      <tp t="s">
        <v>#N/A N/A</v>
        <stp/>
        <stp>BDP|11695162490968703370</stp>
        <tr r="AS113" s="3"/>
      </tp>
      <tp t="s">
        <v>#N/A N/A</v>
        <stp/>
        <stp>BDP|16438745735194772420</stp>
        <tr r="BP74" s="3"/>
      </tp>
      <tp t="s">
        <v>#N/A N/A</v>
        <stp/>
        <stp>BDP|11524369230821449271</stp>
        <tr r="BL94" s="3"/>
      </tp>
      <tp t="s">
        <v>#N/A N/A</v>
        <stp/>
        <stp>BDP|11825611244958733996</stp>
        <tr r="AV89" s="3"/>
      </tp>
      <tp t="s">
        <v>#N/A N/A</v>
        <stp/>
        <stp>BDP|14683056374559268861</stp>
        <tr r="BM96" s="3"/>
      </tp>
      <tp t="s">
        <v>#N/A N/A</v>
        <stp/>
        <stp>BDP|11789268846931168459</stp>
        <tr r="BW107" s="3"/>
      </tp>
      <tp t="s">
        <v>#N/A N/A</v>
        <stp/>
        <stp>BDP|17221889205075546899</stp>
        <tr r="K109" s="3"/>
      </tp>
      <tp t="s">
        <v>#N/A N/A</v>
        <stp/>
        <stp>BDP|11142876180935541616</stp>
        <tr r="CI87" s="3"/>
      </tp>
      <tp t="s">
        <v>#N/A N/A</v>
        <stp/>
        <stp>BDP|12174061685590192814</stp>
        <tr r="BW87" s="3"/>
      </tp>
      <tp t="s">
        <v>#N/A N/A</v>
        <stp/>
        <stp>BDP|10583396318150640006</stp>
        <tr r="BV76" s="3"/>
      </tp>
      <tp t="s">
        <v>#N/A N/A</v>
        <stp/>
        <stp>BDP|16572198252311577197</stp>
        <tr r="AC91" s="3"/>
      </tp>
      <tp t="s">
        <v>#N/A N/A</v>
        <stp/>
        <stp>BDP|15512749242903480755</stp>
        <tr r="CK108" s="3"/>
      </tp>
      <tp t="s">
        <v>#N/A N/A</v>
        <stp/>
        <stp>BDP|13445211703391645220</stp>
        <tr r="CA111" s="3"/>
      </tp>
      <tp t="s">
        <v>#N/A N/A</v>
        <stp/>
        <stp>BDP|14311323638333353584</stp>
        <tr r="AD99" s="3"/>
      </tp>
      <tp t="s">
        <v>#N/A N/A</v>
        <stp/>
        <stp>BDP|17381535313667408625</stp>
        <tr r="V91" s="3"/>
      </tp>
      <tp t="s">
        <v>#N/A N/A</v>
        <stp/>
        <stp>BDP|15143130317112382530</stp>
        <tr r="CF103" s="3"/>
      </tp>
      <tp t="s">
        <v>#N/A N/A</v>
        <stp/>
        <stp>BDP|12004376761137692252</stp>
        <tr r="AT77" s="3"/>
      </tp>
      <tp t="s">
        <v>#N/A N/A</v>
        <stp/>
        <stp>BDP|10957390517358002826</stp>
        <tr r="I73" s="3"/>
      </tp>
      <tp t="s">
        <v>#N/A N/A</v>
        <stp/>
        <stp>BDP|17162041831773649573</stp>
        <tr r="AY75" s="3"/>
      </tp>
      <tp t="s">
        <v>#N/A N/A</v>
        <stp/>
        <stp>BDP|10504690159502236322</stp>
        <tr r="W100" s="3"/>
      </tp>
      <tp t="s">
        <v>#N/A N/A</v>
        <stp/>
        <stp>BDP|12647692469442295200</stp>
        <tr r="G108" s="3"/>
      </tp>
      <tp t="s">
        <v>#N/A N/A</v>
        <stp/>
        <stp>BDP|11127119752784141376</stp>
        <tr r="CA90" s="3"/>
      </tp>
      <tp t="s">
        <v>#N/A N/A</v>
        <stp/>
        <stp>BDP|12812624171636854778</stp>
        <tr r="BB98" s="3"/>
      </tp>
      <tp t="s">
        <v>#N/A N/A</v>
        <stp/>
        <stp>BDP|13787584689504526875</stp>
        <tr r="G96" s="3"/>
      </tp>
      <tp t="s">
        <v>#N/A N/A</v>
        <stp/>
        <stp>BDP|17001534315467193638</stp>
        <tr r="CB103" s="3"/>
      </tp>
      <tp t="s">
        <v>#N/A N/A</v>
        <stp/>
        <stp>BDP|13709668548291809261</stp>
        <tr r="BU113" s="3"/>
      </tp>
      <tp t="s">
        <v>#N/A N/A</v>
        <stp/>
        <stp>BDP|14008525574167483352</stp>
        <tr r="M92" s="3"/>
      </tp>
      <tp t="s">
        <v>#N/A N/A</v>
        <stp/>
        <stp>BDP|16736373566250983188</stp>
        <tr r="AG105" s="3"/>
      </tp>
      <tp t="s">
        <v>#N/A N/A</v>
        <stp/>
        <stp>BDP|13710450541393024245</stp>
        <tr r="CC90" s="3"/>
      </tp>
      <tp t="s">
        <v>#N/A N/A</v>
        <stp/>
        <stp>BDP|11583630246811695000</stp>
        <tr r="BS74" s="3"/>
      </tp>
      <tp t="s">
        <v>#N/A N/A</v>
        <stp/>
        <stp>BDP|17091730022746755603</stp>
        <tr r="AW89" s="3"/>
      </tp>
      <tp t="s">
        <v>#N/A N/A</v>
        <stp/>
        <stp>BDP|14677812322954771844</stp>
        <tr r="AE75" s="3"/>
      </tp>
      <tp t="s">
        <v>#N/A N/A</v>
        <stp/>
        <stp>BDP|14683464536290773177</stp>
        <tr r="BC111" s="3"/>
      </tp>
      <tp t="s">
        <v>#N/A N/A</v>
        <stp/>
        <stp>BDP|13145062750754884094</stp>
        <tr r="AY93" s="3"/>
      </tp>
      <tp t="s">
        <v>#N/A N/A</v>
        <stp/>
        <stp>BDP|15540019151171621352</stp>
        <tr r="BF89" s="3"/>
      </tp>
      <tp t="s">
        <v>#N/A N/A</v>
        <stp/>
        <stp>BDP|15527780970342238593</stp>
        <tr r="W87" s="3"/>
      </tp>
      <tp t="s">
        <v>#N/A N/A</v>
        <stp/>
        <stp>BDP|14772715158333095788</stp>
        <tr r="BB108" s="3"/>
      </tp>
      <tp t="s">
        <v>#N/A N/A</v>
        <stp/>
        <stp>BDP|15721707620775771760</stp>
        <tr r="M93" s="3"/>
      </tp>
      <tp t="s">
        <v>#N/A N/A</v>
        <stp/>
        <stp>BDP|12290915980588379892</stp>
        <tr r="T92" s="3"/>
      </tp>
      <tp t="s">
        <v>#N/A N/A</v>
        <stp/>
        <stp>BDP|16033147715591827406</stp>
        <tr r="X90" s="3"/>
      </tp>
      <tp t="s">
        <v>#N/A N/A</v>
        <stp/>
        <stp>BDP|14389735883749371182</stp>
        <tr r="BZ85" s="3"/>
      </tp>
      <tp t="s">
        <v>#N/A N/A</v>
        <stp/>
        <stp>BDP|14569006257633207188</stp>
        <tr r="H103" s="3"/>
      </tp>
      <tp t="s">
        <v>#N/A N/A</v>
        <stp/>
        <stp>BDP|14505725869581029767</stp>
        <tr r="BK108" s="3"/>
      </tp>
      <tp t="s">
        <v>#N/A N/A</v>
        <stp/>
        <stp>BDP|16820835282230096519</stp>
        <tr r="BA85" s="3"/>
      </tp>
      <tp t="s">
        <v>#N/A N/A</v>
        <stp/>
        <stp>BDP|14918384929897229117</stp>
        <tr r="CG74" s="3"/>
      </tp>
      <tp t="s">
        <v>#N/A N/A</v>
        <stp/>
        <stp>BDP|13416619022524527097</stp>
        <tr r="Q101" s="3"/>
      </tp>
      <tp t="s">
        <v>#N/A N/A</v>
        <stp/>
        <stp>BDP|11989564281149453617</stp>
        <tr r="AF87" s="3"/>
      </tp>
      <tp t="s">
        <v>#N/A N/A</v>
        <stp/>
        <stp>BDP|17458327078659073954</stp>
        <tr r="BR76" s="3"/>
      </tp>
      <tp t="s">
        <v>#N/A N/A</v>
        <stp/>
        <stp>BDP|11428077019231536241</stp>
        <tr r="S77" s="3"/>
      </tp>
      <tp t="s">
        <v>#N/A N/A</v>
        <stp/>
        <stp>BDP|13831252426525018517</stp>
        <tr r="M100" s="3"/>
      </tp>
      <tp t="s">
        <v>#N/A N/A</v>
        <stp/>
        <stp>BDP|14405558424969749980</stp>
        <tr r="BJ75" s="3"/>
      </tp>
      <tp t="s">
        <v>#N/A N/A</v>
        <stp/>
        <stp>BDP|13592292450315946280</stp>
        <tr r="G97" s="3"/>
      </tp>
      <tp t="s">
        <v>#N/A N/A</v>
        <stp/>
        <stp>BDP|14468728872146949108</stp>
        <tr r="AW107" s="3"/>
      </tp>
      <tp t="s">
        <v>#N/A N/A</v>
        <stp/>
        <stp>BDP|18426890141987199000</stp>
        <tr r="BH85" s="3"/>
      </tp>
      <tp t="s">
        <v>#N/A N/A</v>
        <stp/>
        <stp>BDP|18296433241528597383</stp>
        <tr r="AE108" s="3"/>
      </tp>
      <tp t="s">
        <v>#N/A N/A</v>
        <stp/>
        <stp>BDP|12081704170900883159</stp>
        <tr r="BQ98" s="3"/>
      </tp>
      <tp t="s">
        <v>#N/A N/A</v>
        <stp/>
        <stp>BDP|11924983503003714891</stp>
        <tr r="K73" s="3"/>
      </tp>
      <tp t="s">
        <v>#N/A N/A</v>
        <stp/>
        <stp>BDP|16726132976657963477</stp>
        <tr r="BA98" s="3"/>
      </tp>
      <tp t="s">
        <v>#N/A N/A</v>
        <stp/>
        <stp>BDP|16735751389792518822</stp>
        <tr r="Z101" s="3"/>
      </tp>
      <tp t="s">
        <v>#N/A N/A</v>
        <stp/>
        <stp>BDP|11266170388192523940</stp>
        <tr r="Z99" s="3"/>
      </tp>
      <tp t="s">
        <v>#N/A N/A</v>
        <stp/>
        <stp>BDP|14609685222286142516</stp>
        <tr r="AS103" s="3"/>
      </tp>
      <tp t="s">
        <v>#N/A N/A</v>
        <stp/>
        <stp>BDP|15895172301243058410</stp>
        <tr r="BF85" s="3"/>
      </tp>
      <tp t="s">
        <v>#N/A N/A</v>
        <stp/>
        <stp>BDP|16725081262527629440</stp>
        <tr r="V108" s="3"/>
      </tp>
      <tp t="s">
        <v>#N/A N/A</v>
        <stp/>
        <stp>BDP|18060002461898749581</stp>
        <tr r="BX74" s="3"/>
      </tp>
      <tp t="s">
        <v>#N/A N/A</v>
        <stp/>
        <stp>BDP|17137077852513301297</stp>
        <tr r="CI102" s="3"/>
      </tp>
      <tp t="s">
        <v>#N/A N/A</v>
        <stp/>
        <stp>BDP|18290613709185217892</stp>
        <tr r="BG104" s="3"/>
      </tp>
      <tp t="s">
        <v>#N/A N/A</v>
        <stp/>
        <stp>BDP|14493058600883856484</stp>
        <tr r="AO77" s="3"/>
      </tp>
      <tp t="s">
        <v>#N/A N/A</v>
        <stp/>
        <stp>BDP|11266416073254054518</stp>
        <tr r="BR74" s="3"/>
      </tp>
      <tp t="s">
        <v>#N/A N/A</v>
        <stp/>
        <stp>BDP|12772276213421074321</stp>
        <tr r="CG90" s="3"/>
      </tp>
      <tp t="s">
        <v>#N/A N/A</v>
        <stp/>
        <stp>BDP|13400627453124250763</stp>
        <tr r="BF108" s="3"/>
      </tp>
      <tp t="s">
        <v>#N/A N/A</v>
        <stp/>
        <stp>BDP|16608365840424672671</stp>
        <tr r="AO99" s="3"/>
      </tp>
      <tp t="s">
        <v>#N/A N/A</v>
        <stp/>
        <stp>BDP|13177587201391842411</stp>
        <tr r="O100" s="3"/>
      </tp>
      <tp t="s">
        <v>#N/A N/A</v>
        <stp/>
        <stp>BDP|13534589440560895140</stp>
        <tr r="BR113" s="3"/>
      </tp>
      <tp t="s">
        <v>#N/A N/A</v>
        <stp/>
        <stp>BDP|12009994489388287825</stp>
        <tr r="BK113" s="3"/>
      </tp>
      <tp t="s">
        <v>#N/A N/A</v>
        <stp/>
        <stp>BDP|15155648878356871157</stp>
        <tr r="BM73" s="3"/>
      </tp>
      <tp t="s">
        <v>#N/A N/A</v>
        <stp/>
        <stp>BDP|12182791425133536788</stp>
        <tr r="BI113" s="3"/>
      </tp>
      <tp t="s">
        <v>#N/A N/A</v>
        <stp/>
        <stp>BDP|15223531360296854396</stp>
        <tr r="AT109" s="3"/>
      </tp>
      <tp t="s">
        <v>#N/A N/A</v>
        <stp/>
        <stp>BDP|15311184740957353488</stp>
        <tr r="BB89" s="3"/>
      </tp>
      <tp t="s">
        <v>#N/A N/A</v>
        <stp/>
        <stp>BDP|18169653386750567571</stp>
        <tr r="BP112" s="3"/>
      </tp>
      <tp t="s">
        <v>#N/A N/A</v>
        <stp/>
        <stp>BDP|18058058021998209158</stp>
        <tr r="J74" s="3"/>
      </tp>
      <tp t="s">
        <v>#N/A N/A</v>
        <stp/>
        <stp>BDP|13681671581779174725</stp>
        <tr r="BY98" s="3"/>
      </tp>
      <tp t="s">
        <v>#N/A N/A</v>
        <stp/>
        <stp>BDP|11577387774386942035</stp>
        <tr r="W75" s="3"/>
      </tp>
      <tp t="s">
        <v>#N/A N/A</v>
        <stp/>
        <stp>BDP|14501758943521418553</stp>
        <tr r="CJ105" s="3"/>
      </tp>
      <tp t="s">
        <v>#N/A N/A</v>
        <stp/>
        <stp>BDP|10645331538060759386</stp>
        <tr r="BS112" s="3"/>
      </tp>
      <tp t="s">
        <v>#N/A N/A</v>
        <stp/>
        <stp>BDP|12622121317889168876</stp>
        <tr r="AB94" s="3"/>
      </tp>
      <tp t="s">
        <v>#N/A N/A</v>
        <stp/>
        <stp>BDP|12137940897321745007</stp>
        <tr r="AN104" s="3"/>
      </tp>
      <tp t="s">
        <v>#N/A N/A</v>
        <stp/>
        <stp>BDP|15212833583306345045</stp>
        <tr r="AA74" s="3"/>
      </tp>
      <tp t="s">
        <v>#N/A N/A</v>
        <stp/>
        <stp>BDP|15277939233444036866</stp>
        <tr r="CB76" s="3"/>
      </tp>
      <tp t="s">
        <v>#N/A N/A</v>
        <stp/>
        <stp>BDP|12125809844925476858</stp>
        <tr r="M106" s="3"/>
      </tp>
      <tp t="s">
        <v>#N/A N/A</v>
        <stp/>
        <stp>BDP|16770202552072488050</stp>
        <tr r="U99" s="3"/>
      </tp>
      <tp t="s">
        <v>#N/A N/A</v>
        <stp/>
        <stp>BDP|16474488109284686579</stp>
        <tr r="BZ112" s="3"/>
      </tp>
      <tp t="s">
        <v>#N/A N/A</v>
        <stp/>
        <stp>BDP|17207428960961061744</stp>
        <tr r="N95" s="3"/>
      </tp>
      <tp t="s">
        <v>#N/A N/A</v>
        <stp/>
        <stp>BDP|18359809225753387213</stp>
        <tr r="Q99" s="3"/>
      </tp>
      <tp t="s">
        <v>#N/A N/A</v>
        <stp/>
        <stp>BDP|15311678573346552150</stp>
        <tr r="BJ88" s="3"/>
      </tp>
      <tp t="s">
        <v>#N/A N/A</v>
        <stp/>
        <stp>BDP|13808384407052199111</stp>
        <tr r="R77" s="3"/>
      </tp>
      <tp t="s">
        <v>#N/A N/A</v>
        <stp/>
        <stp>BDP|11189778575883099143</stp>
        <tr r="BW95" s="3"/>
      </tp>
      <tp t="s">
        <v>#N/A N/A</v>
        <stp/>
        <stp>BDP|13116914382363610236</stp>
        <tr r="X74" s="3"/>
      </tp>
      <tp t="s">
        <v>#N/A N/A</v>
        <stp/>
        <stp>BDP|17327115623222722513</stp>
        <tr r="G111" s="3"/>
      </tp>
      <tp t="s">
        <v>#N/A N/A</v>
        <stp/>
        <stp>BDP|15626621547015157148</stp>
        <tr r="BK103" s="3"/>
      </tp>
      <tp t="s">
        <v>#N/A N/A</v>
        <stp/>
        <stp>BDP|12016637741172694120</stp>
        <tr r="AI100" s="3"/>
      </tp>
      <tp t="s">
        <v>#N/A N/A</v>
        <stp/>
        <stp>BDP|12398990520649569395</stp>
        <tr r="CF85" s="3"/>
      </tp>
      <tp t="s">
        <v>#N/A N/A</v>
        <stp/>
        <stp>BDP|11378229137583532054</stp>
        <tr r="AG104" s="3"/>
      </tp>
      <tp t="s">
        <v>#N/A N/A</v>
        <stp/>
        <stp>BDP|13802926093176820672</stp>
        <tr r="AO95" s="3"/>
      </tp>
      <tp t="s">
        <v>#N/A N/A</v>
        <stp/>
        <stp>BDP|17613878792455634038</stp>
        <tr r="AJ90" s="3"/>
      </tp>
      <tp t="s">
        <v>#N/A N/A</v>
        <stp/>
        <stp>BDP|12389501799386537863</stp>
        <tr r="CE112" s="3"/>
      </tp>
      <tp t="s">
        <v>#N/A N/A</v>
        <stp/>
        <stp>BDP|17469748788240968880</stp>
        <tr r="BY97" s="3"/>
      </tp>
      <tp t="s">
        <v>#N/A N/A</v>
        <stp/>
        <stp>BDP|16336387131283540561</stp>
        <tr r="CC100" s="3"/>
      </tp>
      <tp t="s">
        <v>#N/A N/A</v>
        <stp/>
        <stp>BDP|10714414643322404285</stp>
        <tr r="BO96" s="3"/>
      </tp>
      <tp t="s">
        <v>#N/A N/A</v>
        <stp/>
        <stp>BDP|10460772408590445764</stp>
        <tr r="AW105" s="3"/>
      </tp>
      <tp t="s">
        <v>#N/A N/A</v>
        <stp/>
        <stp>BDP|15923399658545861698</stp>
        <tr r="Q105" s="3"/>
      </tp>
      <tp t="s">
        <v>#N/A N/A</v>
        <stp/>
        <stp>BDP|14540552770207973105</stp>
        <tr r="BC110" s="3"/>
      </tp>
      <tp t="s">
        <v>#N/A N/A</v>
        <stp/>
        <stp>BDP|12978284949981892589</stp>
        <tr r="AF88" s="3"/>
      </tp>
      <tp t="s">
        <v>#N/A N/A</v>
        <stp/>
        <stp>BDP|12935632279322386180</stp>
        <tr r="BR107" s="3"/>
      </tp>
      <tp t="s">
        <v>#N/A N/A</v>
        <stp/>
        <stp>BDP|14393482404529311940</stp>
        <tr r="AR99" s="3"/>
      </tp>
      <tp t="s">
        <v>#N/A N/A</v>
        <stp/>
        <stp>BDP|13877429108737325095</stp>
        <tr r="Z112" s="3"/>
      </tp>
      <tp t="s">
        <v>#N/A N/A</v>
        <stp/>
        <stp>BDP|12892983853418336680</stp>
        <tr r="BD105" s="3"/>
      </tp>
      <tp t="s">
        <v>#N/A N/A</v>
        <stp/>
        <stp>BDP|12137906892534343681</stp>
        <tr r="AD113" s="3"/>
      </tp>
      <tp t="s">
        <v>#N/A N/A</v>
        <stp/>
        <stp>BDP|16488219975223898034</stp>
        <tr r="AJ88" s="3"/>
      </tp>
      <tp t="s">
        <v>#N/A N/A</v>
        <stp/>
        <stp>BDP|10553846928948715257</stp>
        <tr r="BH99" s="3"/>
      </tp>
      <tp t="s">
        <v>#N/A N/A</v>
        <stp/>
        <stp>BDP|16658483628948483897</stp>
        <tr r="BG105" s="3"/>
      </tp>
      <tp t="s">
        <v>#N/A N/A</v>
        <stp/>
        <stp>BDP|14277987896245471129</stp>
        <tr r="O93" s="3"/>
      </tp>
      <tp t="s">
        <v>#N/A N/A</v>
        <stp/>
        <stp>BDP|13655608170360592290</stp>
        <tr r="P113" s="3"/>
      </tp>
      <tp t="s">
        <v>#N/A N/A</v>
        <stp/>
        <stp>BDP|16101695602228474844</stp>
        <tr r="K89" s="3"/>
      </tp>
      <tp t="s">
        <v>#N/A N/A</v>
        <stp/>
        <stp>BDP|14507897859420985912</stp>
        <tr r="CD92" s="3"/>
      </tp>
      <tp t="s">
        <v>#N/A N/A</v>
        <stp/>
        <stp>BDP|14806596050575930158</stp>
        <tr r="BF74" s="3"/>
      </tp>
      <tp t="s">
        <v>#N/A N/A</v>
        <stp/>
        <stp>BDP|18162546099780127408</stp>
        <tr r="AE85" s="3"/>
      </tp>
      <tp t="s">
        <v>#N/A N/A</v>
        <stp/>
        <stp>BDP|17946017016212699455</stp>
        <tr r="CC87" s="3"/>
      </tp>
      <tp t="s">
        <v>#N/A N/A</v>
        <stp/>
        <stp>BDP|14183773339329074928</stp>
        <tr r="BD92" s="3"/>
      </tp>
      <tp t="s">
        <v>#N/A N/A</v>
        <stp/>
        <stp>BDP|12351999414893435971</stp>
        <tr r="U91" s="3"/>
      </tp>
      <tp t="s">
        <v>#N/A N/A</v>
        <stp/>
        <stp>BDP|14208818381446948271</stp>
        <tr r="CI73" s="3"/>
      </tp>
      <tp t="s">
        <v>#N/A N/A</v>
        <stp/>
        <stp>BDP|16652027991788045798</stp>
        <tr r="AU111" s="3"/>
      </tp>
      <tp t="s">
        <v>#N/A N/A</v>
        <stp/>
        <stp>BDP|17295617504139950822</stp>
        <tr r="BH103" s="3"/>
      </tp>
      <tp t="s">
        <v>#N/A N/A</v>
        <stp/>
        <stp>BDP|18070217493572787192</stp>
        <tr r="AZ105" s="3"/>
      </tp>
      <tp t="s">
        <v>#N/A N/A</v>
        <stp/>
        <stp>BDP|14018833992452812758</stp>
        <tr r="K91" s="3"/>
      </tp>
      <tp t="s">
        <v>#N/A N/A</v>
        <stp/>
        <stp>BDP|14526716920645856404</stp>
        <tr r="AK101" s="3"/>
      </tp>
      <tp t="s">
        <v>#N/A N/A</v>
        <stp/>
        <stp>BDP|10222084573365515206</stp>
        <tr r="AG110" s="3"/>
      </tp>
      <tp t="s">
        <v>#N/A N/A</v>
        <stp/>
        <stp>BDP|15306138200357924361</stp>
        <tr r="K95" s="3"/>
      </tp>
      <tp t="s">
        <v>#N/A N/A</v>
        <stp/>
        <stp>BDP|10135615280538880674</stp>
        <tr r="AO94" s="3"/>
      </tp>
      <tp t="s">
        <v>#N/A N/A</v>
        <stp/>
        <stp>BDP|10763613708027626178</stp>
        <tr r="BH75" s="3"/>
      </tp>
      <tp t="s">
        <v>#N/A N/A</v>
        <stp/>
        <stp>BDP|11533691656396245478</stp>
        <tr r="P108" s="3"/>
      </tp>
      <tp t="s">
        <v>#N/A N/A</v>
        <stp/>
        <stp>BDP|17629641066950907729</stp>
        <tr r="F101" s="3"/>
      </tp>
      <tp t="s">
        <v>#N/A N/A</v>
        <stp/>
        <stp>BDP|11465680845445106673</stp>
        <tr r="BO110" s="3"/>
      </tp>
      <tp t="s">
        <v>#N/A N/A</v>
        <stp/>
        <stp>BDP|17487266536474294292</stp>
        <tr r="R113" s="3"/>
      </tp>
      <tp t="s">
        <v>#N/A N/A</v>
        <stp/>
        <stp>BDP|13185261053580208487</stp>
        <tr r="BS96" s="3"/>
      </tp>
      <tp t="s">
        <v>#N/A N/A</v>
        <stp/>
        <stp>BDP|15966727209244892641</stp>
        <tr r="AC90" s="3"/>
      </tp>
      <tp t="s">
        <v>#N/A N/A</v>
        <stp/>
        <stp>BDP|15731378877366151787</stp>
        <tr r="AN75" s="3"/>
      </tp>
      <tp t="s">
        <v>#N/A N/A</v>
        <stp/>
        <stp>BDP|17074325974635843608</stp>
        <tr r="CG103" s="3"/>
      </tp>
      <tp t="s">
        <v>#N/A N/A</v>
        <stp/>
        <stp>BDP|15811133763870006262</stp>
        <tr r="BD109" s="3"/>
      </tp>
      <tp t="s">
        <v>#N/A N/A</v>
        <stp/>
        <stp>BDP|17021726699601097854</stp>
        <tr r="N108" s="3"/>
      </tp>
      <tp t="s">
        <v>#N/A N/A</v>
        <stp/>
        <stp>BDP|10239582541398698935</stp>
        <tr r="T89" s="3"/>
      </tp>
      <tp t="s">
        <v>#N/A N/A</v>
        <stp/>
        <stp>BDP|10653202422794289486</stp>
        <tr r="CG77" s="3"/>
      </tp>
      <tp t="s">
        <v>#N/A N/A</v>
        <stp/>
        <stp>BDP|14047613454526984127</stp>
        <tr r="CA74" s="3"/>
      </tp>
      <tp t="s">
        <v>#N/A N/A</v>
        <stp/>
        <stp>BDP|15006464509395147400</stp>
        <tr r="BI95" s="3"/>
      </tp>
      <tp t="s">
        <v>#N/A N/A</v>
        <stp/>
        <stp>BDP|12843260653036302307</stp>
        <tr r="CA87" s="3"/>
      </tp>
      <tp t="s">
        <v>#N/A N/A</v>
        <stp/>
        <stp>BDP|10507788050287717549</stp>
        <tr r="J103" s="3"/>
      </tp>
      <tp t="s">
        <v>#N/A N/A</v>
        <stp/>
        <stp>BDP|13679845757866388886</stp>
        <tr r="AG77" s="3"/>
      </tp>
      <tp t="s">
        <v>#N/A N/A</v>
        <stp/>
        <stp>BDP|18069674111378634718</stp>
        <tr r="BI89" s="3"/>
      </tp>
      <tp t="s">
        <v>#N/A N/A</v>
        <stp/>
        <stp>BDP|16688146272024771460</stp>
        <tr r="BW109" s="3"/>
      </tp>
      <tp t="s">
        <v>#N/A N/A</v>
        <stp/>
        <stp>BDP|10501950852858472472</stp>
        <tr r="AS99" s="3"/>
      </tp>
      <tp t="s">
        <v>#N/A N/A</v>
        <stp/>
        <stp>BDP|11911473478051665309</stp>
        <tr r="BS104" s="3"/>
      </tp>
      <tp t="s">
        <v>#N/A N/A</v>
        <stp/>
        <stp>BDP|14901949098533087758</stp>
        <tr r="AA73" s="3"/>
      </tp>
      <tp t="s">
        <v>#N/A N/A</v>
        <stp/>
        <stp>BDP|15182030763576196505</stp>
        <tr r="AK93" s="3"/>
      </tp>
      <tp t="s">
        <v>#N/A N/A</v>
        <stp/>
        <stp>BDP|14653840087700183470</stp>
        <tr r="N91" s="3"/>
      </tp>
      <tp t="s">
        <v>#N/A N/A</v>
        <stp/>
        <stp>BDP|15316839360148031334</stp>
        <tr r="AW94" s="3"/>
      </tp>
      <tp t="s">
        <v>#N/A N/A</v>
        <stp/>
        <stp>BDP|16321101335264342068</stp>
        <tr r="BH105" s="3"/>
      </tp>
      <tp t="s">
        <v>#N/A N/A</v>
        <stp/>
        <stp>BDP|11228476825173673453</stp>
        <tr r="BR95" s="3"/>
      </tp>
      <tp t="s">
        <v>#N/A N/A</v>
        <stp/>
        <stp>BDP|12133979194006223438</stp>
        <tr r="AB96" s="3"/>
      </tp>
      <tp t="s">
        <v>#N/A N/A</v>
        <stp/>
        <stp>BDP|12134284882810881801</stp>
        <tr r="T112" s="3"/>
      </tp>
      <tp t="s">
        <v>#N/A N/A</v>
        <stp/>
        <stp>BDP|14279197836394823265</stp>
        <tr r="M101" s="3"/>
      </tp>
      <tp t="s">
        <v>#N/A N/A</v>
        <stp/>
        <stp>BDP|16286261812866517319</stp>
        <tr r="AP88" s="3"/>
      </tp>
      <tp t="s">
        <v>#N/A N/A</v>
        <stp/>
        <stp>BDP|11283377623696478607</stp>
        <tr r="G77" s="3"/>
      </tp>
      <tp t="s">
        <v>#N/A N/A</v>
        <stp/>
        <stp>BDP|11757411754950625066</stp>
        <tr r="Z102" s="3"/>
      </tp>
      <tp t="s">
        <v>#N/A N/A</v>
        <stp/>
        <stp>BDP|17237508955683164445</stp>
        <tr r="BZ102" s="3"/>
      </tp>
      <tp t="s">
        <v>#N/A N/A</v>
        <stp/>
        <stp>BDP|15256952751190295917</stp>
        <tr r="CA92" s="3"/>
      </tp>
      <tp t="s">
        <v>#N/A N/A</v>
        <stp/>
        <stp>BDP|16406298398534675964</stp>
        <tr r="AN85" s="3"/>
      </tp>
      <tp t="s">
        <v>#N/A N/A</v>
        <stp/>
        <stp>BDP|11323728873350752109</stp>
        <tr r="P90" s="3"/>
      </tp>
      <tp t="s">
        <v>#N/A N/A</v>
        <stp/>
        <stp>BDP|12534057210697043452</stp>
        <tr r="AH105" s="3"/>
      </tp>
      <tp t="s">
        <v>#N/A N/A</v>
        <stp/>
        <stp>BDP|10969975734992988866</stp>
        <tr r="X112" s="3"/>
      </tp>
      <tp t="s">
        <v>#N/A N/A</v>
        <stp/>
        <stp>BDP|14237168050967948799</stp>
        <tr r="H93" s="3"/>
      </tp>
      <tp t="s">
        <v>#N/A N/A</v>
        <stp/>
        <stp>BDP|12243704877940275233</stp>
        <tr r="AA100" s="3"/>
      </tp>
      <tp t="s">
        <v>#N/A N/A</v>
        <stp/>
        <stp>BDP|18340100485421158039</stp>
        <tr r="CA112" s="3"/>
      </tp>
      <tp t="s">
        <v>#N/A N/A</v>
        <stp/>
        <stp>BDP|10799444722441086753</stp>
        <tr r="CC92" s="3"/>
      </tp>
      <tp t="s">
        <v>#N/A N/A</v>
        <stp/>
        <stp>BDP|11279170553775299008</stp>
        <tr r="BH110" s="3"/>
      </tp>
      <tp t="s">
        <v>#N/A N/A</v>
        <stp/>
        <stp>BDP|15990649356685662396</stp>
        <tr r="AH74" s="3"/>
      </tp>
      <tp t="s">
        <v>#N/A N/A</v>
        <stp/>
        <stp>BDP|13447136957646732133</stp>
        <tr r="K111" s="3"/>
      </tp>
      <tp t="s">
        <v>#N/A N/A</v>
        <stp/>
        <stp>BDP|14537173261753016072</stp>
        <tr r="CJ97" s="3"/>
      </tp>
      <tp t="s">
        <v>#N/A N/A</v>
        <stp/>
        <stp>BDP|10685616564968451808</stp>
        <tr r="Z93" s="3"/>
      </tp>
      <tp t="s">
        <v>#N/A N/A</v>
        <stp/>
        <stp>BDP|16148354343359696862</stp>
        <tr r="CJ76" s="3"/>
      </tp>
      <tp t="s">
        <v>#N/A N/A</v>
        <stp/>
        <stp>BDP|12646210413177638659</stp>
        <tr r="Z94" s="3"/>
      </tp>
      <tp t="s">
        <v>#N/A N/A</v>
        <stp/>
        <stp>BDP|11746742896248196732</stp>
        <tr r="T98" s="3"/>
      </tp>
      <tp t="s">
        <v>#N/A N/A</v>
        <stp/>
        <stp>BDP|12719670348109664995</stp>
        <tr r="AF108" s="3"/>
      </tp>
      <tp t="s">
        <v>#N/A N/A</v>
        <stp/>
        <stp>BDP|12903372709358471945</stp>
        <tr r="F96" s="3"/>
      </tp>
      <tp t="s">
        <v>#N/A N/A</v>
        <stp/>
        <stp>BDP|14076928276252278818</stp>
        <tr r="CA109" s="3"/>
      </tp>
      <tp t="s">
        <v>#N/A N/A</v>
        <stp/>
        <stp>BDP|16152521353507353145</stp>
        <tr r="BJ108" s="3"/>
      </tp>
      <tp t="s">
        <v>#N/A N/A</v>
        <stp/>
        <stp>BDP|12173658324392449438</stp>
        <tr r="BU77" s="3"/>
      </tp>
      <tp t="s">
        <v>#N/A N/A</v>
        <stp/>
        <stp>BDP|15622531126086195442</stp>
        <tr r="CC105" s="3"/>
      </tp>
      <tp t="s">
        <v>#N/A N/A</v>
        <stp/>
        <stp>BDP|11544218421298520961</stp>
        <tr r="V85" s="3"/>
      </tp>
      <tp t="s">
        <v>#N/A N/A</v>
        <stp/>
        <stp>BDP|16038608410988776915</stp>
        <tr r="CD113" s="3"/>
      </tp>
      <tp t="s">
        <v>#N/A N/A</v>
        <stp/>
        <stp>BDH|16601309406415434075</stp>
        <tr r="F86" s="3"/>
      </tp>
      <tp t="s">
        <v>#N/A N/A</v>
        <stp/>
        <stp>BDP|13953777003694075140</stp>
        <tr r="AP93" s="3"/>
      </tp>
      <tp t="s">
        <v>#N/A N/A</v>
        <stp/>
        <stp>BDP|11099667280187784985</stp>
        <tr r="AP109" s="3"/>
      </tp>
      <tp t="s">
        <v>#N/A N/A</v>
        <stp/>
        <stp>BDP|14854355392438481737</stp>
        <tr r="O92" s="3"/>
      </tp>
      <tp t="s">
        <v>#N/A N/A</v>
        <stp/>
        <stp>BDP|13262066713940797389</stp>
        <tr r="V74" s="3"/>
      </tp>
      <tp t="s">
        <v>#N/A N/A</v>
        <stp/>
        <stp>BDP|16888023410933488564</stp>
        <tr r="BD113" s="3"/>
      </tp>
      <tp t="s">
        <v>#N/A N/A</v>
        <stp/>
        <stp>BDP|11856602106587440125</stp>
        <tr r="CI111" s="3"/>
      </tp>
      <tp t="s">
        <v>#N/A N/A</v>
        <stp/>
        <stp>BDP|11873002127136631416</stp>
        <tr r="M110" s="3"/>
      </tp>
      <tp t="s">
        <v>#N/A N/A</v>
        <stp/>
        <stp>BDP|17330976028518246563</stp>
        <tr r="AM77" s="3"/>
      </tp>
      <tp t="s">
        <v>#N/A N/A</v>
        <stp/>
        <stp>BDP|16086481456505499321</stp>
        <tr r="AE104" s="3"/>
      </tp>
      <tp t="s">
        <v>#N/A N/A</v>
        <stp/>
        <stp>BDP|16606603014184094490</stp>
        <tr r="CG91" s="3"/>
      </tp>
      <tp t="s">
        <v>#N/A N/A</v>
        <stp/>
        <stp>BDP|10008035079365645370</stp>
        <tr r="BB100" s="3"/>
      </tp>
      <tp t="s">
        <v>#N/A N/A</v>
        <stp/>
        <stp>BDP|13197388663336549144</stp>
        <tr r="L87" s="3"/>
      </tp>
      <tp t="s">
        <v>#N/A N/A</v>
        <stp/>
        <stp>BDP|14795641984828528392</stp>
        <tr r="N105" s="3"/>
      </tp>
      <tp t="s">
        <v>#N/A N/A</v>
        <stp/>
        <stp>BDP|17955457185179014327</stp>
        <tr r="S95" s="3"/>
      </tp>
      <tp t="s">
        <v>#N/A N/A</v>
        <stp/>
        <stp>BDP|15837639319697958417</stp>
        <tr r="AS73" s="3"/>
      </tp>
      <tp t="s">
        <v>#N/A N/A</v>
        <stp/>
        <stp>BDP|12735069261474290189</stp>
        <tr r="BB109" s="3"/>
      </tp>
      <tp t="s">
        <v>#N/A N/A</v>
        <stp/>
        <stp>BDP|10386423253634931413</stp>
        <tr r="AO92" s="3"/>
      </tp>
      <tp t="s">
        <v>#N/A N/A</v>
        <stp/>
        <stp>BDP|18379166091285969477</stp>
        <tr r="V73" s="3"/>
      </tp>
      <tp t="s">
        <v>#N/A N/A</v>
        <stp/>
        <stp>BDP|11566496150653071265</stp>
        <tr r="AR92" s="3"/>
      </tp>
      <tp t="s">
        <v>#N/A N/A</v>
        <stp/>
        <stp>BDP|15297112353151982136</stp>
        <tr r="O113" s="3"/>
      </tp>
      <tp t="s">
        <v>#N/A N/A</v>
        <stp/>
        <stp>BDP|12419910210462845903</stp>
        <tr r="AA110" s="3"/>
      </tp>
      <tp t="s">
        <v>#N/A N/A</v>
        <stp/>
        <stp>BDP|17955747356415183179</stp>
        <tr r="BC94" s="3"/>
      </tp>
      <tp t="s">
        <v>#N/A N/A</v>
        <stp/>
        <stp>BDP|14206930739526343967</stp>
        <tr r="AI111" s="3"/>
      </tp>
      <tp t="s">
        <v>#N/A N/A</v>
        <stp/>
        <stp>BDP|17013582483828606313</stp>
        <tr r="AQ95" s="3"/>
      </tp>
      <tp t="s">
        <v>#N/A N/A</v>
        <stp/>
        <stp>BDP|11660061022576681485</stp>
        <tr r="CK109" s="3"/>
      </tp>
      <tp t="s">
        <v>#N/A N/A</v>
        <stp/>
        <stp>BDP|17981363416486386266</stp>
        <tr r="CH105" s="3"/>
      </tp>
      <tp t="s">
        <v>#N/A N/A</v>
        <stp/>
        <stp>BDP|13246732240877897657</stp>
        <tr r="BY110" s="3"/>
      </tp>
      <tp t="s">
        <v>#N/A N/A</v>
        <stp/>
        <stp>BDP|16039950691912867537</stp>
        <tr r="AQ93" s="3"/>
      </tp>
      <tp t="s">
        <v>#N/A N/A</v>
        <stp/>
        <stp>BDP|11985024584541513953</stp>
        <tr r="N77" s="3"/>
      </tp>
      <tp t="s">
        <v>#N/A N/A</v>
        <stp/>
        <stp>BDP|18096387120611571924</stp>
        <tr r="AJ85" s="3"/>
      </tp>
      <tp t="s">
        <v>#N/A N/A</v>
        <stp/>
        <stp>BDP|16212590075612486753</stp>
        <tr r="CH112" s="3"/>
      </tp>
      <tp t="s">
        <v>#N/A N/A</v>
        <stp/>
        <stp>BDP|17607749614924018491</stp>
        <tr r="CD90" s="3"/>
      </tp>
      <tp t="s">
        <v>#N/A N/A</v>
        <stp/>
        <stp>BDP|16415878079129798125</stp>
        <tr r="AL100" s="3"/>
      </tp>
      <tp t="s">
        <v>#N/A N/A</v>
        <stp/>
        <stp>BDP|17061499797139142215</stp>
        <tr r="BK101" s="3"/>
      </tp>
      <tp t="s">
        <v>#N/A N/A</v>
        <stp/>
        <stp>BDP|17822293411547959277</stp>
        <tr r="W99" s="3"/>
      </tp>
      <tp t="s">
        <v>#N/A N/A</v>
        <stp/>
        <stp>BDP|10715639579245581564</stp>
        <tr r="AF98" s="3"/>
      </tp>
      <tp t="s">
        <v>#N/A N/A</v>
        <stp/>
        <stp>BDP|13976330350270055446</stp>
        <tr r="AV97" s="3"/>
      </tp>
      <tp t="s">
        <v>#N/A N/A</v>
        <stp/>
        <stp>BDP|10322383653101166670</stp>
        <tr r="BR92" s="3"/>
      </tp>
      <tp t="s">
        <v>#N/A N/A</v>
        <stp/>
        <stp>BDP|15752389549735308642</stp>
        <tr r="BR108" s="3"/>
      </tp>
      <tp t="s">
        <v>#N/A N/A</v>
        <stp/>
        <stp>BDP|17289523016384720603</stp>
        <tr r="CJ103" s="3"/>
      </tp>
      <tp t="s">
        <v>#N/A N/A</v>
        <stp/>
        <stp>BDP|12727718434863331409</stp>
        <tr r="BU102" s="3"/>
      </tp>
      <tp t="s">
        <v>#N/A N/A</v>
        <stp/>
        <stp>BDP|13693439615456038114</stp>
        <tr r="X113" s="3"/>
      </tp>
      <tp t="s">
        <v>#N/A N/A</v>
        <stp/>
        <stp>BDP|11225956853435278975</stp>
        <tr r="O105" s="3"/>
      </tp>
      <tp t="s">
        <v>#N/A N/A</v>
        <stp/>
        <stp>BDP|11724021402749059961</stp>
        <tr r="AE102" s="3"/>
      </tp>
      <tp t="s">
        <v>#N/A N/A</v>
        <stp/>
        <stp>BDP|11111787858062998099</stp>
        <tr r="BF90" s="3"/>
      </tp>
      <tp t="s">
        <v>#N/A N/A</v>
        <stp/>
        <stp>BDP|11026222133320318136</stp>
        <tr r="CH73" s="3"/>
      </tp>
      <tp t="s">
        <v>#N/A N/A</v>
        <stp/>
        <stp>BDP|10465237125693678248</stp>
        <tr r="BK107" s="3"/>
      </tp>
      <tp t="s">
        <v>#N/A N/A</v>
        <stp/>
        <stp>BDP|10328246973594576018</stp>
        <tr r="CI112" s="3"/>
      </tp>
      <tp t="s">
        <v>#N/A N/A</v>
        <stp/>
        <stp>BDP|17292621910348973991</stp>
        <tr r="BP77" s="3"/>
      </tp>
      <tp t="s">
        <v>#N/A N/A</v>
        <stp/>
        <stp>BDP|15274277666560297011</stp>
        <tr r="V104" s="3"/>
      </tp>
      <tp t="s">
        <v>#N/A N/A</v>
        <stp/>
        <stp>BDP|13220075462424641016</stp>
        <tr r="BW97" s="3"/>
      </tp>
      <tp t="s">
        <v>#N/A N/A</v>
        <stp/>
        <stp>BDP|10502827682682456313</stp>
        <tr r="AH100" s="3"/>
      </tp>
      <tp t="s">
        <v>#N/A N/A</v>
        <stp/>
        <stp>BDP|10775159276184046372</stp>
        <tr r="BR100" s="3"/>
      </tp>
      <tp t="s">
        <v>#N/A N/A</v>
        <stp/>
        <stp>BDP|16490578277523299652</stp>
        <tr r="AJ106" s="3"/>
      </tp>
      <tp t="s">
        <v>#N/A N/A</v>
        <stp/>
        <stp>BDP|18176108297334280578</stp>
        <tr r="AZ101" s="3"/>
      </tp>
      <tp t="s">
        <v>#N/A N/A</v>
        <stp/>
        <stp>BDP|14404138120980117653</stp>
        <tr r="CB94" s="3"/>
      </tp>
      <tp t="s">
        <v>#N/A N/A</v>
        <stp/>
        <stp>BDP|13870717654463864360</stp>
        <tr r="AM74" s="3"/>
      </tp>
      <tp t="s">
        <v>#N/A N/A</v>
        <stp/>
        <stp>BDP|11165956442178369567</stp>
        <tr r="AC113" s="3"/>
      </tp>
      <tp t="s">
        <v>#N/A N/A</v>
        <stp/>
        <stp>BDP|14324895599380162416</stp>
        <tr r="R93" s="3"/>
      </tp>
      <tp t="s">
        <v>#N/A N/A</v>
        <stp/>
        <stp>BDP|12764997998933323079</stp>
        <tr r="X76" s="3"/>
      </tp>
      <tp t="s">
        <v>#N/A N/A</v>
        <stp/>
        <stp>BDP|12890192371497491265</stp>
        <tr r="AF106" s="3"/>
      </tp>
      <tp t="s">
        <v>#N/A N/A</v>
        <stp/>
        <stp>BDP|10737798598258230769</stp>
        <tr r="AG112" s="3"/>
      </tp>
      <tp t="s">
        <v>#N/A N/A</v>
        <stp/>
        <stp>BDP|10870106355324886178</stp>
        <tr r="AL99" s="3"/>
      </tp>
      <tp t="s">
        <v>#N/A N/A</v>
        <stp/>
        <stp>BDP|13197044154933160423</stp>
        <tr r="AX93" s="3"/>
      </tp>
      <tp t="s">
        <v>#N/A N/A</v>
        <stp/>
        <stp>BDP|11947182903834405532</stp>
        <tr r="AT87" s="3"/>
      </tp>
      <tp t="s">
        <v>#N/A N/A</v>
        <stp/>
        <stp>BDP|17351779010085368529</stp>
        <tr r="AE93" s="3"/>
      </tp>
      <tp t="s">
        <v>#N/A N/A</v>
        <stp/>
        <stp>BDP|15225936367542558964</stp>
        <tr r="AY104" s="3"/>
      </tp>
      <tp t="s">
        <v>#N/A N/A</v>
        <stp/>
        <stp>BDP|11116687083058909661</stp>
        <tr r="BK99" s="3"/>
      </tp>
      <tp t="s">
        <v>#N/A N/A</v>
        <stp/>
        <stp>BDP|13290634119757948256</stp>
        <tr r="AV92" s="3"/>
      </tp>
      <tp t="s">
        <v>#N/A N/A</v>
        <stp/>
        <stp>BDP|14981923418725125863</stp>
        <tr r="BR101" s="3"/>
      </tp>
      <tp t="s">
        <v>#N/A N/A</v>
        <stp/>
        <stp>BDP|14620485060662251587</stp>
        <tr r="M98" s="3"/>
      </tp>
      <tp t="s">
        <v>#N/A N/A</v>
        <stp/>
        <stp>BDP|10259710937433207627</stp>
        <tr r="AF97" s="3"/>
      </tp>
      <tp t="s">
        <v>#N/A N/A</v>
        <stp/>
        <stp>BDP|10906609933991709595</stp>
        <tr r="CI93" s="3"/>
      </tp>
      <tp t="s">
        <v>#N/A N/A</v>
        <stp/>
        <stp>BDP|17018455663963439755</stp>
        <tr r="BK87" s="3"/>
      </tp>
      <tp t="s">
        <v>#N/A N/A</v>
        <stp/>
        <stp>BDP|14596211200744507375</stp>
        <tr r="AI102" s="3"/>
      </tp>
      <tp t="s">
        <v>#N/A N/A</v>
        <stp/>
        <stp>BDP|17949668908608744867</stp>
        <tr r="BS93" s="3"/>
      </tp>
      <tp t="s">
        <v>#N/A N/A</v>
        <stp/>
        <stp>BDP|12738968781001169372</stp>
        <tr r="Z96" s="3"/>
      </tp>
      <tp t="s">
        <v>#N/A N/A</v>
        <stp/>
        <stp>BDP|17627336819571371598</stp>
        <tr r="CI95" s="3"/>
      </tp>
      <tp t="s">
        <v>#N/A N/A</v>
        <stp/>
        <stp>BDP|13777090877345911066</stp>
        <tr r="I109" s="3"/>
      </tp>
      <tp t="s">
        <v>#N/A N/A</v>
        <stp/>
        <stp>BDP|17764228571914738754</stp>
        <tr r="G85" s="3"/>
      </tp>
      <tp t="s">
        <v>#N/A N/A</v>
        <stp/>
        <stp>BDP|12171077245901691635</stp>
        <tr r="BA93" s="3"/>
      </tp>
      <tp t="s">
        <v>#N/A N/A</v>
        <stp/>
        <stp>BDH|16126653727620908356</stp>
        <tr r="C138" s="3"/>
        <tr r="C130" s="3"/>
      </tp>
      <tp t="s">
        <v>#N/A N/A</v>
        <stp/>
        <stp>BDP|16983651051210602322</stp>
        <tr r="N85" s="3"/>
      </tp>
      <tp t="s">
        <v>#N/A N/A</v>
        <stp/>
        <stp>BDP|15885676404214291105</stp>
        <tr r="Z88" s="3"/>
      </tp>
      <tp t="s">
        <v>#N/A N/A</v>
        <stp/>
        <stp>BDP|12246504649094725157</stp>
        <tr r="BY93" s="3"/>
      </tp>
      <tp t="s">
        <v>#N/A N/A</v>
        <stp/>
        <stp>BDP|17538589920257212173</stp>
        <tr r="U96" s="3"/>
      </tp>
      <tp t="s">
        <v>#N/A N/A</v>
        <stp/>
        <stp>BDP|15095204060306961119</stp>
        <tr r="CH100" s="3"/>
      </tp>
      <tp t="s">
        <v>#N/A N/A</v>
        <stp/>
        <stp>BDP|11833105140480346231</stp>
        <tr r="Y102" s="3"/>
      </tp>
      <tp t="s">
        <v>#N/A N/A</v>
        <stp/>
        <stp>BDP|16432901698502511211</stp>
        <tr r="CA98" s="3"/>
      </tp>
      <tp t="s">
        <v>#N/A N/A</v>
        <stp/>
        <stp>BDP|16115849419611412835</stp>
        <tr r="N113" s="3"/>
      </tp>
      <tp t="s">
        <v>#N/A N/A</v>
        <stp/>
        <stp>BDP|10794488483902158865</stp>
        <tr r="AB102" s="3"/>
      </tp>
      <tp t="s">
        <v>#N/A N/A</v>
        <stp/>
        <stp>BDP|18193898770360182122</stp>
        <tr r="F76" s="3"/>
      </tp>
      <tp t="s">
        <v>#N/A N/A</v>
        <stp/>
        <stp>BDP|17638890493302436233</stp>
        <tr r="O90" s="3"/>
      </tp>
      <tp t="s">
        <v>#N/A N/A</v>
        <stp/>
        <stp>BDP|14131485271305619453</stp>
        <tr r="Q98" s="3"/>
      </tp>
      <tp t="s">
        <v>#N/A N/A</v>
        <stp/>
        <stp>BDP|16496476633694941337</stp>
        <tr r="CH92" s="3"/>
      </tp>
      <tp t="s">
        <v>#N/A N/A</v>
        <stp/>
        <stp>BDP|12974437375571592603</stp>
        <tr r="BF109" s="3"/>
      </tp>
      <tp t="s">
        <v>#N/A N/A</v>
        <stp/>
        <stp>BDP|11944852421409399446</stp>
        <tr r="W77" s="3"/>
      </tp>
      <tp t="s">
        <v>#N/A N/A</v>
        <stp/>
        <stp>BDP|18040280693361320421</stp>
        <tr r="W110" s="3"/>
      </tp>
      <tp t="s">
        <v>#N/A N/A</v>
        <stp/>
        <stp>BDP|11916070111530509675</stp>
        <tr r="Z104" s="3"/>
      </tp>
      <tp t="s">
        <v>#N/A N/A</v>
        <stp/>
        <stp>BDP|12919243172153013222</stp>
        <tr r="BZ93" s="3"/>
      </tp>
      <tp t="s">
        <v>#N/A N/A</v>
        <stp/>
        <stp>BDP|17593216282452318990</stp>
        <tr r="BD90" s="3"/>
      </tp>
      <tp t="s">
        <v>#N/A N/A</v>
        <stp/>
        <stp>BDP|14344216611248613998</stp>
        <tr r="T105" s="3"/>
      </tp>
      <tp t="s">
        <v>#N/A N/A</v>
        <stp/>
        <stp>BDP|11131998991004537307</stp>
        <tr r="BB93" s="3"/>
      </tp>
      <tp t="s">
        <v>#N/A N/A</v>
        <stp/>
        <stp>BDP|17670001859070397402</stp>
        <tr r="AS105" s="3"/>
      </tp>
      <tp t="s">
        <v>#N/A N/A</v>
        <stp/>
        <stp>BDP|16519868483685934550</stp>
        <tr r="CG112" s="3"/>
      </tp>
      <tp t="s">
        <v>#N/A N/A</v>
        <stp/>
        <stp>BDP|12334198547537162608</stp>
        <tr r="BU97" s="3"/>
      </tp>
      <tp t="s">
        <v>#N/A N/A</v>
        <stp/>
        <stp>BDP|15889426272918039844</stp>
        <tr r="AP74" s="3"/>
      </tp>
      <tp t="s">
        <v>#N/A N/A</v>
        <stp/>
        <stp>BDP|13795418348093642643</stp>
        <tr r="CD110" s="3"/>
      </tp>
      <tp t="s">
        <v>#N/A N/A</v>
        <stp/>
        <stp>BDP|12700560798351042951</stp>
        <tr r="BY74" s="3"/>
      </tp>
      <tp t="s">
        <v>#N/A N/A</v>
        <stp/>
        <stp>BDP|17733100718436738740</stp>
        <tr r="BS94" s="3"/>
      </tp>
      <tp t="s">
        <v>#N/A N/A</v>
        <stp/>
        <stp>BDP|17057335158711148658</stp>
        <tr r="CC109" s="3"/>
      </tp>
      <tp t="s">
        <v>#N/A N/A</v>
        <stp/>
        <stp>BDP|13818189539697738018</stp>
        <tr r="AC75" s="3"/>
      </tp>
      <tp t="s">
        <v>#N/A N/A</v>
        <stp/>
        <stp>BDP|17724202836024748491</stp>
        <tr r="AU113" s="3"/>
      </tp>
      <tp t="s">
        <v>#N/A N/A</v>
        <stp/>
        <stp>BDP|16457656754891364284</stp>
        <tr r="AV88" s="3"/>
      </tp>
      <tp t="s">
        <v>#N/A N/A</v>
        <stp/>
        <stp>BDP|11622267183674895957</stp>
        <tr r="CB101" s="3"/>
      </tp>
      <tp t="s">
        <v>#N/A N/A</v>
        <stp/>
        <stp>BDP|17419634692228875633</stp>
        <tr r="Y112" s="3"/>
      </tp>
      <tp t="s">
        <v>#N/A N/A</v>
        <stp/>
        <stp>BDP|17828399938994601512</stp>
        <tr r="BI97" s="3"/>
      </tp>
      <tp t="s">
        <v>#N/A N/A</v>
        <stp/>
        <stp>BDP|16458092021224067625</stp>
        <tr r="H108" s="3"/>
      </tp>
      <tp t="s">
        <v>#N/A N/A</v>
        <stp/>
        <stp>BDP|12642665956877710000</stp>
        <tr r="CK75" s="3"/>
      </tp>
      <tp t="s">
        <v>#N/A N/A</v>
        <stp/>
        <stp>BDP|15079316071302933583</stp>
        <tr r="AK102" s="3"/>
      </tp>
      <tp t="s">
        <v>#N/A N/A</v>
        <stp/>
        <stp>BDP|15910276048520046577</stp>
        <tr r="BU95" s="3"/>
      </tp>
      <tp t="s">
        <v>#N/A N/A</v>
        <stp/>
        <stp>BDP|15244715934980516738</stp>
        <tr r="BP108" s="3"/>
      </tp>
      <tp t="s">
        <v>#N/A N/A</v>
        <stp/>
        <stp>BDP|17296239765165261077</stp>
        <tr r="BN96" s="3"/>
      </tp>
      <tp t="s">
        <v>#N/A N/A</v>
        <stp/>
        <stp>BDP|12516672945340606618</stp>
        <tr r="AN103" s="3"/>
      </tp>
      <tp t="s">
        <v>#N/A N/A</v>
        <stp/>
        <stp>BDP|11624439506632348107</stp>
        <tr r="AA91" s="3"/>
      </tp>
      <tp t="s">
        <v>#N/A N/A</v>
        <stp/>
        <stp>BDP|14541125529396680786</stp>
        <tr r="O74" s="3"/>
      </tp>
      <tp t="s">
        <v>#N/A N/A</v>
        <stp/>
        <stp>BDP|15491711460840118240</stp>
        <tr r="AG97" s="3"/>
      </tp>
      <tp t="s">
        <v>#N/A N/A</v>
        <stp/>
        <stp>BDP|16128319606070544339</stp>
        <tr r="P93" s="3"/>
      </tp>
      <tp t="s">
        <v>#N/A N/A</v>
        <stp/>
        <stp>BDP|13196526907376502626</stp>
        <tr r="CI92" s="3"/>
      </tp>
      <tp t="s">
        <v>#N/A N/A</v>
        <stp/>
        <stp>BDP|10027424637865214445</stp>
        <tr r="AR94" s="3"/>
      </tp>
      <tp t="s">
        <v>#N/A N/A</v>
        <stp/>
        <stp>BDP|13426509841006657200</stp>
        <tr r="BH97" s="3"/>
      </tp>
      <tp t="s">
        <v>#N/A N/A</v>
        <stp/>
        <stp>BDP|13297035772623671163</stp>
        <tr r="BL112" s="3"/>
      </tp>
      <tp t="s">
        <v>#N/A N/A</v>
        <stp/>
        <stp>BDP|17610233457203688575</stp>
        <tr r="AQ97" s="3"/>
      </tp>
      <tp t="s">
        <v>#N/A N/A</v>
        <stp/>
        <stp>BDP|10619137806312405547</stp>
        <tr r="R73" s="3"/>
      </tp>
      <tp t="s">
        <v>#N/A N/A</v>
        <stp/>
        <stp>BDP|14095917263409484455</stp>
        <tr r="CA99" s="3"/>
      </tp>
      <tp t="s">
        <v>#N/A N/A</v>
        <stp/>
        <stp>BDP|15244144122928060879</stp>
        <tr r="AB103" s="3"/>
      </tp>
      <tp t="s">
        <v>#N/A N/A</v>
        <stp/>
        <stp>BDP|11192076943405556620</stp>
        <tr r="M99" s="3"/>
      </tp>
      <tp t="s">
        <v>#N/A N/A</v>
        <stp/>
        <stp>BDP|18005923584207466809</stp>
        <tr r="BA113" s="3"/>
      </tp>
      <tp t="s">
        <v>#N/A N/A</v>
        <stp/>
        <stp>BDP|11150649506607038614</stp>
        <tr r="BE111" s="3"/>
      </tp>
      <tp t="s">
        <v>#N/A N/A</v>
        <stp/>
        <stp>BDP|11074155276675114409</stp>
        <tr r="AD105" s="3"/>
      </tp>
      <tp t="s">
        <v>#N/A N/A</v>
        <stp/>
        <stp>BDP|11768266657315768539</stp>
        <tr r="BT94" s="3"/>
      </tp>
      <tp t="s">
        <v>#N/A N/A</v>
        <stp/>
        <stp>BDP|15428335826422056036</stp>
        <tr r="BK93" s="3"/>
      </tp>
      <tp t="s">
        <v>#N/A N/A</v>
        <stp/>
        <stp>BDP|10289659770605030253</stp>
        <tr r="AM76" s="3"/>
      </tp>
      <tp t="s">
        <v>#N/A N/A</v>
        <stp/>
        <stp>BDP|16379240572424327146</stp>
        <tr r="BR75" s="3"/>
      </tp>
      <tp t="s">
        <v>#N/A N/A</v>
        <stp/>
        <stp>BDP|14804761509792232772</stp>
        <tr r="BM105" s="3"/>
      </tp>
      <tp t="s">
        <v>#N/A N/A</v>
        <stp/>
        <stp>BDP|14972696854787430622</stp>
        <tr r="H76" s="3"/>
      </tp>
      <tp t="s">
        <v>#N/A N/A</v>
        <stp/>
        <stp>BDP|16568651060948451810</stp>
        <tr r="I85" s="3"/>
      </tp>
      <tp t="s">
        <v>#N/A N/A</v>
        <stp/>
        <stp>BDP|12095865358179238096</stp>
        <tr r="V88" s="3"/>
      </tp>
      <tp t="s">
        <v>#N/A N/A</v>
        <stp/>
        <stp>BDP|12390189363996413590</stp>
        <tr r="BI105" s="3"/>
      </tp>
      <tp t="s">
        <v>#N/A N/A</v>
        <stp/>
        <stp>BDP|10387764361643612474</stp>
        <tr r="AC73" s="3"/>
      </tp>
      <tp t="s">
        <v>#N/A N/A</v>
        <stp/>
        <stp>BDP|17584551302204296056</stp>
        <tr r="BP113" s="3"/>
      </tp>
      <tp t="s">
        <v>#N/A N/A</v>
        <stp/>
        <stp>BDP|11746550065732288612</stp>
        <tr r="AS75" s="3"/>
      </tp>
      <tp t="s">
        <v>#N/A N/A</v>
        <stp/>
        <stp>BDP|16527378643323727423</stp>
        <tr r="BK92" s="3"/>
      </tp>
      <tp t="s">
        <v>#N/A N/A</v>
        <stp/>
        <stp>BDP|15505322214470604119</stp>
        <tr r="I100" s="3"/>
      </tp>
      <tp t="s">
        <v>#N/A N/A</v>
        <stp/>
        <stp>BDP|15839274296889435191</stp>
        <tr r="AN76" s="3"/>
      </tp>
      <tp t="s">
        <v>#N/A N/A</v>
        <stp/>
        <stp>BDP|16493194946605786080</stp>
        <tr r="CB110" s="3"/>
      </tp>
      <tp t="s">
        <v>#N/A N/A</v>
        <stp/>
        <stp>BDP|12471354703335752216</stp>
        <tr r="BT91" s="3"/>
      </tp>
      <tp t="s">
        <v>#N/A N/A</v>
        <stp/>
        <stp>BDP|18001914060242602337</stp>
        <tr r="BQ107" s="3"/>
      </tp>
      <tp t="s">
        <v>#N/A N/A</v>
        <stp/>
        <stp>BDP|16141692565910199082</stp>
        <tr r="AU110" s="3"/>
      </tp>
      <tp t="s">
        <v>#N/A N/A</v>
        <stp/>
        <stp>BDP|12906522224521940219</stp>
        <tr r="W104" s="3"/>
      </tp>
      <tp t="s">
        <v>#N/A N/A</v>
        <stp/>
        <stp>BDP|10795518444595181241</stp>
        <tr r="BY90" s="3"/>
      </tp>
      <tp t="s">
        <v>#N/A N/A</v>
        <stp/>
        <stp>BDP|11109595711817818461</stp>
        <tr r="AU107" s="3"/>
      </tp>
      <tp t="s">
        <v>#N/A N/A</v>
        <stp/>
        <stp>BDP|15398382623984802671</stp>
        <tr r="BE103" s="3"/>
      </tp>
      <tp t="s">
        <v>#N/A N/A</v>
        <stp/>
        <stp>BDP|16995109151382899678</stp>
        <tr r="AO74" s="3"/>
      </tp>
      <tp t="s">
        <v>#N/A N/A</v>
        <stp/>
        <stp>BDP|17807731341344459697</stp>
        <tr r="BZ98" s="3"/>
      </tp>
      <tp t="s">
        <v>#N/A N/A</v>
        <stp/>
        <stp>BDP|15824452382516150990</stp>
        <tr r="AC74" s="3"/>
      </tp>
      <tp t="s">
        <v>#N/A N/A</v>
        <stp/>
        <stp>BDP|16649516522511088628</stp>
        <tr r="BU75" s="3"/>
      </tp>
      <tp t="s">
        <v>#N/A N/A</v>
        <stp/>
        <stp>BDP|12412521411063666363</stp>
        <tr r="AJ74" s="3"/>
      </tp>
      <tp t="s">
        <v>#N/A N/A</v>
        <stp/>
        <stp>BDP|12339034707320094414</stp>
        <tr r="BR89" s="3"/>
      </tp>
      <tp t="s">
        <v>#N/A N/A</v>
        <stp/>
        <stp>BDP|12268058945382744235</stp>
        <tr r="AF110" s="3"/>
      </tp>
      <tp t="s">
        <v>#N/A N/A</v>
        <stp/>
        <stp>BDP|14886101885523322882</stp>
        <tr r="BY92" s="3"/>
      </tp>
      <tp t="s">
        <v>#N/A N/A</v>
        <stp/>
        <stp>BDP|10839866232434958936</stp>
        <tr r="AY74" s="3"/>
      </tp>
      <tp t="s">
        <v>#N/A N/A</v>
        <stp/>
        <stp>BDP|11740525114070199292</stp>
        <tr r="Z75" s="3"/>
      </tp>
      <tp t="s">
        <v>#N/A N/A</v>
        <stp/>
        <stp>BDP|15832417589276097896</stp>
        <tr r="BD97" s="3"/>
      </tp>
      <tp t="s">
        <v>#N/A N/A</v>
        <stp/>
        <stp>BDP|11389228007817942363</stp>
        <tr r="BB96" s="3"/>
      </tp>
      <tp t="s">
        <v>#N/A N/A</v>
        <stp/>
        <stp>BDP|10400481425351491048</stp>
        <tr r="AX77" s="3"/>
      </tp>
      <tp t="s">
        <v>#N/A N/A</v>
        <stp/>
        <stp>BDP|12472573538365072622</stp>
        <tr r="CC74" s="3"/>
      </tp>
      <tp t="s">
        <v>#N/A N/A</v>
        <stp/>
        <stp>BDP|17125940395675037592</stp>
        <tr r="AY99" s="3"/>
      </tp>
      <tp t="s">
        <v>#N/A N/A</v>
        <stp/>
        <stp>BDP|12231608943155835216</stp>
        <tr r="CC93" s="3"/>
      </tp>
      <tp t="s">
        <v>#N/A N/A</v>
        <stp/>
        <stp>BDP|12456448812689951930</stp>
        <tr r="BX107" s="3"/>
      </tp>
      <tp t="s">
        <v>#N/A N/A</v>
        <stp/>
        <stp>BDP|13013946991660496498</stp>
        <tr r="CD73" s="3"/>
      </tp>
      <tp t="s">
        <v>#N/A N/A</v>
        <stp/>
        <stp>BDP|13278790353551839787</stp>
        <tr r="R103" s="3"/>
      </tp>
      <tp t="s">
        <v>#N/A N/A</v>
        <stp/>
        <stp>BDP|15898561555794591663</stp>
        <tr r="BU108" s="3"/>
      </tp>
      <tp t="s">
        <v>#N/A N/A</v>
        <stp/>
        <stp>BDP|13653755536711896160</stp>
        <tr r="BV109" s="3"/>
      </tp>
      <tp t="s">
        <v>#N/A N/A</v>
        <stp/>
        <stp>BDP|11981717876960620635</stp>
        <tr r="AQ90" s="3"/>
      </tp>
      <tp t="s">
        <v>#N/A N/A</v>
        <stp/>
        <stp>BDP|10874436886022787907</stp>
        <tr r="AD89" s="3"/>
      </tp>
      <tp t="s">
        <v>#N/A N/A</v>
        <stp/>
        <stp>BDP|12797567164970693690</stp>
        <tr r="AR110" s="3"/>
      </tp>
      <tp t="s">
        <v>#N/A N/A</v>
        <stp/>
        <stp>BDP|13463345419236067035</stp>
        <tr r="BO94" s="3"/>
      </tp>
      <tp t="s">
        <v>#N/A N/A</v>
        <stp/>
        <stp>BDP|10073993232105638877</stp>
        <tr r="CK102" s="3"/>
      </tp>
      <tp t="s">
        <v>#N/A N/A</v>
        <stp/>
        <stp>BDP|17091837365076511898</stp>
        <tr r="AW100" s="3"/>
      </tp>
      <tp t="s">
        <v>#N/A N/A</v>
        <stp/>
        <stp>BDP|12317682574825093155</stp>
        <tr r="CD87" s="3"/>
      </tp>
      <tp t="s">
        <v>#N/A N/A</v>
        <stp/>
        <stp>BDP|18046863367952320389</stp>
        <tr r="T104" s="3"/>
      </tp>
      <tp t="s">
        <v>#N/A N/A</v>
        <stp/>
        <stp>BDP|16728772106714360288</stp>
        <tr r="AM100" s="3"/>
      </tp>
      <tp t="s">
        <v>#N/A N/A</v>
        <stp/>
        <stp>BDP|10720367633987725081</stp>
        <tr r="AA95" s="3"/>
      </tp>
      <tp t="s">
        <v>#N/A N/A</v>
        <stp/>
        <stp>BDP|11041649648081858596</stp>
        <tr r="AA112" s="3"/>
      </tp>
      <tp t="s">
        <v>#N/A N/A</v>
        <stp/>
        <stp>BDP|12051012079263360160</stp>
        <tr r="BU87" s="3"/>
      </tp>
      <tp t="s">
        <v>#N/A N/A</v>
        <stp/>
        <stp>BDP|16869749354311788225</stp>
        <tr r="AT103" s="3"/>
      </tp>
      <tp t="s">
        <v>#N/A N/A</v>
        <stp/>
        <stp>BDP|13291699882258309275</stp>
        <tr r="CB97" s="3"/>
      </tp>
      <tp t="s">
        <v>#N/A N/A</v>
        <stp/>
        <stp>BDP|12378429807369319897</stp>
        <tr r="BA92" s="3"/>
      </tp>
      <tp t="s">
        <v>#N/A N/A</v>
        <stp/>
        <stp>BDP|17409464634601987632</stp>
        <tr r="AE73" s="3"/>
      </tp>
      <tp t="s">
        <v>#N/A N/A</v>
        <stp/>
        <stp>BDP|12979106217244361116</stp>
        <tr r="AC103" s="3"/>
      </tp>
      <tp t="s">
        <v>#N/A N/A</v>
        <stp/>
        <stp>BDP|10939673411272390208</stp>
        <tr r="AO108" s="3"/>
      </tp>
      <tp t="s">
        <v>#N/A N/A</v>
        <stp/>
        <stp>BDP|17435690636505239051</stp>
        <tr r="AL88" s="3"/>
      </tp>
      <tp t="s">
        <v>#N/A N/A</v>
        <stp/>
        <stp>BDP|13344198289138805547</stp>
        <tr r="AE96" s="3"/>
      </tp>
      <tp t="s">
        <v>#N/A N/A</v>
        <stp/>
        <stp>BDP|12147203205810808736</stp>
        <tr r="AO87" s="3"/>
      </tp>
      <tp t="s">
        <v>#N/A N/A</v>
        <stp/>
        <stp>BDP|12788221967825593487</stp>
        <tr r="CK98" s="3"/>
      </tp>
      <tp t="s">
        <v>#N/A N/A</v>
        <stp/>
        <stp>BDP|12142751213997975419</stp>
        <tr r="AD100" s="3"/>
      </tp>
      <tp t="s">
        <v>#N/A N/A</v>
        <stp/>
        <stp>BDP|10932906675860282915</stp>
        <tr r="BM111" s="3"/>
      </tp>
      <tp t="s">
        <v>#N/A N/A</v>
        <stp/>
        <stp>BDP|15044166209973203034</stp>
        <tr r="BD74" s="3"/>
      </tp>
      <tp t="s">
        <v>#N/A N/A</v>
        <stp/>
        <stp>BDP|16656269974600204486</stp>
        <tr r="BG77" s="3"/>
      </tp>
      <tp t="s">
        <v>#N/A N/A</v>
        <stp/>
        <stp>BDP|12676063551750635090</stp>
        <tr r="W94" s="3"/>
      </tp>
      <tp t="s">
        <v>#N/A N/A</v>
        <stp/>
        <stp>BDP|13586736942861395698</stp>
        <tr r="BU106" s="3"/>
      </tp>
      <tp t="s">
        <v>#N/A N/A</v>
        <stp/>
        <stp>BDP|15156429123411232535</stp>
        <tr r="AZ102" s="3"/>
      </tp>
      <tp t="s">
        <v>#N/A N/A</v>
        <stp/>
        <stp>BDP|15014250094138763177</stp>
        <tr r="H94" s="3"/>
      </tp>
      <tp t="s">
        <v>#N/A N/A</v>
        <stp/>
        <stp>BDP|15683642722840261635</stp>
        <tr r="AS101" s="3"/>
      </tp>
      <tp t="s">
        <v>#N/A N/A</v>
        <stp/>
        <stp>BDP|11242323496618504427</stp>
        <tr r="Z89" s="3"/>
      </tp>
      <tp t="s">
        <v>#N/A N/A</v>
        <stp/>
        <stp>BDP|14362381406709826958</stp>
        <tr r="BK98" s="3"/>
      </tp>
      <tp t="s">
        <v>#N/A N/A</v>
        <stp/>
        <stp>BDP|15745536221797295275</stp>
        <tr r="BW98" s="3"/>
      </tp>
      <tp t="s">
        <v>#N/A N/A</v>
        <stp/>
        <stp>BDP|13700618745355326306</stp>
        <tr r="I112" s="3"/>
      </tp>
      <tp t="s">
        <v>#N/A N/A</v>
        <stp/>
        <stp>BDP|12597476261742750540</stp>
        <tr r="CB93" s="3"/>
      </tp>
      <tp t="s">
        <v>#N/A N/A</v>
        <stp/>
        <stp>BDP|14915308555684542199</stp>
        <tr r="BH113" s="3"/>
      </tp>
      <tp t="s">
        <v>#N/A N/A</v>
        <stp/>
        <stp>BDP|12942272492077400981</stp>
        <tr r="CJ87" s="3"/>
      </tp>
      <tp t="s">
        <v>#N/A N/A</v>
        <stp/>
        <stp>BDP|14320151939096732787</stp>
        <tr r="BS109" s="3"/>
      </tp>
      <tp t="s">
        <v>#N/A N/A</v>
        <stp/>
        <stp>BDP|17973800089196415641</stp>
        <tr r="AR100" s="3"/>
      </tp>
      <tp t="s">
        <v>#N/A N/A</v>
        <stp/>
        <stp>BDP|11540699321091883351</stp>
        <tr r="S90" s="3"/>
      </tp>
      <tp t="s">
        <v>#N/A N/A</v>
        <stp/>
        <stp>BDP|12534231576001531168</stp>
        <tr r="CF99" s="3"/>
      </tp>
      <tp t="s">
        <v>#N/A N/A</v>
        <stp/>
        <stp>BDP|13513863276963625806</stp>
        <tr r="AJ96" s="3"/>
      </tp>
      <tp t="s">
        <v>#N/A N/A</v>
        <stp/>
        <stp>BDP|15353353120970396368</stp>
        <tr r="F74" s="3"/>
      </tp>
      <tp t="s">
        <v>#N/A N/A</v>
        <stp/>
        <stp>BDP|12359328953501360223</stp>
        <tr r="BR91" s="3"/>
      </tp>
      <tp t="s">
        <v>#N/A N/A</v>
        <stp/>
        <stp>BDP|13133401276084240365</stp>
        <tr r="AY113" s="3"/>
      </tp>
      <tp t="s">
        <v>#N/A N/A</v>
        <stp/>
        <stp>BDP|10284262240109794803</stp>
        <tr r="CB90" s="3"/>
      </tp>
      <tp t="s">
        <v>#N/A N/A</v>
        <stp/>
        <stp>BDP|10870448028088322956</stp>
        <tr r="CG89" s="3"/>
      </tp>
      <tp t="s">
        <v>#N/A N/A</v>
        <stp/>
        <stp>BDP|16782906569288837645</stp>
        <tr r="AE113" s="3"/>
      </tp>
      <tp t="s">
        <v>#N/A N/A</v>
        <stp/>
        <stp>BDP|12526549004099765905</stp>
        <tr r="AH92" s="3"/>
      </tp>
      <tp t="s">
        <v>#N/A N/A</v>
        <stp/>
        <stp>BDP|15022734446851272056</stp>
        <tr r="AF90" s="3"/>
      </tp>
      <tp t="s">
        <v>#N/A N/A</v>
        <stp/>
        <stp>BDP|15571830191756584506</stp>
        <tr r="CB107" s="3"/>
      </tp>
      <tp t="s">
        <v>#N/A N/A</v>
        <stp/>
        <stp>BDP|13270436212650094112</stp>
        <tr r="BL92" s="3"/>
      </tp>
      <tp t="s">
        <v>#N/A N/A</v>
        <stp/>
        <stp>BDP|16586459672351602364</stp>
        <tr r="AY106" s="3"/>
      </tp>
      <tp t="s">
        <v>#N/A N/A</v>
        <stp/>
        <stp>BDP|11013547625307289666</stp>
        <tr r="CK107" s="3"/>
      </tp>
      <tp t="s">
        <v>#N/A N/A</v>
        <stp/>
        <stp>BDP|10999713228053245177</stp>
        <tr r="AZ92" s="3"/>
      </tp>
      <tp t="s">
        <v>#N/A N/A</v>
        <stp/>
        <stp>BDP|14486252601255631436</stp>
        <tr r="BC105" s="3"/>
      </tp>
      <tp t="s">
        <v>#N/A N/A</v>
        <stp/>
        <stp>BDP|13786154016986228234</stp>
        <tr r="BN100" s="3"/>
      </tp>
      <tp t="s">
        <v>#N/A N/A</v>
        <stp/>
        <stp>BDP|13829205139022069740</stp>
        <tr r="AP112" s="3"/>
      </tp>
      <tp t="s">
        <v>#N/A N/A</v>
        <stp/>
        <stp>BDP|16187690206934918320</stp>
        <tr r="Y89" s="3"/>
      </tp>
      <tp t="s">
        <v>#N/A N/A</v>
        <stp/>
        <stp>BDP|13062034754532177330</stp>
        <tr r="CI108" s="3"/>
      </tp>
      <tp t="s">
        <v>#N/A N/A</v>
        <stp/>
        <stp>BDP|12812858879449792362</stp>
        <tr r="CB74" s="3"/>
      </tp>
      <tp t="s">
        <v>#N/A N/A</v>
        <stp/>
        <stp>BDP|18261323746769449173</stp>
        <tr r="V99" s="3"/>
      </tp>
      <tp t="s">
        <v>#N/A N/A</v>
        <stp/>
        <stp>BDP|16094971090476223710</stp>
        <tr r="L103" s="3"/>
      </tp>
      <tp t="s">
        <v>#N/A N/A</v>
        <stp/>
        <stp>BDP|17209175314052283271</stp>
        <tr r="BB94" s="3"/>
      </tp>
      <tp t="s">
        <v>#N/A N/A</v>
        <stp/>
        <stp>BDP|11805273670644241792</stp>
        <tr r="BO92" s="3"/>
      </tp>
      <tp t="s">
        <v>#N/A N/A</v>
        <stp/>
        <stp>BDP|11370870747663071975</stp>
        <tr r="BB105" s="3"/>
      </tp>
      <tp t="s">
        <v>#N/A N/A</v>
        <stp/>
        <stp>BDP|12126517926794759655</stp>
        <tr r="AE77" s="3"/>
      </tp>
      <tp t="s">
        <v>#N/A N/A</v>
        <stp/>
        <stp>BDP|16086243213836038430</stp>
        <tr r="AH112" s="3"/>
      </tp>
      <tp t="s">
        <v>#N/A N/A</v>
        <stp/>
        <stp>BDP|12238592942297930347</stp>
        <tr r="BA90" s="3"/>
      </tp>
      <tp t="s">
        <v>#N/A N/A</v>
        <stp/>
        <stp>BDP|16534992343308848430</stp>
        <tr r="BG93" s="3"/>
      </tp>
      <tp t="s">
        <v>#N/A N/A</v>
        <stp/>
        <stp>BDP|10765631832857627549</stp>
        <tr r="AQ105" s="3"/>
      </tp>
      <tp t="s">
        <v>#N/A N/A</v>
        <stp/>
        <stp>BDP|13629414048611987512</stp>
        <tr r="BB95" s="3"/>
      </tp>
      <tp t="s">
        <v>#N/A N/A</v>
        <stp/>
        <stp>BDP|15570652593648414508</stp>
        <tr r="BL95" s="3"/>
      </tp>
      <tp t="s">
        <v>#N/A N/A</v>
        <stp/>
        <stp>BDP|11326368871702642057</stp>
        <tr r="AK105" s="3"/>
      </tp>
      <tp t="s">
        <v>#N/A N/A</v>
        <stp/>
        <stp>BDP|15991418063931403184</stp>
        <tr r="CB99" s="3"/>
      </tp>
      <tp t="s">
        <v>#N/A N/A</v>
        <stp/>
        <stp>BDP|16191105105718112826</stp>
        <tr r="BS111" s="3"/>
      </tp>
      <tp t="s">
        <v>#N/A N/A</v>
        <stp/>
        <stp>BDP|17630400657977500639</stp>
        <tr r="AG103" s="3"/>
      </tp>
      <tp t="s">
        <v>#N/A N/A</v>
        <stp/>
        <stp>BDP|10816324308286772227</stp>
        <tr r="T87" s="3"/>
      </tp>
      <tp t="s">
        <v>#N/A N/A</v>
        <stp/>
        <stp>BDP|15088202550227594227</stp>
        <tr r="AR103" s="3"/>
      </tp>
      <tp t="s">
        <v>#N/A N/A</v>
        <stp/>
        <stp>BDP|10205515119396495584</stp>
        <tr r="BN88" s="3"/>
      </tp>
      <tp t="s">
        <v>#N/A N/A</v>
        <stp/>
        <stp>BDP|10906982684104694252</stp>
        <tr r="L77" s="3"/>
      </tp>
      <tp t="s">
        <v>#N/A N/A</v>
        <stp/>
        <stp>BDP|14561862332969536126</stp>
        <tr r="AD102" s="3"/>
      </tp>
      <tp t="s">
        <v>#N/A N/A</v>
        <stp/>
        <stp>BDP|14653657683135607801</stp>
        <tr r="AU92" s="3"/>
      </tp>
      <tp t="s">
        <v>#N/A N/A</v>
        <stp/>
        <stp>BDP|16573637524506447300</stp>
        <tr r="BT106" s="3"/>
      </tp>
      <tp t="s">
        <v>#N/A N/A</v>
        <stp/>
        <stp>BDP|15050551324084549121</stp>
        <tr r="AY73" s="3"/>
      </tp>
      <tp t="s">
        <v>#N/A N/A</v>
        <stp/>
        <stp>BDP|14329677354310457023</stp>
        <tr r="BS99" s="3"/>
      </tp>
      <tp t="s">
        <v>#N/A N/A</v>
        <stp/>
        <stp>BDP|17562072625227852669</stp>
        <tr r="BQ97" s="3"/>
      </tp>
      <tp t="s">
        <v>#N/A N/A</v>
        <stp/>
        <stp>BDP|10830869161289374350</stp>
        <tr r="AF109" s="3"/>
      </tp>
      <tp t="s">
        <v>#N/A N/A</v>
        <stp/>
        <stp>BDP|14183110071665154396</stp>
        <tr r="AV77" s="3"/>
      </tp>
      <tp t="s">
        <v>#N/A N/A</v>
        <stp/>
        <stp>BDP|11524906071218974342</stp>
        <tr r="AJ95" s="3"/>
      </tp>
      <tp t="s">
        <v>#N/A N/A</v>
        <stp/>
        <stp>BDP|12955934219769840722</stp>
        <tr r="W106" s="3"/>
      </tp>
      <tp t="s">
        <v>#N/A N/A</v>
        <stp/>
        <stp>BDP|12523461679576392308</stp>
        <tr r="BN113" s="3"/>
      </tp>
      <tp t="s">
        <v>#N/A N/A</v>
        <stp/>
        <stp>BDP|10087347700943847456</stp>
        <tr r="M77" s="3"/>
      </tp>
      <tp t="s">
        <v>#N/A N/A</v>
        <stp/>
        <stp>BDP|13132339619284780144</stp>
        <tr r="AW103" s="3"/>
      </tp>
      <tp t="s">
        <v>#N/A N/A</v>
        <stp/>
        <stp>BDP|10198154453976591694</stp>
        <tr r="AR96" s="3"/>
      </tp>
      <tp t="s">
        <v>#N/A N/A</v>
        <stp/>
        <stp>BDP|14361015154307905249</stp>
        <tr r="BM95" s="3"/>
      </tp>
      <tp t="s">
        <v>#N/A N/A</v>
        <stp/>
        <stp>BDP|15101622520227811209</stp>
        <tr r="N99" s="3"/>
      </tp>
      <tp t="s">
        <v>#N/A N/A</v>
        <stp/>
        <stp>BDP|10402230744831171391</stp>
        <tr r="Y77" s="3"/>
      </tp>
      <tp t="s">
        <v>#N/A N/A</v>
        <stp/>
        <stp>BDP|17609626646315929409</stp>
        <tr r="BF77" s="3"/>
      </tp>
      <tp t="s">
        <v>#N/A N/A</v>
        <stp/>
        <stp>BDP|10990292179181794051</stp>
        <tr r="AS90" s="3"/>
      </tp>
      <tp t="s">
        <v>#N/A N/A</v>
        <stp/>
        <stp>BDP|10073440233490817343</stp>
        <tr r="BQ101" s="3"/>
      </tp>
      <tp t="s">
        <v>#N/A N/A</v>
        <stp/>
        <stp>BDP|16465499058857690489</stp>
        <tr r="BX97" s="3"/>
      </tp>
      <tp t="s">
        <v>#N/A N/A</v>
        <stp/>
        <stp>BDP|11133879455138883019</stp>
        <tr r="AM103" s="3"/>
      </tp>
      <tp t="s">
        <v>#N/A N/A</v>
        <stp/>
        <stp>BDP|16343194907176581520</stp>
        <tr r="X89" s="3"/>
      </tp>
      <tp t="s">
        <v>#N/A N/A</v>
        <stp/>
        <stp>BDP|14262428439657162027</stp>
        <tr r="Z110" s="3"/>
      </tp>
      <tp t="s">
        <v>#N/A N/A</v>
        <stp/>
        <stp>BDP|13985770026844722651</stp>
        <tr r="BG110" s="3"/>
      </tp>
      <tp t="s">
        <v>#N/A N/A</v>
        <stp/>
        <stp>BDP|11235524642865873176</stp>
        <tr r="BQ93" s="3"/>
      </tp>
      <tp t="s">
        <v>#N/A N/A</v>
        <stp/>
        <stp>BDP|14109037047322190690</stp>
        <tr r="X77" s="3"/>
      </tp>
      <tp t="s">
        <v>#N/A N/A</v>
        <stp/>
        <stp>BDP|15357106419997798600</stp>
        <tr r="N93" s="3"/>
      </tp>
      <tp t="s">
        <v>#N/A N/A</v>
        <stp/>
        <stp>BDP|18180041839246764972</stp>
        <tr r="BQ77" s="3"/>
      </tp>
      <tp t="s">
        <v>#N/A N/A</v>
        <stp/>
        <stp>BDP|14868173620580682355</stp>
        <tr r="CI74" s="3"/>
      </tp>
      <tp t="s">
        <v>#N/A N/A</v>
        <stp/>
        <stp>BDP|17794694456739592916</stp>
        <tr r="BO74" s="3"/>
      </tp>
      <tp t="s">
        <v>#N/A N/A</v>
        <stp/>
        <stp>BDP|11627792727127112755</stp>
        <tr r="BG109" s="3"/>
      </tp>
      <tp t="s">
        <v>#N/A N/A</v>
        <stp/>
        <stp>BDP|16812514667196985787</stp>
        <tr r="F90" s="3"/>
      </tp>
      <tp t="s">
        <v>#N/A N/A</v>
        <stp/>
        <stp>BDP|12022514680933813865</stp>
        <tr r="BQ73" s="3"/>
      </tp>
      <tp t="s">
        <v>#N/A N/A</v>
        <stp/>
        <stp>BDP|10101998472173772922</stp>
        <tr r="U107" s="3"/>
      </tp>
      <tp t="s">
        <v>#N/A N/A</v>
        <stp/>
        <stp>BDP|15146097906284546544</stp>
        <tr r="BJ90" s="3"/>
      </tp>
      <tp t="s">
        <v>#N/A N/A</v>
        <stp/>
        <stp>BDP|10629490614387613620</stp>
        <tr r="BM76" s="3"/>
      </tp>
      <tp t="s">
        <v>#N/A N/A</v>
        <stp/>
        <stp>BDP|11853005387694846984</stp>
        <tr r="CE105" s="3"/>
      </tp>
      <tp t="s">
        <v>#N/A N/A</v>
        <stp/>
        <stp>BDP|14118626711232943559</stp>
        <tr r="CF88" s="3"/>
      </tp>
      <tp t="s">
        <v>#N/A N/A</v>
        <stp/>
        <stp>BDP|17699815949037425841</stp>
        <tr r="BD106" s="3"/>
      </tp>
      <tp t="s">
        <v>#N/A N/A</v>
        <stp/>
        <stp>BDP|10071310311614991277</stp>
        <tr r="AJ112" s="3"/>
      </tp>
      <tp t="s">
        <v>#N/A N/A</v>
        <stp/>
        <stp>BDP|14872078277390607701</stp>
        <tr r="AY108" s="3"/>
      </tp>
      <tp t="s">
        <v>#N/A N/A</v>
        <stp/>
        <stp>BDP|16314245464731569789</stp>
        <tr r="AV85" s="3"/>
      </tp>
      <tp t="s">
        <v>#N/A N/A</v>
        <stp/>
        <stp>BDP|11535662637493240381</stp>
        <tr r="F103" s="3"/>
      </tp>
      <tp t="s">
        <v>#N/A N/A</v>
        <stp/>
        <stp>BDP|11521864382040606590</stp>
        <tr r="BT75" s="3"/>
      </tp>
      <tp t="s">
        <v>#N/A N/A</v>
        <stp/>
        <stp>BDP|15278232249766207147</stp>
        <tr r="BM103" s="3"/>
      </tp>
      <tp t="s">
        <v>#N/A N/A</v>
        <stp/>
        <stp>BDP|11363441332836992423</stp>
        <tr r="BO85" s="3"/>
      </tp>
      <tp t="s">
        <v>#N/A N/A</v>
        <stp/>
        <stp>BDP|16509625772554423708</stp>
        <tr r="BI74" s="3"/>
      </tp>
      <tp t="s">
        <v>#N/A N/A</v>
        <stp/>
        <stp>BDP|10088722567315130057</stp>
        <tr r="AA108" s="3"/>
      </tp>
      <tp t="s">
        <v>#N/A N/A</v>
        <stp/>
        <stp>BDP|18230584029812766955</stp>
        <tr r="CI85" s="3"/>
      </tp>
      <tp t="s">
        <v>#N/A N/A</v>
        <stp/>
        <stp>BDP|16068145324410640170</stp>
        <tr r="BQ110" s="3"/>
      </tp>
      <tp t="s">
        <v>#N/A N/A</v>
        <stp/>
        <stp>BDP|15958684030940698463</stp>
        <tr r="Z74" s="3"/>
      </tp>
      <tp t="s">
        <v>#N/A N/A</v>
        <stp/>
        <stp>BDP|18400983786184913922</stp>
        <tr r="BF102" s="3"/>
      </tp>
      <tp t="s">
        <v>#N/A N/A</v>
        <stp/>
        <stp>BDP|11736142820482220406</stp>
        <tr r="H99" s="3"/>
      </tp>
      <tp t="s">
        <v>#N/A N/A</v>
        <stp/>
        <stp>BDP|17079431604241277644</stp>
        <tr r="CA94" s="3"/>
      </tp>
      <tp t="s">
        <v>#N/A N/A</v>
        <stp/>
        <stp>BDP|10002164334490717647</stp>
        <tr r="H102" s="3"/>
      </tp>
      <tp t="s">
        <v>#N/A N/A</v>
        <stp/>
        <stp>BDP|18014470634428193339</stp>
        <tr r="BN73" s="3"/>
      </tp>
      <tp t="s">
        <v>#N/A N/A</v>
        <stp/>
        <stp>BDP|12854147576200235097</stp>
        <tr r="AM90" s="3"/>
      </tp>
      <tp t="s">
        <v>#N/A N/A</v>
        <stp/>
        <stp>BDP|10242673757746696146</stp>
        <tr r="V98" s="3"/>
      </tp>
      <tp t="s">
        <v>#N/A N/A</v>
        <stp/>
        <stp>BDP|11657978703015607942</stp>
        <tr r="BA111" s="3"/>
      </tp>
      <tp t="s">
        <v>#N/A N/A</v>
        <stp/>
        <stp>BDP|14518769324087177261</stp>
        <tr r="CI100" s="3"/>
      </tp>
      <tp t="s">
        <v>#N/A N/A</v>
        <stp/>
        <stp>BDP|15537261694823751902</stp>
        <tr r="AP73" s="3"/>
      </tp>
      <tp t="s">
        <v>#N/A N/A</v>
        <stp/>
        <stp>BDP|10023415474253055452</stp>
        <tr r="AB88" s="3"/>
      </tp>
      <tp t="s">
        <v>#N/A N/A</v>
        <stp/>
        <stp>BDP|12993057164477166798</stp>
        <tr r="AP87" s="3"/>
      </tp>
      <tp t="s">
        <v>#N/A N/A</v>
        <stp/>
        <stp>BDP|16152718272805237739</stp>
        <tr r="BC93" s="3"/>
      </tp>
      <tp t="s">
        <v>#N/A N/A</v>
        <stp/>
        <stp>BDP|17863991190225736655</stp>
        <tr r="F113" s="3"/>
      </tp>
      <tp t="s">
        <v>#N/A N/A</v>
        <stp/>
        <stp>BDP|14620955191400155006</stp>
        <tr r="AV94" s="3"/>
      </tp>
      <tp t="s">
        <v>#N/A N/A</v>
        <stp/>
        <stp>BDP|11589496428684427721</stp>
        <tr r="BA96" s="3"/>
      </tp>
      <tp t="s">
        <v>#N/A N/A</v>
        <stp/>
        <stp>BDP|11242468933481113347</stp>
        <tr r="BN105" s="3"/>
      </tp>
      <tp t="s">
        <v>#N/A N/A</v>
        <stp/>
        <stp>BDP|10484920555731349929</stp>
        <tr r="AI98" s="3"/>
      </tp>
      <tp t="s">
        <v>#N/A N/A</v>
        <stp/>
        <stp>BDP|18362267514217472874</stp>
        <tr r="AV101" s="3"/>
      </tp>
      <tp t="s">
        <v>#N/A N/A</v>
        <stp/>
        <stp>BDP|13621854886386489146</stp>
        <tr r="CD109" s="3"/>
      </tp>
      <tp t="s">
        <v>#N/A N/A</v>
        <stp/>
        <stp>BDP|10681881767012481888</stp>
        <tr r="AT74" s="3"/>
      </tp>
      <tp t="s">
        <v>#N/A N/A</v>
        <stp/>
        <stp>BDP|16398975428940011998</stp>
        <tr r="AW102" s="3"/>
      </tp>
      <tp t="s">
        <v>#N/A N/A</v>
        <stp/>
        <stp>BDP|11817538902851912157</stp>
        <tr r="BY105" s="3"/>
      </tp>
      <tp t="s">
        <v>#N/A N/A</v>
        <stp/>
        <stp>BDP|12029737570844709218</stp>
        <tr r="I93" s="3"/>
      </tp>
      <tp t="s">
        <v>#N/A N/A</v>
        <stp/>
        <stp>BDP|16998192224275085409</stp>
        <tr r="W97" s="3"/>
      </tp>
      <tp t="s">
        <v>#N/A N/A</v>
        <stp/>
        <stp>BDP|17353143633892561359</stp>
        <tr r="AR106" s="3"/>
      </tp>
      <tp t="s">
        <v>#N/A N/A</v>
        <stp/>
        <stp>BDP|15139963579487215885</stp>
        <tr r="BV77" s="3"/>
      </tp>
      <tp t="s">
        <v>#N/A N/A</v>
        <stp/>
        <stp>BDP|13239487717113929100</stp>
        <tr r="AP98" s="3"/>
      </tp>
      <tp t="s">
        <v>#N/A N/A</v>
        <stp/>
        <stp>BDP|15223339058354863358</stp>
        <tr r="AA98" s="3"/>
      </tp>
      <tp t="s">
        <v>#N/A N/A</v>
        <stp/>
        <stp>BDP|17327436007174487347</stp>
        <tr r="F111" s="3"/>
      </tp>
      <tp t="s">
        <v>#N/A N/A</v>
        <stp/>
        <stp>BDP|15118998296399937800</stp>
        <tr r="BO104" s="3"/>
      </tp>
      <tp t="s">
        <v>#N/A N/A</v>
        <stp/>
        <stp>BDP|10565709393643178906</stp>
        <tr r="AE111" s="3"/>
      </tp>
      <tp t="s">
        <v>#N/A N/A</v>
        <stp/>
        <stp>BDP|13200675293189950189</stp>
        <tr r="S111" s="3"/>
      </tp>
      <tp t="s">
        <v>#N/A N/A</v>
        <stp/>
        <stp>BDP|14554586089469185421</stp>
        <tr r="AN100" s="3"/>
      </tp>
      <tp t="s">
        <v>#N/A N/A</v>
        <stp/>
        <stp>BDP|17773062500855488628</stp>
        <tr r="AV110" s="3"/>
      </tp>
      <tp t="s">
        <v>#N/A N/A</v>
        <stp/>
        <stp>BDP|12493136131581701568</stp>
        <tr r="AW96" s="3"/>
      </tp>
      <tp t="s">
        <v>#N/A N/A</v>
        <stp/>
        <stp>BDP|13229323154133602250</stp>
        <tr r="CE100" s="3"/>
      </tp>
      <tp t="s">
        <v>#N/A N/A</v>
        <stp/>
        <stp>BDP|15816078163593233498</stp>
        <tr r="CG102" s="3"/>
      </tp>
      <tp t="s">
        <v>#N/A N/A</v>
        <stp/>
        <stp>BDP|12455100282678214736</stp>
        <tr r="T113" s="3"/>
      </tp>
      <tp t="s">
        <v>#N/A N/A</v>
        <stp/>
        <stp>BDP|13328435124943674243</stp>
        <tr r="BW111" s="3"/>
      </tp>
      <tp t="s">
        <v>#N/A N/A</v>
        <stp/>
        <stp>BDP|11082734286569140325</stp>
        <tr r="AZ89" s="3"/>
      </tp>
      <tp t="s">
        <v>#N/A N/A</v>
        <stp/>
        <stp>BDP|16236943191301338326</stp>
        <tr r="BQ95" s="3"/>
      </tp>
      <tp t="s">
        <v>#N/A N/A</v>
        <stp/>
        <stp>BDP|14544575838673599598</stp>
        <tr r="J91" s="3"/>
      </tp>
      <tp t="s">
        <v>#N/A N/A</v>
        <stp/>
        <stp>BDP|13232072367238128954</stp>
        <tr r="AM73" s="3"/>
      </tp>
      <tp t="s">
        <v>#N/A N/A</v>
        <stp/>
        <stp>BDH|17313594151124008725</stp>
        <tr r="C134" s="3"/>
        <tr r="C126" s="3"/>
      </tp>
      <tp t="s">
        <v>#N/A N/A</v>
        <stp/>
        <stp>BDP|13455810844152070889</stp>
        <tr r="AG113" s="3"/>
      </tp>
      <tp t="s">
        <v>#N/A N/A</v>
        <stp/>
        <stp>BDP|11791854037727840846</stp>
        <tr r="BQ75" s="3"/>
      </tp>
      <tp t="s">
        <v>#N/A N/A</v>
        <stp/>
        <stp>BDP|13063284320894519244</stp>
        <tr r="U87" s="3"/>
      </tp>
      <tp t="s">
        <v>#N/A N/A</v>
        <stp/>
        <stp>BDP|13947016716826677111</stp>
        <tr r="CD108" s="3"/>
      </tp>
      <tp t="s">
        <v>#N/A N/A</v>
        <stp/>
        <stp>BDP|12817535430890729152</stp>
        <tr r="T107" s="3"/>
      </tp>
      <tp t="s">
        <v>#N/A N/A</v>
        <stp/>
        <stp>BDP|11993898854689804055</stp>
        <tr r="BO76" s="3"/>
      </tp>
      <tp t="s">
        <v>#N/A N/A</v>
        <stp/>
        <stp>BDP|13230345435001377790</stp>
        <tr r="BY108" s="3"/>
      </tp>
      <tp t="s">
        <v>#N/A N/A</v>
        <stp/>
        <stp>BDP|12740034312693663597</stp>
        <tr r="BY85" s="3"/>
      </tp>
      <tp t="s">
        <v>#N/A N/A</v>
        <stp/>
        <stp>BDP|14634960738809875285</stp>
        <tr r="J99" s="3"/>
      </tp>
      <tp t="s">
        <v>#N/A N/A</v>
        <stp/>
        <stp>BDP|15281227458156320135</stp>
        <tr r="BI96" s="3"/>
      </tp>
      <tp t="s">
        <v>#N/A N/A</v>
        <stp/>
        <stp>BDP|17730398642124785131</stp>
        <tr r="AL95" s="3"/>
      </tp>
      <tp t="s">
        <v>#N/A N/A</v>
        <stp/>
        <stp>BDP|10554055529744067311</stp>
        <tr r="CD102" s="3"/>
      </tp>
      <tp t="s">
        <v>#N/A N/A</v>
        <stp/>
        <stp>BDP|12123765600934685491</stp>
        <tr r="BZ94" s="3"/>
      </tp>
      <tp t="s">
        <v>#N/A N/A</v>
        <stp/>
        <stp>BDP|10632967129227749967</stp>
        <tr r="L99" s="3"/>
      </tp>
      <tp t="s">
        <v>#N/A N/A</v>
        <stp/>
        <stp>BDP|16804737243484088430</stp>
        <tr r="P92" s="3"/>
      </tp>
      <tp t="s">
        <v>#N/A N/A</v>
        <stp/>
        <stp>BDP|16408343735944828763</stp>
        <tr r="AQ110" s="3"/>
      </tp>
      <tp t="s">
        <v>#N/A N/A</v>
        <stp/>
        <stp>BDP|16104350128725623711</stp>
        <tr r="CJ77" s="3"/>
      </tp>
      <tp t="s">
        <v>#N/A N/A</v>
        <stp/>
        <stp>BDP|11730087434525799262</stp>
        <tr r="U106" s="3"/>
      </tp>
      <tp t="s">
        <v>#N/A N/A</v>
        <stp/>
        <stp>BDP|14531892020793597830</stp>
        <tr r="BO108" s="3"/>
      </tp>
      <tp t="s">
        <v>#N/A N/A</v>
        <stp/>
        <stp>BDP|11912358446110559353</stp>
        <tr r="AM89" s="3"/>
      </tp>
      <tp t="s">
        <v>#N/A N/A</v>
        <stp/>
        <stp>BDP|12869362857394619555</stp>
        <tr r="AC95" s="3"/>
      </tp>
      <tp t="s">
        <v>#N/A N/A</v>
        <stp/>
        <stp>BDP|11153665918233525002</stp>
        <tr r="AF112" s="3"/>
      </tp>
      <tp t="s">
        <v>#N/A N/A</v>
        <stp/>
        <stp>BDP|12461275179746803486</stp>
        <tr r="Z95" s="3"/>
      </tp>
      <tp t="s">
        <v>#N/A N/A</v>
        <stp/>
        <stp>BDP|14496355468941796548</stp>
        <tr r="AO110" s="3"/>
      </tp>
      <tp t="s">
        <v>#N/A N/A</v>
        <stp/>
        <stp>BDP|17991256015439055845</stp>
        <tr r="AM96" s="3"/>
      </tp>
      <tp t="s">
        <v>#N/A N/A</v>
        <stp/>
        <stp>BDP|10329417696720986810</stp>
        <tr r="BJ107" s="3"/>
      </tp>
      <tp t="s">
        <v>#N/A N/A</v>
        <stp/>
        <stp>BDP|15294093942107454311</stp>
        <tr r="AJ110" s="3"/>
      </tp>
      <tp t="s">
        <v>#N/A N/A</v>
        <stp/>
        <stp>BDP|12325207204690929522</stp>
        <tr r="AQ92" s="3"/>
      </tp>
      <tp t="s">
        <v>#N/A N/A</v>
        <stp/>
        <stp>BDP|13783433952071946602</stp>
        <tr r="BZ76" s="3"/>
      </tp>
      <tp t="s">
        <v>#N/A N/A</v>
        <stp/>
        <stp>BDP|13819045376419648836</stp>
        <tr r="BG108" s="3"/>
      </tp>
      <tp t="s">
        <v>#N/A N/A</v>
        <stp/>
        <stp>BDP|16479264208347186651</stp>
        <tr r="AY92" s="3"/>
      </tp>
      <tp t="s">
        <v>#N/A N/A</v>
        <stp/>
        <stp>BDP|17312232029046125469</stp>
        <tr r="CH104" s="3"/>
      </tp>
      <tp t="s">
        <v>#N/A N/A</v>
        <stp/>
        <stp>BDP|17920337151783687735</stp>
        <tr r="BY89" s="3"/>
      </tp>
      <tp t="s">
        <v>#N/A N/A</v>
        <stp/>
        <stp>BDP|12988055072043450345</stp>
        <tr r="AK89" s="3"/>
      </tp>
      <tp t="s">
        <v>#N/A N/A</v>
        <stp/>
        <stp>BDP|18159285485857529076</stp>
        <tr r="K113" s="3"/>
      </tp>
      <tp t="s">
        <v>#N/A N/A</v>
        <stp/>
        <stp>BDP|13661322434445889369</stp>
        <tr r="AV111" s="3"/>
      </tp>
      <tp t="s">
        <v>#N/A N/A</v>
        <stp/>
        <stp>BDP|16996698636023105590</stp>
        <tr r="AX111" s="3"/>
      </tp>
      <tp t="s">
        <v>#N/A N/A</v>
        <stp/>
        <stp>BDP|15989772137637644318</stp>
        <tr r="AB73" s="3"/>
      </tp>
      <tp t="s">
        <v>#N/A N/A</v>
        <stp/>
        <stp>BDP|17406764938422092449</stp>
        <tr r="AI104" s="3"/>
      </tp>
      <tp t="s">
        <v>#N/A N/A</v>
        <stp/>
        <stp>BDP|15051878189271889181</stp>
        <tr r="AJ73" s="3"/>
      </tp>
      <tp t="s">
        <v>#N/A N/A</v>
        <stp/>
        <stp>BDP|10792879481116603395</stp>
        <tr r="AU74" s="3"/>
      </tp>
      <tp t="s">
        <v>#N/A N/A</v>
        <stp/>
        <stp>BDP|10851271176526744601</stp>
        <tr r="AS112" s="3"/>
      </tp>
      <tp t="s">
        <v>#N/A N/A</v>
        <stp/>
        <stp>BDP|16315068305325686686</stp>
        <tr r="CF100" s="3"/>
      </tp>
      <tp t="s">
        <v>#N/A N/A</v>
        <stp/>
        <stp>BDP|14926210169565357038</stp>
        <tr r="AJ99" s="3"/>
      </tp>
      <tp t="s">
        <v>#N/A N/A</v>
        <stp/>
        <stp>BDP|10981081484778724535</stp>
        <tr r="AC94" s="3"/>
      </tp>
      <tp t="s">
        <v>#N/A N/A</v>
        <stp/>
        <stp>BDP|15706349317244539607</stp>
        <tr r="J94" s="3"/>
      </tp>
      <tp t="s">
        <v>#N/A N/A</v>
        <stp/>
        <stp>BDP|15333250437972012307</stp>
        <tr r="P77" s="3"/>
      </tp>
      <tp t="s">
        <v>#N/A N/A</v>
        <stp/>
        <stp>BDP|13078650129020547281</stp>
        <tr r="CB113" s="3"/>
      </tp>
      <tp t="s">
        <v>#N/A N/A</v>
        <stp/>
        <stp>BDP|13423856566968475028</stp>
        <tr r="CH96" s="3"/>
      </tp>
      <tp t="s">
        <v>#N/A N/A</v>
        <stp/>
        <stp>BDP|10855834565708913365</stp>
        <tr r="G75" s="3"/>
      </tp>
      <tp t="s">
        <v>#N/A N/A</v>
        <stp/>
        <stp>BDP|17061360958804671099</stp>
        <tr r="BH89" s="3"/>
      </tp>
      <tp t="s">
        <v>#N/A N/A</v>
        <stp/>
        <stp>BDP|10816167179145338652</stp>
        <tr r="M87" s="3"/>
      </tp>
      <tp t="s">
        <v>#N/A N/A</v>
        <stp/>
        <stp>BDP|16319533087608102671</stp>
        <tr r="BS98" s="3"/>
      </tp>
      <tp t="s">
        <v>#N/A N/A</v>
        <stp/>
        <stp>BDP|13316277400725167142</stp>
        <tr r="H89" s="3"/>
      </tp>
      <tp t="s">
        <v>#N/A N/A</v>
        <stp/>
        <stp>BDP|12695565903485774744</stp>
        <tr r="AR76" s="3"/>
      </tp>
      <tp t="s">
        <v>#N/A N/A</v>
        <stp/>
        <stp>BDP|12775608184131531865</stp>
        <tr r="BT102" s="3"/>
      </tp>
      <tp t="s">
        <v>#N/A N/A</v>
        <stp/>
        <stp>BDP|18045158547971088922</stp>
        <tr r="BW89" s="3"/>
      </tp>
      <tp t="s">
        <v>#N/A N/A</v>
        <stp/>
        <stp>BDP|15183507960291635270</stp>
        <tr r="BM99" s="3"/>
      </tp>
      <tp t="s">
        <v>#N/A N/A</v>
        <stp/>
        <stp>BDP|14724117610779671808</stp>
        <tr r="AQ101" s="3"/>
      </tp>
      <tp t="s">
        <v>#N/A N/A</v>
        <stp/>
        <stp>BDP|14300466157477451761</stp>
        <tr r="BJ111" s="3"/>
      </tp>
      <tp t="s">
        <v>#N/A N/A</v>
        <stp/>
        <stp>BDP|12090587064824850047</stp>
        <tr r="AH111" s="3"/>
      </tp>
      <tp t="s">
        <v>#N/A N/A</v>
        <stp/>
        <stp>BDP|10788529543084229079</stp>
        <tr r="BU104" s="3"/>
      </tp>
      <tp t="s">
        <v>#N/A N/A</v>
        <stp/>
        <stp>BDP|12170671414947741762</stp>
        <tr r="AI109" s="3"/>
      </tp>
      <tp t="s">
        <v>#N/A N/A</v>
        <stp/>
        <stp>BDP|14646468043308153915</stp>
        <tr r="AQ112" s="3"/>
      </tp>
      <tp t="s">
        <v>#N/A N/A</v>
        <stp/>
        <stp>BDP|10212976151461659818</stp>
        <tr r="AH75" s="3"/>
      </tp>
      <tp t="s">
        <v>#N/A N/A</v>
        <stp/>
        <stp>BDP|13691341843933777256</stp>
        <tr r="AX104" s="3"/>
      </tp>
      <tp t="s">
        <v>#N/A N/A</v>
        <stp/>
        <stp>BDP|10865905481214395098</stp>
        <tr r="AO113" s="3"/>
      </tp>
      <tp t="s">
        <v>#N/A N/A</v>
        <stp/>
        <stp>BDP|12808883181972072528</stp>
        <tr r="BS85" s="3"/>
      </tp>
      <tp t="s">
        <v>#N/A N/A</v>
        <stp/>
        <stp>BDP|16486559920225414178</stp>
        <tr r="AB97" s="3"/>
      </tp>
      <tp t="s">
        <v>#N/A N/A</v>
        <stp/>
        <stp>BDP|12640578037108654922</stp>
        <tr r="Y96" s="3"/>
      </tp>
      <tp t="s">
        <v>#N/A N/A</v>
        <stp/>
        <stp>BDP|16017515068848848837</stp>
        <tr r="AM93" s="3"/>
      </tp>
      <tp t="s">
        <v>#N/A N/A</v>
        <stp/>
        <stp>BDP|10044722050507581058</stp>
        <tr r="AJ111" s="3"/>
      </tp>
      <tp t="s">
        <v>#N/A N/A</v>
        <stp/>
        <stp>BDP|16907785249071273183</stp>
        <tr r="T110" s="3"/>
      </tp>
      <tp t="s">
        <v>#N/A N/A</v>
        <stp/>
        <stp>BDP|11007546906060002102</stp>
        <tr r="Q103" s="3"/>
      </tp>
      <tp t="s">
        <v>#N/A N/A</v>
        <stp/>
        <stp>BDP|14365651361247038652</stp>
        <tr r="AC88" s="3"/>
      </tp>
      <tp t="s">
        <v>#N/A N/A</v>
        <stp/>
        <stp>BDP|17296352944767651200</stp>
        <tr r="AV90" s="3"/>
      </tp>
      <tp t="s">
        <v>#N/A N/A</v>
        <stp/>
        <stp>BDP|16304740952786591757</stp>
        <tr r="BN109" s="3"/>
      </tp>
      <tp t="s">
        <v>#N/A N/A</v>
        <stp/>
        <stp>BDP|17726368664657931096</stp>
        <tr r="W113" s="3"/>
      </tp>
      <tp t="s">
        <v>#N/A N/A</v>
        <stp/>
        <stp>BDP|13287263860424534642</stp>
        <tr r="AV96" s="3"/>
      </tp>
      <tp t="s">
        <v>#N/A N/A</v>
        <stp/>
        <stp>BDP|12607296835610761685</stp>
        <tr r="O75" s="3"/>
      </tp>
      <tp t="s">
        <v>#N/A N/A</v>
        <stp/>
        <stp>BDP|18363740195461424230</stp>
        <tr r="BW103" s="3"/>
      </tp>
      <tp t="s">
        <v>#N/A N/A</v>
        <stp/>
        <stp>BDP|14229727456386090524</stp>
        <tr r="BX77" s="3"/>
      </tp>
      <tp t="s">
        <v>#N/A N/A</v>
        <stp/>
        <stp>BDP|12398573383588231216</stp>
        <tr r="AP107" s="3"/>
      </tp>
      <tp t="s">
        <v>#N/A N/A</v>
        <stp/>
        <stp>BDP|13489410055207229061</stp>
        <tr r="AU100" s="3"/>
      </tp>
      <tp t="s">
        <v>#N/A N/A</v>
        <stp/>
        <stp>BDP|10766164810182246778</stp>
        <tr r="R85" s="3"/>
      </tp>
      <tp t="s">
        <v>#N/A N/A</v>
        <stp/>
        <stp>BDP|11825481163411038779</stp>
        <tr r="H98" s="3"/>
      </tp>
      <tp t="s">
        <v>#N/A N/A</v>
        <stp/>
        <stp>BDP|18233148084897601302</stp>
        <tr r="BN102" s="3"/>
      </tp>
      <tp t="s">
        <v>#N/A N/A</v>
        <stp/>
        <stp>BDP|12278462937809443938</stp>
        <tr r="AB106" s="3"/>
      </tp>
      <tp t="s">
        <v>#N/A N/A</v>
        <stp/>
        <stp>BDP|11189016025443332529</stp>
        <tr r="W93" s="3"/>
      </tp>
      <tp t="s">
        <v>#N/A N/A</v>
        <stp/>
        <stp>BDP|11019737728634838577</stp>
        <tr r="BL105" s="3"/>
      </tp>
      <tp t="s">
        <v>#N/A N/A</v>
        <stp/>
        <stp>BDP|13372287758286508726</stp>
        <tr r="AL76" s="3"/>
      </tp>
      <tp t="s">
        <v>#N/A N/A</v>
        <stp/>
        <stp>BDP|14449598726067541193</stp>
        <tr r="AJ102" s="3"/>
      </tp>
      <tp t="s">
        <v>#N/A N/A</v>
        <stp/>
        <stp>BDP|13716368126073312433</stp>
        <tr r="AD73" s="3"/>
      </tp>
      <tp t="s">
        <v>#N/A N/A</v>
        <stp/>
        <stp>BDP|14206579184185634908</stp>
        <tr r="CA105" s="3"/>
      </tp>
      <tp t="s">
        <v>#N/A N/A</v>
        <stp/>
        <stp>BDP|16587621237520642619</stp>
        <tr r="AX105" s="3"/>
      </tp>
      <tp t="s">
        <v>#N/A N/A</v>
        <stp/>
        <stp>BDP|18132851600313065637</stp>
        <tr r="U85" s="3"/>
      </tp>
      <tp t="s">
        <v>#N/A N/A</v>
        <stp/>
        <stp>BDP|16746675524093077431</stp>
        <tr r="M109" s="3"/>
      </tp>
      <tp t="s">
        <v>#N/A N/A</v>
        <stp/>
        <stp>BDP|12593720542652284601</stp>
        <tr r="AM97" s="3"/>
      </tp>
      <tp t="s">
        <v>#N/A N/A</v>
        <stp/>
        <stp>BDP|13788743244435690063</stp>
        <tr r="N102" s="3"/>
      </tp>
      <tp t="s">
        <v>#N/A N/A</v>
        <stp/>
        <stp>BDP|12448019822860372537</stp>
        <tr r="CE76" s="3"/>
      </tp>
      <tp t="s">
        <v>#N/A N/A</v>
        <stp/>
        <stp>BDP|16248269746515781024</stp>
        <tr r="K106" s="3"/>
      </tp>
      <tp t="s">
        <v>#N/A N/A</v>
        <stp/>
        <stp>BDP|11981126059468037845</stp>
        <tr r="BD87" s="3"/>
      </tp>
      <tp t="s">
        <v>#N/A N/A</v>
        <stp/>
        <stp>BDP|15441628102577506178</stp>
        <tr r="CD89" s="3"/>
      </tp>
      <tp t="s">
        <v>#N/A N/A</v>
        <stp/>
        <stp>BDP|17676442763563455334</stp>
        <tr r="BT99" s="3"/>
      </tp>
      <tp t="s">
        <v>#N/A N/A</v>
        <stp/>
        <stp>BDH|12073369967582931072</stp>
        <tr r="F83" s="3"/>
      </tp>
    </main>
    <main first="bofaddin.rtdserver">
      <tp t="s">
        <v>#N/A N/A</v>
        <stp/>
        <stp>BDP|8382854619867548</stp>
        <tr r="CA76" s="3"/>
      </tp>
    </main>
    <main first="bloomberg.ccyreader">
      <tp>
        <v>0</v>
        <stp/>
        <stp>#track</stp>
        <stp>DBG</stp>
        <stp>BIHITX</stp>
        <stp>1.0</stp>
        <stp>RepeatHit</stp>
        <tr r="A63" s="3"/>
      </tp>
    </main>
    <main first="bofaddin.rtdserver">
      <tp t="s">
        <v>#N/A N/A</v>
        <stp/>
        <stp>BDP|2609758224463212</stp>
        <tr r="R110" s="3"/>
      </tp>
      <tp t="s">
        <v>#N/A N/A</v>
        <stp/>
        <stp>BDP|1377017365863921840</stp>
        <tr r="BR106" s="3"/>
      </tp>
      <tp t="s">
        <v>#N/A N/A</v>
        <stp/>
        <stp>BDP|2500111947832830916</stp>
        <tr r="AM88" s="3"/>
      </tp>
      <tp t="s">
        <v>#N/A N/A</v>
        <stp/>
        <stp>BDP|8335524099828191029</stp>
        <tr r="Z109" s="3"/>
      </tp>
      <tp t="s">
        <v>#N/A N/A</v>
        <stp/>
        <stp>BDP|9659689270117525300</stp>
        <tr r="AN101" s="3"/>
      </tp>
      <tp t="s">
        <v>#N/A N/A</v>
        <stp/>
        <stp>BDP|6709439858942725903</stp>
        <tr r="BE97" s="3"/>
      </tp>
      <tp t="s">
        <v>#N/A N/A</v>
        <stp/>
        <stp>BDP|8270309456362712089</stp>
        <tr r="BD100" s="3"/>
      </tp>
      <tp t="s">
        <v>#N/A N/A</v>
        <stp/>
        <stp>BDP|2512546878788121434</stp>
        <tr r="P87" s="3"/>
      </tp>
      <tp t="s">
        <v>#N/A N/A</v>
        <stp/>
        <stp>BDP|6579551475200491893</stp>
        <tr r="Q89" s="3"/>
      </tp>
      <tp t="s">
        <v>#N/A N/A</v>
        <stp/>
        <stp>BDP|8574909095672183690</stp>
        <tr r="V95" s="3"/>
      </tp>
      <tp t="s">
        <v>#N/A N/A</v>
        <stp/>
        <stp>BDP|5773597497035543047</stp>
        <tr r="BP93" s="3"/>
      </tp>
      <tp t="s">
        <v>#N/A N/A</v>
        <stp/>
        <stp>BDP|3786311803619498592</stp>
        <tr r="BM108" s="3"/>
      </tp>
      <tp t="s">
        <v>#N/A N/A</v>
        <stp/>
        <stp>BDP|4868898231341821211</stp>
        <tr r="BE76" s="3"/>
      </tp>
      <tp t="s">
        <v>#N/A N/A</v>
        <stp/>
        <stp>BDP|2377168080847573092</stp>
        <tr r="AI112" s="3"/>
      </tp>
      <tp t="s">
        <v>#N/A N/A</v>
        <stp/>
        <stp>BDP|4497266454659955668</stp>
        <tr r="CA113" s="3"/>
      </tp>
      <tp t="s">
        <v>#N/A N/A</v>
        <stp/>
        <stp>BDP|7614015039978850083</stp>
        <tr r="U105" s="3"/>
      </tp>
      <tp t="s">
        <v>#N/A N/A</v>
        <stp/>
        <stp>BDP|5609847743861715483</stp>
        <tr r="AN97" s="3"/>
      </tp>
      <tp t="s">
        <v>#N/A N/A</v>
        <stp/>
        <stp>BDP|5614758843549829361</stp>
        <tr r="AA103" s="3"/>
      </tp>
      <tp t="s">
        <v>#N/A N/A</v>
        <stp/>
        <stp>BDP|8464238133581960438</stp>
        <tr r="BK75" s="3"/>
      </tp>
      <tp t="s">
        <v>#N/A N/A</v>
        <stp/>
        <stp>BDP|3146985334661579478</stp>
        <tr r="G113" s="3"/>
      </tp>
      <tp t="s">
        <v>#N/A N/A</v>
        <stp/>
        <stp>BDP|4657336508463024824</stp>
        <tr r="CH95" s="3"/>
      </tp>
      <tp t="s">
        <v>#N/A N/A</v>
        <stp/>
        <stp>BDP|2125598746899778666</stp>
        <tr r="BO88" s="3"/>
      </tp>
      <tp t="s">
        <v>#N/A N/A</v>
        <stp/>
        <stp>BDP|7863299941248964568</stp>
        <tr r="AB108" s="3"/>
      </tp>
      <tp t="s">
        <v>#N/A N/A</v>
        <stp/>
        <stp>BDP|9613090648568905916</stp>
        <tr r="CF97" s="3"/>
      </tp>
      <tp t="s">
        <v>#N/A N/A</v>
        <stp/>
        <stp>BDP|4742054098459524804</stp>
        <tr r="BQ105" s="3"/>
      </tp>
      <tp t="s">
        <v>#N/A N/A</v>
        <stp/>
        <stp>BDP|5325724208669043760</stp>
        <tr r="AB104" s="3"/>
      </tp>
      <tp t="s">
        <v>#N/A N/A</v>
        <stp/>
        <stp>BDP|2045438026519099199</stp>
        <tr r="CK93" s="3"/>
      </tp>
      <tp t="s">
        <v>#N/A N/A</v>
        <stp/>
        <stp>BDP|9857718744807294131</stp>
        <tr r="CK100" s="3"/>
      </tp>
      <tp t="s">
        <v>#N/A N/A</v>
        <stp/>
        <stp>BDP|5758714001989935726</stp>
        <tr r="T101" s="3"/>
      </tp>
      <tp t="s">
        <v>#N/A N/A</v>
        <stp/>
        <stp>BDP|5970395446518842620</stp>
        <tr r="AB93" s="3"/>
      </tp>
      <tp t="s">
        <v>#N/A N/A</v>
        <stp/>
        <stp>BDP|8231886093516649331</stp>
        <tr r="AO112" s="3"/>
      </tp>
      <tp t="s">
        <v>#N/A N/A</v>
        <stp/>
        <stp>BDP|7528601095462521691</stp>
        <tr r="AN88" s="3"/>
      </tp>
      <tp t="s">
        <v>#N/A N/A</v>
        <stp/>
        <stp>BDP|6009771030827828921</stp>
        <tr r="CF107" s="3"/>
      </tp>
      <tp t="s">
        <v>#N/A N/A</v>
        <stp/>
        <stp>BDP|3560988602796062022</stp>
        <tr r="K105" s="3"/>
      </tp>
      <tp t="s">
        <v>#N/A N/A</v>
        <stp/>
        <stp>BDP|6898296222503843963</stp>
        <tr r="R89" s="3"/>
      </tp>
      <tp t="s">
        <v>#N/A N/A</v>
        <stp/>
        <stp>BDP|7980078141927439867</stp>
        <tr r="AR102" s="3"/>
      </tp>
      <tp t="s">
        <v>#N/A N/A</v>
        <stp/>
        <stp>BDP|8904710468847850252</stp>
        <tr r="BU85" s="3"/>
      </tp>
      <tp t="s">
        <v>#N/A N/A</v>
        <stp/>
        <stp>BDP|8127507299478660038</stp>
        <tr r="CH89" s="3"/>
      </tp>
      <tp t="s">
        <v>#N/A N/A</v>
        <stp/>
        <stp>BDP|4869974677981215774</stp>
        <tr r="CC107" s="3"/>
      </tp>
      <tp t="s">
        <v>#N/A N/A</v>
        <stp/>
        <stp>BDP|5568790294710244770</stp>
        <tr r="BF111" s="3"/>
      </tp>
      <tp t="s">
        <v>#N/A N/A</v>
        <stp/>
        <stp>BDP|3512543033001189811</stp>
        <tr r="CK91" s="3"/>
      </tp>
      <tp t="s">
        <v>#N/A N/A</v>
        <stp/>
        <stp>BDP|6954949082349544284</stp>
        <tr r="J107" s="3"/>
      </tp>
      <tp t="s">
        <v>#N/A N/A</v>
        <stp/>
        <stp>BDP|4883215319059445269</stp>
        <tr r="AI90" s="3"/>
      </tp>
      <tp t="s">
        <v>#N/A N/A</v>
        <stp/>
        <stp>BDP|4441050738573938822</stp>
        <tr r="AA104" s="3"/>
      </tp>
      <tp t="s">
        <v>#N/A N/A</v>
        <stp/>
        <stp>BDP|9054306763666783669</stp>
        <tr r="BO91" s="3"/>
      </tp>
      <tp t="s">
        <v>#N/A N/A</v>
        <stp/>
        <stp>BDP|9527175765786437409</stp>
        <tr r="AQ98" s="3"/>
      </tp>
      <tp t="s">
        <v>#N/A N/A</v>
        <stp/>
        <stp>BDP|5443814156631797570</stp>
        <tr r="G87" s="3"/>
      </tp>
      <tp t="s">
        <v>#N/A N/A</v>
        <stp/>
        <stp>BDP|4422773192234082225</stp>
        <tr r="AB85" s="3"/>
      </tp>
      <tp t="s">
        <v>#N/A N/A</v>
        <stp/>
        <stp>BDP|6506474382960646659</stp>
        <tr r="AR97" s="3"/>
      </tp>
      <tp t="s">
        <v>#N/A N/A</v>
        <stp/>
        <stp>BDP|8072511533762969087</stp>
        <tr r="Q93" s="3"/>
      </tp>
      <tp t="s">
        <v>#N/A N/A</v>
        <stp/>
        <stp>BDP|6607041927090600807</stp>
        <tr r="AP106" s="3"/>
      </tp>
      <tp t="s">
        <v>#N/A N/A</v>
        <stp/>
        <stp>BDP|5692543452748549158</stp>
        <tr r="AL111" s="3"/>
      </tp>
      <tp t="s">
        <v>#N/A N/A</v>
        <stp/>
        <stp>BDP|4190971110402092265</stp>
        <tr r="BW93" s="3"/>
      </tp>
      <tp t="s">
        <v>#N/A N/A</v>
        <stp/>
        <stp>BDP|9339367743106355455</stp>
        <tr r="BE107" s="3"/>
      </tp>
      <tp t="s">
        <v>#N/A N/A</v>
        <stp/>
        <stp>BDP|4188369486543124001</stp>
        <tr r="AQ94" s="3"/>
      </tp>
      <tp t="s">
        <v>#N/A N/A</v>
        <stp/>
        <stp>BDP|9719524520806653423</stp>
        <tr r="BY73" s="3"/>
      </tp>
      <tp t="s">
        <v>#N/A N/A</v>
        <stp/>
        <stp>BDP|9413303250011699230</stp>
        <tr r="BR102" s="3"/>
      </tp>
      <tp t="s">
        <v>#N/A N/A</v>
        <stp/>
        <stp>BDP|2137793491403093380</stp>
        <tr r="O73" s="3"/>
      </tp>
      <tp t="s">
        <v>#N/A N/A</v>
        <stp/>
        <stp>BDP|4939964777763159588</stp>
        <tr r="AY112" s="3"/>
      </tp>
      <tp t="s">
        <v>#N/A N/A</v>
        <stp/>
        <stp>BDP|9543035858900654093</stp>
        <tr r="K100" s="3"/>
      </tp>
      <tp t="s">
        <v>#N/A N/A</v>
        <stp/>
        <stp>BDP|1425837007262319728</stp>
        <tr r="BE94" s="3"/>
      </tp>
      <tp t="s">
        <v>#N/A N/A</v>
        <stp/>
        <stp>BDP|6973206026378954206</stp>
        <tr r="BD94" s="3"/>
      </tp>
      <tp t="s">
        <v>#N/A N/A</v>
        <stp/>
        <stp>BDP|1586862852142489230</stp>
        <tr r="AL93" s="3"/>
      </tp>
      <tp t="s">
        <v>#N/A N/A</v>
        <stp/>
        <stp>BDP|7912765099496360335</stp>
        <tr r="N75" s="3"/>
      </tp>
      <tp t="s">
        <v>#N/A N/A</v>
        <stp/>
        <stp>BDP|6492147228171716885</stp>
        <tr r="CK104" s="3"/>
      </tp>
      <tp t="s">
        <v>#N/A N/A</v>
        <stp/>
        <stp>BDP|3611448632301681913</stp>
        <tr r="BY106" s="3"/>
      </tp>
      <tp t="s">
        <v>#N/A N/A</v>
        <stp/>
        <stp>BDP|7157013532338369060</stp>
        <tr r="AB112" s="3"/>
      </tp>
      <tp t="s">
        <v>#N/A N/A</v>
        <stp/>
        <stp>BDP|7379032655996013828</stp>
        <tr r="BW99" s="3"/>
      </tp>
      <tp t="s">
        <v>#N/A N/A</v>
        <stp/>
        <stp>BDP|4305038332283579809</stp>
        <tr r="AY89" s="3"/>
      </tp>
      <tp t="s">
        <v>#N/A N/A</v>
        <stp/>
        <stp>BDP|8164685829134310444</stp>
        <tr r="M97" s="3"/>
      </tp>
      <tp t="s">
        <v>#N/A N/A</v>
        <stp/>
        <stp>BDP|1090790565415104997</stp>
        <tr r="AJ98" s="3"/>
      </tp>
      <tp t="s">
        <v>#N/A N/A</v>
        <stp/>
        <stp>BDP|7762681394962903662</stp>
        <tr r="I111" s="3"/>
      </tp>
      <tp t="s">
        <v>#N/A N/A</v>
        <stp/>
        <stp>BDP|4876263698985042627</stp>
        <tr r="BT76" s="3"/>
      </tp>
      <tp t="s">
        <v>#N/A N/A</v>
        <stp/>
        <stp>BDP|2249367199201109581</stp>
        <tr r="W105" s="3"/>
      </tp>
      <tp t="s">
        <v>#N/A N/A</v>
        <stp/>
        <stp>BDP|7031769345551256959</stp>
        <tr r="AT104" s="3"/>
      </tp>
      <tp t="s">
        <v>#N/A N/A</v>
        <stp/>
        <stp>BDP|9467115000003614769</stp>
        <tr r="AO107" s="3"/>
      </tp>
      <tp t="s">
        <v>#N/A N/A</v>
        <stp/>
        <stp>BDP|9022330270562453328</stp>
        <tr r="Y105" s="3"/>
      </tp>
      <tp t="s">
        <v>#N/A N/A</v>
        <stp/>
        <stp>BDP|4799014685780408026</stp>
        <tr r="AU89" s="3"/>
      </tp>
      <tp t="s">
        <v>#N/A N/A</v>
        <stp/>
        <stp>BDP|9897409549500406504</stp>
        <tr r="I108" s="3"/>
      </tp>
      <tp t="s">
        <v>#N/A N/A</v>
        <stp/>
        <stp>BDP|7170611895555752176</stp>
        <tr r="CD105" s="3"/>
      </tp>
      <tp t="s">
        <v>#N/A N/A</v>
        <stp/>
        <stp>BDP|1908043681927574335</stp>
        <tr r="F95" s="3"/>
      </tp>
      <tp t="s">
        <v>#N/A N/A</v>
        <stp/>
        <stp>BDP|8461403489591663818</stp>
        <tr r="BL99" s="3"/>
      </tp>
      <tp t="s">
        <v>#N/A N/A</v>
        <stp/>
        <stp>BDP|3241914618704738265</stp>
        <tr r="Z85" s="3"/>
      </tp>
      <tp t="s">
        <v>#N/A N/A</v>
        <stp/>
        <stp>BDP|4988941067675787373</stp>
        <tr r="BD95" s="3"/>
      </tp>
      <tp t="s">
        <v>#N/A N/A</v>
        <stp/>
        <stp>BDP|4806808442303029610</stp>
        <tr r="CD88" s="3"/>
      </tp>
      <tp t="s">
        <v>#N/A N/A</v>
        <stp/>
        <stp>BDP|8734681841893376467</stp>
        <tr r="V77" s="3"/>
      </tp>
      <tp t="s">
        <v>#N/A N/A</v>
        <stp/>
        <stp>BDP|1827975262317087463</stp>
        <tr r="AF100" s="3"/>
      </tp>
      <tp t="s">
        <v>#N/A N/A</v>
        <stp/>
        <stp>BDP|8936395779725789459</stp>
        <tr r="AH101" s="3"/>
      </tp>
      <tp t="s">
        <v>#N/A N/A</v>
        <stp/>
        <stp>BDP|4102607727379458497</stp>
        <tr r="CE99" s="3"/>
      </tp>
      <tp t="s">
        <v>#N/A N/A</v>
        <stp/>
        <stp>BDP|6847674434347394904</stp>
        <tr r="AM105" s="3"/>
      </tp>
      <tp t="s">
        <v>#N/A N/A</v>
        <stp/>
        <stp>BDP|1588549751679032586</stp>
        <tr r="CA106" s="3"/>
      </tp>
      <tp t="s">
        <v>#N/A N/A</v>
        <stp/>
        <stp>BDP|3974983356602759083</stp>
        <tr r="Z73" s="3"/>
      </tp>
      <tp t="s">
        <v>#N/A N/A</v>
        <stp/>
        <stp>BDP|7905905764932717733</stp>
        <tr r="U76" s="3"/>
      </tp>
      <tp t="s">
        <v>#N/A N/A</v>
        <stp/>
        <stp>BDP|6117316685153955355</stp>
        <tr r="BJ96" s="3"/>
      </tp>
      <tp t="s">
        <v>#N/A N/A</v>
        <stp/>
        <stp>BDP|8429655566063930672</stp>
        <tr r="T99" s="3"/>
      </tp>
      <tp t="s">
        <v>#N/A N/A</v>
        <stp/>
        <stp>BDP|8991529801622131223</stp>
        <tr r="BL96" s="3"/>
      </tp>
      <tp t="s">
        <v>#N/A N/A</v>
        <stp/>
        <stp>BDP|9418037999944618963</stp>
        <tr r="BC113" s="3"/>
      </tp>
      <tp t="s">
        <v>#N/A N/A</v>
        <stp/>
        <stp>BDP|8792170854808806920</stp>
        <tr r="AZ110" s="3"/>
      </tp>
      <tp t="s">
        <v>#N/A N/A</v>
        <stp/>
        <stp>BDP|5051878534381471299</stp>
        <tr r="BG91" s="3"/>
      </tp>
      <tp t="s">
        <v>#N/A N/A</v>
        <stp/>
        <stp>BDP|6812469801429271639</stp>
        <tr r="BH109" s="3"/>
      </tp>
      <tp t="s">
        <v>#N/A N/A</v>
        <stp/>
        <stp>BDP|6913702436236079911</stp>
        <tr r="CD100" s="3"/>
      </tp>
      <tp t="s">
        <v>#N/A N/A</v>
        <stp/>
        <stp>BDP|5981112886069365825</stp>
        <tr r="BH108" s="3"/>
      </tp>
      <tp t="s">
        <v>#N/A N/A</v>
        <stp/>
        <stp>BDP|9017085955964459565</stp>
        <tr r="H90" s="3"/>
      </tp>
      <tp t="s">
        <v>#N/A N/A</v>
        <stp/>
        <stp>BDP|1093226763460872863</stp>
        <tr r="AT85" s="3"/>
      </tp>
      <tp t="s">
        <v>#N/A N/A</v>
        <stp/>
        <stp>BDP|9679741150337953179</stp>
        <tr r="BT85" s="3"/>
      </tp>
      <tp t="s">
        <v>#N/A N/A</v>
        <stp/>
        <stp>BDP|5989691789856531001</stp>
        <tr r="L113" s="3"/>
      </tp>
      <tp t="s">
        <v>#N/A N/A</v>
        <stp/>
        <stp>BDP|9735799135300657018</stp>
        <tr r="CF102" s="3"/>
      </tp>
      <tp t="s">
        <v>#N/A N/A</v>
        <stp/>
        <stp>BDP|3288087970710375945</stp>
        <tr r="S109" s="3"/>
      </tp>
      <tp t="s">
        <v>#N/A N/A</v>
        <stp/>
        <stp>BDP|1694756279398057477</stp>
        <tr r="BI87" s="3"/>
      </tp>
      <tp t="s">
        <v>#N/A N/A</v>
        <stp/>
        <stp>BDP|8415719143244996221</stp>
        <tr r="AK104" s="3"/>
      </tp>
      <tp t="s">
        <v>#N/A N/A</v>
        <stp/>
        <stp>BDP|8287774064090909458</stp>
        <tr r="AG75" s="3"/>
      </tp>
      <tp t="s">
        <v>#N/A N/A</v>
        <stp/>
        <stp>BDP|6945699913868773496</stp>
        <tr r="AZ108" s="3"/>
      </tp>
      <tp t="s">
        <v>#N/A N/A</v>
        <stp/>
        <stp>BDP|9046400078313524403</stp>
        <tr r="CG111" s="3"/>
      </tp>
      <tp t="s">
        <v>#N/A N/A</v>
        <stp/>
        <stp>BDP|7978942327059848809</stp>
        <tr r="BB90" s="3"/>
      </tp>
      <tp t="s">
        <v>#N/A N/A</v>
        <stp/>
        <stp>BDP|6023867715893115104</stp>
        <tr r="AQ88" s="3"/>
      </tp>
      <tp t="s">
        <v>#N/A N/A</v>
        <stp/>
        <stp>BDP|2646776009718372098</stp>
        <tr r="BI76" s="3"/>
      </tp>
      <tp t="s">
        <v>#N/A N/A</v>
        <stp/>
        <stp>BDP|7028901527330778128</stp>
        <tr r="AX94" s="3"/>
      </tp>
      <tp t="s">
        <v>#N/A N/A</v>
        <stp/>
        <stp>BDP|4532603972220167841</stp>
        <tr r="L98" s="3"/>
      </tp>
      <tp t="s">
        <v>#N/A N/A</v>
        <stp/>
        <stp>BDP|1906964719727239378</stp>
        <tr r="BX92" s="3"/>
      </tp>
      <tp t="s">
        <v>#N/A N/A</v>
        <stp/>
        <stp>BDP|6843843001194746793</stp>
        <tr r="F92" s="3"/>
      </tp>
      <tp t="s">
        <v>#N/A N/A</v>
        <stp/>
        <stp>BDP|4128766033788037573</stp>
        <tr r="Z92" s="3"/>
      </tp>
      <tp t="s">
        <v>#N/A N/A</v>
        <stp/>
        <stp>BDP|9440932799996541288</stp>
        <tr r="AP110" s="3"/>
      </tp>
      <tp t="s">
        <v>#N/A N/A</v>
        <stp/>
        <stp>BDP|9283091779621433258</stp>
        <tr r="R87" s="3"/>
      </tp>
      <tp t="s">
        <v>#N/A N/A</v>
        <stp/>
        <stp>BDP|1590183227929023696</stp>
        <tr r="AD109" s="3"/>
      </tp>
      <tp t="s">
        <v>#N/A N/A</v>
        <stp/>
        <stp>BDP|4648906221416149469</stp>
        <tr r="S108" s="3"/>
      </tp>
      <tp t="s">
        <v>#N/A N/A</v>
        <stp/>
        <stp>BDP|4966475824959812627</stp>
        <tr r="CE107" s="3"/>
      </tp>
      <tp t="s">
        <v>#N/A N/A</v>
        <stp/>
        <stp>BDP|7146356803689625016</stp>
        <tr r="AY94" s="3"/>
      </tp>
      <tp t="s">
        <v>#N/A N/A</v>
        <stp/>
        <stp>BDP|1561555535103504907</stp>
        <tr r="BK104" s="3"/>
      </tp>
      <tp t="s">
        <v>#N/A N/A</v>
        <stp/>
        <stp>BDP|4076827775907551136</stp>
        <tr r="CG93" s="3"/>
      </tp>
      <tp t="s">
        <v>#N/A N/A</v>
        <stp/>
        <stp>BDP|2434192792407860062</stp>
        <tr r="H77" s="3"/>
      </tp>
      <tp t="s">
        <v>#N/A N/A</v>
        <stp/>
        <stp>BDP|8821577274412233585</stp>
        <tr r="J113" s="3"/>
      </tp>
      <tp t="s">
        <v>#N/A N/A</v>
        <stp/>
        <stp>BDP|2929090045323695851</stp>
        <tr r="AP96" s="3"/>
      </tp>
      <tp t="s">
        <v>#N/A N/A</v>
        <stp/>
        <stp>BDP|7153618086646779270</stp>
        <tr r="BW85" s="3"/>
      </tp>
      <tp t="s">
        <v>#N/A N/A</v>
        <stp/>
        <stp>BDP|4740809212427034735</stp>
        <tr r="BJ100" s="3"/>
      </tp>
      <tp t="s">
        <v>#N/A N/A</v>
        <stp/>
        <stp>BDP|6664317664747598916</stp>
        <tr r="BG88" s="3"/>
      </tp>
      <tp t="s">
        <v>#N/A N/A</v>
        <stp/>
        <stp>BDP|7553813244050595627</stp>
        <tr r="AJ108" s="3"/>
      </tp>
      <tp t="s">
        <v>#N/A N/A</v>
        <stp/>
        <stp>BDP|6731604793570595461</stp>
        <tr r="CK77" s="3"/>
      </tp>
      <tp t="s">
        <v>#N/A N/A</v>
        <stp/>
        <stp>BDP|3405104082636245135</stp>
        <tr r="AC76" s="3"/>
      </tp>
      <tp t="s">
        <v>#N/A N/A</v>
        <stp/>
        <stp>BDP|3624800715441608616</stp>
        <tr r="CA88" s="3"/>
      </tp>
      <tp t="s">
        <v>#N/A N/A</v>
        <stp/>
        <stp>BDP|6414663887464732165</stp>
        <tr r="BE96" s="3"/>
      </tp>
      <tp t="s">
        <v>#N/A N/A</v>
        <stp/>
        <stp>BDP|3335604511779147077</stp>
        <tr r="AV108" s="3"/>
      </tp>
      <tp t="s">
        <v>#N/A N/A</v>
        <stp/>
        <stp>BDP|9493868035478470776</stp>
        <tr r="CI97" s="3"/>
      </tp>
      <tp t="s">
        <v>#N/A N/A</v>
        <stp/>
        <stp>BDP|3383021607449248711</stp>
        <tr r="BV85" s="3"/>
      </tp>
      <tp t="s">
        <v>#N/A N/A</v>
        <stp/>
        <stp>BDP|1289406794527600657</stp>
        <tr r="CF87" s="3"/>
      </tp>
      <tp t="s">
        <v>#N/A N/A</v>
        <stp/>
        <stp>BDP|5105270248457802936</stp>
        <tr r="BX96" s="3"/>
      </tp>
      <tp t="s">
        <v>#N/A N/A</v>
        <stp/>
        <stp>BDP|1523260924128002426</stp>
        <tr r="CD101" s="3"/>
      </tp>
      <tp t="s">
        <v>#N/A N/A</v>
        <stp/>
        <stp>BDP|6950250011479072182</stp>
        <tr r="W112" s="3"/>
      </tp>
      <tp t="s">
        <v>#N/A N/A</v>
        <stp/>
        <stp>BDP|1064771269647283962</stp>
        <tr r="H88" s="3"/>
      </tp>
      <tp t="s">
        <v>#N/A N/A</v>
        <stp/>
        <stp>BDP|4864638465648275263</stp>
        <tr r="BM92" s="3"/>
      </tp>
      <tp t="s">
        <v>#N/A N/A</v>
        <stp/>
        <stp>BDP|3072903425952640496</stp>
        <tr r="CK92" s="3"/>
      </tp>
      <tp t="s">
        <v>#N/A N/A</v>
        <stp/>
        <stp>BDP|3008547051788978568</stp>
        <tr r="AA87" s="3"/>
      </tp>
      <tp t="s">
        <v>#N/A N/A</v>
        <stp/>
        <stp>BDP|2162243253698860344</stp>
        <tr r="V89" s="3"/>
      </tp>
      <tp t="s">
        <v>#N/A N/A</v>
        <stp/>
        <stp>BDP|5287570942082801858</stp>
        <tr r="BC101" s="3"/>
      </tp>
      <tp t="s">
        <v>#N/A N/A</v>
        <stp/>
        <stp>BDP|3995578461967509908</stp>
        <tr r="BN99" s="3"/>
      </tp>
      <tp t="s">
        <v>#N/A N/A</v>
        <stp/>
        <stp>BDP|9135226638710578643</stp>
        <tr r="AU108" s="3"/>
      </tp>
      <tp t="s">
        <v>#N/A N/A</v>
        <stp/>
        <stp>BDP|7248605890062917409</stp>
        <tr r="AL112" s="3"/>
      </tp>
      <tp t="s">
        <v>#N/A N/A</v>
        <stp/>
        <stp>BDP|9222207429756970199</stp>
        <tr r="Q112" s="3"/>
      </tp>
      <tp t="s">
        <v>#N/A N/A</v>
        <stp/>
        <stp>BDP|2605931014752214686</stp>
        <tr r="CG108" s="3"/>
      </tp>
      <tp t="s">
        <v>#N/A N/A</v>
        <stp/>
        <stp>BDP|3076954790018610587</stp>
        <tr r="BS103" s="3"/>
      </tp>
      <tp t="s">
        <v>#N/A N/A</v>
        <stp/>
        <stp>BDP|8141116858573147124</stp>
        <tr r="AX106" s="3"/>
      </tp>
      <tp t="s">
        <v>#N/A N/A</v>
        <stp/>
        <stp>BDP|2291372733485918974</stp>
        <tr r="S92" s="3"/>
      </tp>
      <tp t="s">
        <v>#N/A N/A</v>
        <stp/>
        <stp>BDP|9417217507896206380</stp>
        <tr r="AT111" s="3"/>
      </tp>
      <tp t="s">
        <v>#N/A N/A</v>
        <stp/>
        <stp>BDP|8971654317767656651</stp>
        <tr r="CG98" s="3"/>
      </tp>
      <tp t="s">
        <v>#N/A N/A</v>
        <stp/>
        <stp>BDP|5850067685271596272</stp>
        <tr r="G104" s="3"/>
      </tp>
      <tp t="s">
        <v>#N/A N/A</v>
        <stp/>
        <stp>BDP|7310986176420081740</stp>
        <tr r="BR104" s="3"/>
      </tp>
      <tp t="s">
        <v>#N/A N/A</v>
        <stp/>
        <stp>BDP|2534908828707031045</stp>
        <tr r="BH76" s="3"/>
      </tp>
      <tp t="s">
        <v>#N/A N/A</v>
        <stp/>
        <stp>BDP|8985824196907037047</stp>
        <tr r="AX113" s="3"/>
      </tp>
      <tp t="s">
        <v>#N/A N/A</v>
        <stp/>
        <stp>BDP|4158695302744736845</stp>
        <tr r="AD112" s="3"/>
      </tp>
      <tp t="s">
        <v>#N/A N/A</v>
        <stp/>
        <stp>BDP|6934888536190968379</stp>
        <tr r="Y74" s="3"/>
      </tp>
      <tp t="s">
        <v>#N/A N/A</v>
        <stp/>
        <stp>BDP|2640949069043424068</stp>
        <tr r="N110" s="3"/>
      </tp>
      <tp t="s">
        <v>#N/A N/A</v>
        <stp/>
        <stp>BDP|9645648064310906716</stp>
        <tr r="AC105" s="3"/>
      </tp>
      <tp t="s">
        <v>#N/A N/A</v>
        <stp/>
        <stp>BDP|8720187084619090651</stp>
        <tr r="CI91" s="3"/>
      </tp>
      <tp t="s">
        <v>#N/A N/A</v>
        <stp/>
        <stp>BDP|6912273368729126597</stp>
        <tr r="T93" s="3"/>
      </tp>
      <tp t="s">
        <v>#N/A N/A</v>
        <stp/>
        <stp>BDP|5177872042154905331</stp>
        <tr r="L102" s="3"/>
      </tp>
      <tp t="s">
        <v>#N/A N/A</v>
        <stp/>
        <stp>BDP|6370249340906867816</stp>
        <tr r="BW73" s="3"/>
      </tp>
      <tp t="s">
        <v>#N/A N/A</v>
        <stp/>
        <stp>BDP|4966015610439607218</stp>
        <tr r="K112" s="3"/>
      </tp>
      <tp t="s">
        <v>#N/A N/A</v>
        <stp/>
        <stp>BDP|4374361033682076893</stp>
        <tr r="AW99" s="3"/>
      </tp>
      <tp t="s">
        <v>#N/A N/A</v>
        <stp/>
        <stp>BDP|9343057132211936524</stp>
        <tr r="CC106" s="3"/>
      </tp>
      <tp t="s">
        <v>#N/A N/A</v>
        <stp/>
        <stp>BDP|5108788652090268957</stp>
        <tr r="I101" s="3"/>
      </tp>
      <tp t="s">
        <v>#N/A N/A</v>
        <stp/>
        <stp>BDP|6754460179893475803</stp>
        <tr r="W103" s="3"/>
      </tp>
      <tp t="s">
        <v>#N/A N/A</v>
        <stp/>
        <stp>BDP|8252615405429985931</stp>
        <tr r="BX99" s="3"/>
      </tp>
      <tp t="s">
        <v>#N/A N/A</v>
        <stp/>
        <stp>BDP|5351805338413516321</stp>
        <tr r="L110" s="3"/>
      </tp>
      <tp t="s">
        <v>#N/A N/A</v>
        <stp/>
        <stp>BDP|7707640808619075675</stp>
        <tr r="AP94" s="3"/>
      </tp>
      <tp t="s">
        <v>#N/A N/A</v>
        <stp/>
        <stp>BDP|6316428127247356987</stp>
        <tr r="CE89" s="3"/>
      </tp>
      <tp t="s">
        <v>#N/A N/A</v>
        <stp/>
        <stp>BDP|9766505938065381410</stp>
        <tr r="BL76" s="3"/>
      </tp>
      <tp t="s">
        <v>#N/A N/A</v>
        <stp/>
        <stp>BDP|5187944749143821593</stp>
        <tr r="CI88" s="3"/>
      </tp>
      <tp t="s">
        <v>#N/A N/A</v>
        <stp/>
        <stp>BDP|3886567005780543833</stp>
        <tr r="AE74" s="3"/>
      </tp>
      <tp t="s">
        <v>#N/A N/A</v>
        <stp/>
        <stp>BDP|2806652035939508008</stp>
        <tr r="CB91" s="3"/>
      </tp>
      <tp t="s">
        <v>#N/A N/A</v>
        <stp/>
        <stp>BDP|4616568587230149744</stp>
        <tr r="I87" s="3"/>
      </tp>
      <tp t="s">
        <v>#N/A N/A</v>
        <stp/>
        <stp>BDP|9102615174820332654</stp>
        <tr r="I77" s="3"/>
      </tp>
      <tp t="s">
        <v>#N/A N/A</v>
        <stp/>
        <stp>BDP|5627696056259361183</stp>
        <tr r="BG99" s="3"/>
      </tp>
      <tp t="s">
        <v>#N/A N/A</v>
        <stp/>
        <stp>BDP|5736276642395060802</stp>
        <tr r="V92" s="3"/>
      </tp>
      <tp t="s">
        <v>#N/A N/A</v>
        <stp/>
        <stp>BDP|4216848402816660402</stp>
        <tr r="Q104" s="3"/>
      </tp>
      <tp t="s">
        <v>#N/A N/A</v>
        <stp/>
        <stp>BDP|8813100065687613693</stp>
        <tr r="BQ109" s="3"/>
      </tp>
      <tp t="s">
        <v>#N/A N/A</v>
        <stp/>
        <stp>BDP|5270313546215337959</stp>
        <tr r="BW90" s="3"/>
      </tp>
      <tp t="s">
        <v>#N/A N/A</v>
        <stp/>
        <stp>BDP|5782534297292230522</stp>
        <tr r="BV94" s="3"/>
      </tp>
      <tp t="s">
        <v>#N/A N/A</v>
        <stp/>
        <stp>BDP|6807083478068205793</stp>
        <tr r="U98" s="3"/>
      </tp>
      <tp t="s">
        <v>#N/A N/A</v>
        <stp/>
        <stp>BDP|3733397510636566983</stp>
        <tr r="BT97" s="3"/>
      </tp>
      <tp t="s">
        <v>#N/A N/A</v>
        <stp/>
        <stp>BDP|7943070289841643012</stp>
        <tr r="AE98" s="3"/>
      </tp>
      <tp t="s">
        <v>#N/A N/A</v>
        <stp/>
        <stp>BDP|7498651810078730666</stp>
        <tr r="BZ77" s="3"/>
      </tp>
      <tp t="s">
        <v>#N/A N/A</v>
        <stp/>
        <stp>BDP|2820467962429980758</stp>
        <tr r="CH108" s="3"/>
      </tp>
      <tp t="s">
        <v>#N/A N/A</v>
        <stp/>
        <stp>BDP|1944995880798813682</stp>
        <tr r="N76" s="3"/>
      </tp>
      <tp t="s">
        <v>#N/A N/A</v>
        <stp/>
        <stp>BDP|2134475297523139204</stp>
        <tr r="J73" s="3"/>
      </tp>
      <tp t="s">
        <v>#N/A N/A</v>
        <stp/>
        <stp>BDP|5887064809928470336</stp>
        <tr r="BF106" s="3"/>
      </tp>
      <tp t="s">
        <v>#N/A N/A</v>
        <stp/>
        <stp>BDP|9083414532853666354</stp>
        <tr r="S105" s="3"/>
      </tp>
      <tp t="s">
        <v>#N/A N/A</v>
        <stp/>
        <stp>BDP|2758036016735322808</stp>
        <tr r="AL97" s="3"/>
      </tp>
      <tp t="s">
        <v>#N/A N/A</v>
        <stp/>
        <stp>BDP|3711860391095413950</stp>
        <tr r="BP98" s="3"/>
      </tp>
      <tp t="s">
        <v>#N/A N/A</v>
        <stp/>
        <stp>BDP|3327044287320077569</stp>
        <tr r="AM98" s="3"/>
      </tp>
      <tp t="s">
        <v>#N/A N/A</v>
        <stp/>
        <stp>BDP|4193270997111157067</stp>
        <tr r="L73" s="3"/>
      </tp>
      <tp t="s">
        <v>#N/A N/A</v>
        <stp/>
        <stp>BDP|4528947719150753291</stp>
        <tr r="CC108" s="3"/>
      </tp>
      <tp t="s">
        <v>#N/A N/A</v>
        <stp/>
        <stp>BDP|8693508486899317258</stp>
        <tr r="BI106" s="3"/>
      </tp>
      <tp t="s">
        <v>#N/A N/A</v>
        <stp/>
        <stp>BDP|3290857337946347041</stp>
        <tr r="T102" s="3"/>
      </tp>
      <tp t="s">
        <v>#N/A N/A</v>
        <stp/>
        <stp>BDP|9705537290022504963</stp>
        <tr r="S104" s="3"/>
      </tp>
      <tp t="s">
        <v>#N/A N/A</v>
        <stp/>
        <stp>BDP|3477936526532565435</stp>
        <tr r="BV103" s="3"/>
      </tp>
      <tp t="s">
        <v>#N/A N/A</v>
        <stp/>
        <stp>BDP|5695355369029834764</stp>
        <tr r="AC85" s="3"/>
      </tp>
      <tp t="s">
        <v>#N/A N/A</v>
        <stp/>
        <stp>BDP|8508520956851110747</stp>
        <tr r="AU85" s="3"/>
      </tp>
      <tp t="s">
        <v>#N/A N/A</v>
        <stp/>
        <stp>BDP|7394316040146403820</stp>
        <tr r="BX103" s="3"/>
      </tp>
      <tp t="s">
        <v>#N/A N/A</v>
        <stp/>
        <stp>BDP|9951002792929785787</stp>
        <tr r="CG94" s="3"/>
      </tp>
      <tp t="s">
        <v>#N/A N/A</v>
        <stp/>
        <stp>BDP|3549866704514350102</stp>
        <tr r="AF102" s="3"/>
      </tp>
      <tp t="s">
        <v>#N/A N/A</v>
        <stp/>
        <stp>BDP|6002982420926410590</stp>
        <tr r="AV98" s="3"/>
      </tp>
      <tp t="s">
        <v>#N/A N/A</v>
        <stp/>
        <stp>BDP|4256734602998074563</stp>
        <tr r="BL74" s="3"/>
      </tp>
      <tp t="s">
        <v>#N/A N/A</v>
        <stp/>
        <stp>BDP|9411454315771923380</stp>
        <tr r="CA108" s="3"/>
      </tp>
      <tp t="s">
        <v>#N/A N/A</v>
        <stp/>
        <stp>BDP|3067070966569512216</stp>
        <tr r="BF113" s="3"/>
      </tp>
      <tp t="s">
        <v>#N/A N/A</v>
        <stp/>
        <stp>BDP|9325060541423602071</stp>
        <tr r="Y87" s="3"/>
      </tp>
      <tp t="s">
        <v>#N/A N/A</v>
        <stp/>
        <stp>BDP|5998356902530333973</stp>
        <tr r="AD101" s="3"/>
      </tp>
      <tp t="s">
        <v>#N/A N/A</v>
        <stp/>
        <stp>BDP|4569935549796546007</stp>
        <tr r="BJ91" s="3"/>
      </tp>
      <tp t="s">
        <v>#N/A N/A</v>
        <stp/>
        <stp>BDP|3336079064733920939</stp>
        <tr r="BJ103" s="3"/>
      </tp>
      <tp t="s">
        <v>#N/A N/A</v>
        <stp/>
        <stp>BDP|3104189552290780865</stp>
        <tr r="BW108" s="3"/>
      </tp>
      <tp t="s">
        <v>#N/A N/A</v>
        <stp/>
        <stp>BDP|4428698895793540763</stp>
        <tr r="CB87" s="3"/>
      </tp>
      <tp t="s">
        <v>#N/A N/A</v>
        <stp/>
        <stp>BDP|2629152280342924610</stp>
        <tr r="CE110" s="3"/>
      </tp>
      <tp t="s">
        <v>#N/A N/A</v>
        <stp/>
        <stp>BDP|1970963875758523841</stp>
        <tr r="CE88" s="3"/>
      </tp>
      <tp t="s">
        <v>#N/A N/A</v>
        <stp/>
        <stp>BDP|8738263628132378515</stp>
        <tr r="AW101" s="3"/>
      </tp>
      <tp t="s">
        <v>#N/A N/A</v>
        <stp/>
        <stp>BDP|8580410961642574787</stp>
        <tr r="BX89" s="3"/>
      </tp>
      <tp t="s">
        <v>#N/A N/A</v>
        <stp/>
        <stp>BDP|2910771408008663286</stp>
        <tr r="Q100" s="3"/>
      </tp>
      <tp t="s">
        <v>#N/A N/A</v>
        <stp/>
        <stp>BDP|9983776232414596611</stp>
        <tr r="BJ95" s="3"/>
      </tp>
      <tp t="s">
        <v>#N/A N/A</v>
        <stp/>
        <stp>BDP|9836966283745658231</stp>
        <tr r="AH106" s="3"/>
      </tp>
      <tp t="s">
        <v>#N/A N/A</v>
        <stp/>
        <stp>BDP|1930189349378642373</stp>
        <tr r="H74" s="3"/>
      </tp>
      <tp t="s">
        <v>#N/A N/A</v>
        <stp/>
        <stp>BDP|6808427880000287566</stp>
        <tr r="CB77" s="3"/>
      </tp>
      <tp t="s">
        <v>#N/A N/A</v>
        <stp/>
        <stp>BDP|9395173422323040686</stp>
        <tr r="AF104" s="3"/>
      </tp>
      <tp t="s">
        <v>#N/A N/A</v>
        <stp/>
        <stp>BDP|4931183995423980037</stp>
        <tr r="S75" s="3"/>
      </tp>
      <tp t="s">
        <v>#N/A N/A</v>
        <stp/>
        <stp>BDP|8456183633712411754</stp>
        <tr r="BU100" s="3"/>
      </tp>
      <tp t="s">
        <v>#N/A N/A</v>
        <stp/>
        <stp>BDP|8010731807010301088</stp>
        <tr r="CA73" s="3"/>
      </tp>
      <tp t="s">
        <v>#N/A N/A</v>
        <stp/>
        <stp>BDP|9848036971255339469</stp>
        <tr r="CG106" s="3"/>
      </tp>
      <tp t="s">
        <v>#N/A N/A</v>
        <stp/>
        <stp>BDP|7577881171996103122</stp>
        <tr r="CK110" s="3"/>
      </tp>
      <tp t="s">
        <v>#N/A N/A</v>
        <stp/>
        <stp>BDP|4058133517308091385</stp>
        <tr r="BL89" s="3"/>
      </tp>
      <tp t="s">
        <v>#N/A N/A</v>
        <stp/>
        <stp>BDP|4981849690792239838</stp>
        <tr r="AP105" s="3"/>
      </tp>
      <tp t="s">
        <v>#N/A N/A</v>
        <stp/>
        <stp>BDP|7005419323578837668</stp>
        <tr r="CD99" s="3"/>
      </tp>
      <tp t="s">
        <v>#N/A N/A</v>
        <stp/>
        <stp>BDP|5492930100124937732</stp>
        <tr r="L94" s="3"/>
      </tp>
      <tp t="s">
        <v>#N/A N/A</v>
        <stp/>
        <stp>BDP|6798924305503963342</stp>
        <tr r="BP110" s="3"/>
      </tp>
      <tp t="s">
        <v>#N/A N/A</v>
        <stp/>
        <stp>BDP|4243574099971809699</stp>
        <tr r="CI98" s="3"/>
      </tp>
      <tp t="s">
        <v>#N/A N/A</v>
        <stp/>
        <stp>BDP|1327988263702174349</stp>
        <tr r="BB110" s="3"/>
      </tp>
      <tp t="s">
        <v>#N/A N/A</v>
        <stp/>
        <stp>BDP|4683752178188099366</stp>
        <tr r="AO101" s="3"/>
      </tp>
      <tp t="s">
        <v>#N/A N/A</v>
        <stp/>
        <stp>BDP|4061810063134484147</stp>
        <tr r="H100" s="3"/>
      </tp>
      <tp t="s">
        <v>#N/A N/A</v>
        <stp/>
        <stp>BDP|8732564660337087332</stp>
        <tr r="AG107" s="3"/>
      </tp>
      <tp t="s">
        <v>#N/A N/A</v>
        <stp/>
        <stp>BDP|9371545101314345774</stp>
        <tr r="V113" s="3"/>
      </tp>
      <tp t="s">
        <v>#N/A N/A</v>
        <stp/>
        <stp>BDP|7535864327330000260</stp>
        <tr r="AP102" s="3"/>
      </tp>
      <tp t="s">
        <v>#N/A N/A</v>
        <stp/>
        <stp>BDP|3118384239778134428</stp>
        <tr r="U90" s="3"/>
      </tp>
      <tp t="s">
        <v>#N/A N/A</v>
        <stp/>
        <stp>BDP|8568777291021411849</stp>
        <tr r="AU97" s="3"/>
      </tp>
      <tp t="s">
        <v>#N/A N/A</v>
        <stp/>
        <stp>BDP|8181505325640334042</stp>
        <tr r="AN87" s="3"/>
      </tp>
      <tp t="s">
        <v>#N/A N/A</v>
        <stp/>
        <stp>BDP|7021451307608505445</stp>
        <tr r="AT108" s="3"/>
      </tp>
      <tp t="s">
        <v>#N/A N/A</v>
        <stp/>
        <stp>BDP|7064507548049908026</stp>
        <tr r="CI76" s="3"/>
      </tp>
      <tp t="s">
        <v>#N/A N/A</v>
        <stp/>
        <stp>BDP|2704679513432231817</stp>
        <tr r="AG93" s="3"/>
      </tp>
      <tp t="s">
        <v>#N/A N/A</v>
        <stp/>
        <stp>BDP|1250717555238089461</stp>
        <tr r="CC104" s="3"/>
      </tp>
      <tp t="s">
        <v>#N/A N/A</v>
        <stp/>
        <stp>BDP|7253991719975538577</stp>
        <tr r="O98" s="3"/>
      </tp>
      <tp t="s">
        <v>#N/A N/A</v>
        <stp/>
        <stp>BDP|9623073431115798076</stp>
        <tr r="CA96" s="3"/>
      </tp>
      <tp t="s">
        <v>#N/A N/A</v>
        <stp/>
        <stp>BDP|6867540300489505593</stp>
        <tr r="BG97" s="3"/>
      </tp>
      <tp t="s">
        <v>#N/A N/A</v>
        <stp/>
        <stp>BDP|3151326791554601246</stp>
        <tr r="AG99" s="3"/>
      </tp>
      <tp t="s">
        <v>#N/A N/A</v>
        <stp/>
        <stp>BDP|9183954687102710548</stp>
        <tr r="CF91" s="3"/>
      </tp>
      <tp t="s">
        <v>#N/A N/A</v>
        <stp/>
        <stp>BDP|1697884868095490520</stp>
        <tr r="AS96" s="3"/>
      </tp>
      <tp t="s">
        <v>#N/A N/A</v>
        <stp/>
        <stp>BDP|7125858172800355753</stp>
        <tr r="CF94" s="3"/>
      </tp>
      <tp t="s">
        <v>#N/A N/A</v>
        <stp/>
        <stp>BDP|7799253520168660057</stp>
        <tr r="BT101" s="3"/>
      </tp>
      <tp t="s">
        <v>#N/A N/A</v>
        <stp/>
        <stp>BDP|2226865205207008208</stp>
        <tr r="K76" s="3"/>
      </tp>
      <tp t="s">
        <v>#N/A N/A</v>
        <stp/>
        <stp>BDP|7382065617351687859</stp>
        <tr r="AT93" s="3"/>
      </tp>
      <tp t="s">
        <v>#N/A N/A</v>
        <stp/>
        <stp>BDP|5066427392243504440</stp>
        <tr r="BU110" s="3"/>
      </tp>
      <tp t="s">
        <v>#N/A N/A</v>
        <stp/>
        <stp>BDP|8207606584638463133</stp>
        <tr r="BJ105" s="3"/>
      </tp>
      <tp t="s">
        <v>#N/A N/A</v>
        <stp/>
        <stp>BDP|5748698199003150600</stp>
        <tr r="AZ87" s="3"/>
      </tp>
      <tp t="s">
        <v>#N/A N/A</v>
        <stp/>
        <stp>BDP|2583877106316072323</stp>
        <tr r="F108" s="3"/>
      </tp>
      <tp t="s">
        <v>#N/A N/A</v>
        <stp/>
        <stp>BDP|5081679710218563549</stp>
        <tr r="BB101" s="3"/>
      </tp>
      <tp t="s">
        <v>#N/A N/A</v>
        <stp/>
        <stp>BDP|8141116946060110212</stp>
        <tr r="AJ92" s="3"/>
      </tp>
      <tp t="s">
        <v>#N/A N/A</v>
        <stp/>
        <stp>BDP|9047245209281933524</stp>
        <tr r="CE96" s="3"/>
      </tp>
      <tp t="s">
        <v>#N/A N/A</v>
        <stp/>
        <stp>BDP|4607219142564329917</stp>
        <tr r="BY104" s="3"/>
      </tp>
      <tp t="s">
        <v>#N/A N/A</v>
        <stp/>
        <stp>BDP|9313943988845804204</stp>
        <tr r="I98" s="3"/>
      </tp>
      <tp t="s">
        <v>#N/A N/A</v>
        <stp/>
        <stp>BDP|7045937667354301301</stp>
        <tr r="CG76" s="3"/>
      </tp>
      <tp t="s">
        <v>#N/A N/A</v>
        <stp/>
        <stp>BDP|3646504532408708245</stp>
        <tr r="P97" s="3"/>
      </tp>
      <tp t="s">
        <v>#N/A N/A</v>
        <stp/>
        <stp>BDP|5945116232789753198</stp>
        <tr r="K101" s="3"/>
      </tp>
      <tp t="s">
        <v>#N/A N/A</v>
        <stp/>
        <stp>BDP|9397417050315204246</stp>
        <tr r="AH95" s="3"/>
      </tp>
      <tp t="s">
        <v>#N/A N/A</v>
        <stp/>
        <stp>BDP|4344855830683633346</stp>
        <tr r="J75" s="3"/>
      </tp>
      <tp t="s">
        <v>#N/A N/A</v>
        <stp/>
        <stp>BDP|6294564592177215208</stp>
        <tr r="BM100" s="3"/>
      </tp>
      <tp t="s">
        <v>#N/A N/A</v>
        <stp/>
        <stp>BDP|1258634695671488049</stp>
        <tr r="V100" s="3"/>
      </tp>
      <tp t="s">
        <v>#N/A N/A</v>
        <stp/>
        <stp>BDP|4133870450042628447</stp>
        <tr r="I74" s="3"/>
      </tp>
      <tp t="s">
        <v>#N/A N/A</v>
        <stp/>
        <stp>BDP|6781415135387707913</stp>
        <tr r="BL104" s="3"/>
      </tp>
      <tp t="s">
        <v>#N/A N/A</v>
        <stp/>
        <stp>BDP|8127030007015280226</stp>
        <tr r="AP75" s="3"/>
      </tp>
      <tp t="s">
        <v>#N/A N/A</v>
        <stp/>
        <stp>BDP|8233832404911961967</stp>
        <tr r="BS77" s="3"/>
      </tp>
      <tp t="s">
        <v>#N/A N/A</v>
        <stp/>
        <stp>BDP|2905061103842460822</stp>
        <tr r="BT74" s="3"/>
      </tp>
      <tp t="s">
        <v>#N/A N/A</v>
        <stp/>
        <stp>BDP|9756076235966642492</stp>
        <tr r="CK94" s="3"/>
      </tp>
      <tp t="s">
        <v>#N/A N/A</v>
        <stp/>
        <stp>BDP|4461453327133419987</stp>
        <tr r="K88" s="3"/>
      </tp>
      <tp t="s">
        <v>#N/A N/A</v>
        <stp/>
        <stp>BDP|4012215962001831913</stp>
        <tr r="BK90" s="3"/>
      </tp>
      <tp t="s">
        <v>#N/A N/A</v>
        <stp/>
        <stp>BDP|2925037156057690810</stp>
        <tr r="BG92" s="3"/>
      </tp>
      <tp t="s">
        <v>#N/A N/A</v>
        <stp/>
        <stp>BDP|4194780242356392902</stp>
        <tr r="AK94" s="3"/>
      </tp>
      <tp t="s">
        <v>#N/A N/A</v>
        <stp/>
        <stp>BDP|9582884735262043809</stp>
        <tr r="AV102" s="3"/>
      </tp>
      <tp t="s">
        <v>#N/A N/A</v>
        <stp/>
        <stp>BDP|5409786425980154811</stp>
        <tr r="CG87" s="3"/>
      </tp>
      <tp t="s">
        <v>#N/A N/A</v>
        <stp/>
        <stp>BDP|2931665127429462757</stp>
        <tr r="X109" s="3"/>
      </tp>
      <tp t="s">
        <v>#N/A N/A</v>
        <stp/>
        <stp>BDP|1886768200608363642</stp>
        <tr r="BQ96" s="3"/>
      </tp>
      <tp t="s">
        <v>#N/A N/A</v>
        <stp/>
        <stp>BDP|7106356979362628920</stp>
        <tr r="AM102" s="3"/>
      </tp>
      <tp t="s">
        <v>#N/A N/A</v>
        <stp/>
        <stp>BDP|6567971720101493485</stp>
        <tr r="CK73" s="3"/>
      </tp>
      <tp t="s">
        <v>#N/A N/A</v>
        <stp/>
        <stp>BDP|6733132048802321917</stp>
        <tr r="BV107" s="3"/>
      </tp>
      <tp t="s">
        <v>#N/A N/A</v>
        <stp/>
        <stp>BDP|6461435868894938888</stp>
        <tr r="AZ94" s="3"/>
      </tp>
      <tp t="s">
        <v>#N/A N/A</v>
        <stp/>
        <stp>BDP|8673242480208528296</stp>
        <tr r="P94" s="3"/>
      </tp>
      <tp t="s">
        <v>#N/A N/A</v>
        <stp/>
        <stp>BDP|1249846469210525747</stp>
        <tr r="AI103" s="3"/>
      </tp>
      <tp t="s">
        <v>#N/A N/A</v>
        <stp/>
        <stp>BDP|1928287427460109995</stp>
        <tr r="CH90" s="3"/>
      </tp>
      <tp t="s">
        <v>#N/A N/A</v>
        <stp/>
        <stp>BDP|9962093419801238143</stp>
        <tr r="BP94" s="3"/>
      </tp>
      <tp t="s">
        <v>#N/A N/A</v>
        <stp/>
        <stp>BDP|9304401312584600084</stp>
        <tr r="AB109" s="3"/>
      </tp>
      <tp t="s">
        <v>#N/A N/A</v>
        <stp/>
        <stp>BDP|9719275053487498189</stp>
        <tr r="BA101" s="3"/>
      </tp>
      <tp t="s">
        <v>#N/A N/A</v>
        <stp/>
        <stp>BDP|8893148537113622124</stp>
        <tr r="N73" s="3"/>
      </tp>
      <tp t="s">
        <v>#N/A N/A</v>
        <stp/>
        <stp>BDP|8917797524102204791</stp>
        <tr r="CC111" s="3"/>
      </tp>
      <tp t="s">
        <v>#N/A N/A</v>
        <stp/>
        <stp>BDP|2485359988228437918</stp>
        <tr r="BF94" s="3"/>
      </tp>
      <tp t="s">
        <v>#N/A N/A</v>
        <stp/>
        <stp>BDP|5877806323262569524</stp>
        <tr r="AI106" s="3"/>
      </tp>
      <tp t="s">
        <v>#N/A N/A</v>
        <stp/>
        <stp>BDP|5836140521948939689</stp>
        <tr r="BQ100" s="3"/>
      </tp>
      <tp t="s">
        <v>#N/A N/A</v>
        <stp/>
        <stp>BDP|5865932202193271771</stp>
        <tr r="BC91" s="3"/>
      </tp>
      <tp t="s">
        <v>#N/A N/A</v>
        <stp/>
        <stp>BDP|1192017827839832236</stp>
        <tr r="CK105" s="3"/>
      </tp>
      <tp t="s">
        <v>#N/A N/A</v>
        <stp/>
        <stp>BDP|8827895421309587399</stp>
        <tr r="AL113" s="3"/>
      </tp>
      <tp t="s">
        <v>#N/A N/A</v>
        <stp/>
        <stp>BDP|7054997205135757373</stp>
        <tr r="BU96" s="3"/>
      </tp>
      <tp t="s">
        <v>#N/A N/A</v>
        <stp/>
        <stp>BDP|7425601553239919524</stp>
        <tr r="BG100" s="3"/>
      </tp>
      <tp t="s">
        <v>#N/A N/A</v>
        <stp/>
        <stp>BDP|1417289702563064833</stp>
        <tr r="AK88" s="3"/>
      </tp>
      <tp t="s">
        <v>#N/A N/A</v>
        <stp/>
        <stp>BDP|5063990335720882796</stp>
        <tr r="BR110" s="3"/>
      </tp>
      <tp t="s">
        <v>#N/A N/A</v>
        <stp/>
        <stp>BDP|9405803303120381963</stp>
        <tr r="H106" s="3"/>
      </tp>
      <tp t="s">
        <v>#N/A N/A</v>
        <stp/>
        <stp>BDP|4387324624418683519</stp>
        <tr r="AI73" s="3"/>
      </tp>
      <tp t="s">
        <v>#N/A N/A</v>
        <stp/>
        <stp>BDP|3273364486362033201</stp>
        <tr r="AL107" s="3"/>
      </tp>
      <tp t="s">
        <v>#N/A N/A</v>
        <stp/>
        <stp>BDP|2911739879263589947</stp>
        <tr r="AK103" s="3"/>
      </tp>
      <tp t="s">
        <v>#N/A N/A</v>
        <stp/>
        <stp>BDP|3638255092512221214</stp>
        <tr r="BC74" s="3"/>
      </tp>
      <tp t="s">
        <v>#N/A N/A</v>
        <stp/>
        <stp>BDP|9240083276764686290</stp>
        <tr r="O95" s="3"/>
      </tp>
      <tp t="s">
        <v>#N/A N/A</v>
        <stp/>
        <stp>BDP|8194869283554402439</stp>
        <tr r="S76" s="3"/>
      </tp>
      <tp t="s">
        <v>#N/A N/A</v>
        <stp/>
        <stp>BDP|3296811772574493064</stp>
        <tr r="CD75" s="3"/>
      </tp>
      <tp t="s">
        <v>#N/A N/A</v>
        <stp/>
        <stp>BDP|9228425826110500706</stp>
        <tr r="AP100" s="3"/>
      </tp>
      <tp t="s">
        <v>#N/A N/A</v>
        <stp/>
        <stp>BDP|1214814586240461922</stp>
        <tr r="AB77" s="3"/>
      </tp>
      <tp t="s">
        <v>#N/A N/A</v>
        <stp/>
        <stp>BDP|1010152344504673843</stp>
        <tr r="AZ98" s="3"/>
      </tp>
      <tp t="s">
        <v>#N/A N/A</v>
        <stp/>
        <stp>BDP|4072170787952138728</stp>
        <tr r="AJ101" s="3"/>
      </tp>
      <tp t="s">
        <v>#N/A N/A</v>
        <stp/>
        <stp>BDP|4562270046513405937</stp>
        <tr r="AB95" s="3"/>
      </tp>
      <tp t="s">
        <v>#N/A N/A</v>
        <stp/>
        <stp>BDP|6133003790893455451</stp>
        <tr r="W108" s="3"/>
      </tp>
      <tp t="s">
        <v>#N/A N/A</v>
        <stp/>
        <stp>BDP|3402087550678535696</stp>
        <tr r="AK73" s="3"/>
      </tp>
      <tp t="s">
        <v>#N/A N/A</v>
        <stp/>
        <stp>BDP|5795288354903922932</stp>
        <tr r="M95" s="3"/>
      </tp>
      <tp t="s">
        <v>#N/A N/A</v>
        <stp/>
        <stp>BDP|4723665493295203619</stp>
        <tr r="BN101" s="3"/>
      </tp>
      <tp t="s">
        <v>#N/A N/A</v>
        <stp/>
        <stp>BDP|3562759870719288230</stp>
        <tr r="S98" s="3"/>
      </tp>
      <tp t="s">
        <v>#N/A N/A</v>
        <stp/>
        <stp>BDP|9459986029558627227</stp>
        <tr r="BF107" s="3"/>
      </tp>
      <tp t="s">
        <v>#N/A N/A</v>
        <stp/>
        <stp>BDP|7946310127208963672</stp>
        <tr r="CJ111" s="3"/>
      </tp>
      <tp t="s">
        <v>#N/A N/A</v>
        <stp/>
        <stp>BDP|4959387212688791658</stp>
        <tr r="BE90" s="3"/>
      </tp>
      <tp t="s">
        <v>#N/A N/A</v>
        <stp/>
        <stp>BDP|1572712146962703837</stp>
        <tr r="F73" s="3"/>
      </tp>
      <tp t="s">
        <v>#N/A N/A</v>
        <stp/>
        <stp>BDP|2039433821998361474</stp>
        <tr r="CK74" s="3"/>
      </tp>
      <tp t="s">
        <v>#N/A N/A</v>
        <stp/>
        <stp>BDP|2595641778908824379</stp>
        <tr r="BS87" s="3"/>
      </tp>
      <tp t="s">
        <v>#N/A N/A</v>
        <stp/>
        <stp>BDP|5808699897371918397</stp>
        <tr r="BR97" s="3"/>
      </tp>
      <tp t="s">
        <v>#N/A N/A</v>
        <stp/>
        <stp>BDP|4202325457818165205</stp>
        <tr r="P102" s="3"/>
      </tp>
      <tp t="s">
        <v>#N/A N/A</v>
        <stp/>
        <stp>BDP|1025518337998503750</stp>
        <tr r="P98" s="3"/>
      </tp>
      <tp t="s">
        <v>#N/A N/A</v>
        <stp/>
        <stp>BDP|8047179251621727568</stp>
        <tr r="BL85" s="3"/>
      </tp>
      <tp t="s">
        <v>#N/A N/A</v>
        <stp/>
        <stp>BDP|2155838507473495163</stp>
        <tr r="AD87" s="3"/>
      </tp>
      <tp t="s">
        <v>#N/A N/A</v>
        <stp/>
        <stp>BDP|6595858838996860379</stp>
        <tr r="K75" s="3"/>
      </tp>
      <tp t="s">
        <v>#N/A N/A</v>
        <stp/>
        <stp>BDP|9886304465157828316</stp>
        <tr r="AN110" s="3"/>
      </tp>
      <tp t="s">
        <v>#N/A N/A</v>
        <stp/>
        <stp>BDP|5984456592338864827</stp>
        <tr r="AF95" s="3"/>
      </tp>
      <tp t="s">
        <v>#N/A N/A</v>
        <stp/>
        <stp>BDP|8976698595539779662</stp>
        <tr r="BR96" s="3"/>
      </tp>
      <tp t="s">
        <v>#N/A N/A</v>
        <stp/>
        <stp>BDP|8523369773184439009</stp>
        <tr r="CI89" s="3"/>
      </tp>
      <tp t="s">
        <v>#N/A N/A</v>
        <stp/>
        <stp>BDP|7152233982445483008</stp>
        <tr r="CE97" s="3"/>
      </tp>
      <tp t="s">
        <v>#N/A N/A</v>
        <stp/>
        <stp>BDP|5134925227093222526</stp>
        <tr r="M89" s="3"/>
      </tp>
      <tp t="s">
        <v>#N/A N/A</v>
        <stp/>
        <stp>BDP|8715531277377031577</stp>
        <tr r="O85" s="3"/>
      </tp>
      <tp t="s">
        <v>#N/A N/A</v>
        <stp/>
        <stp>BDP|6523634007721399971</stp>
        <tr r="CJ96" s="3"/>
      </tp>
      <tp t="s">
        <v>#N/A N/A</v>
        <stp/>
        <stp>BDP|7801725694367269693</stp>
        <tr r="BV87" s="3"/>
      </tp>
      <tp t="s">
        <v>#N/A N/A</v>
        <stp/>
        <stp>BDP|4597191855188677156</stp>
        <tr r="BB111" s="3"/>
      </tp>
      <tp t="s">
        <v>#N/A N/A</v>
        <stp/>
        <stp>BDP|2427485037435417955</stp>
        <tr r="Y85" s="3"/>
      </tp>
      <tp t="s">
        <v>#N/A N/A</v>
        <stp/>
        <stp>BDP|8688092005979106814</stp>
        <tr r="M105" s="3"/>
      </tp>
      <tp t="s">
        <v>#N/A N/A</v>
        <stp/>
        <stp>BDP|8736545409011584543</stp>
        <tr r="AH93" s="3"/>
      </tp>
      <tp t="s">
        <v>#N/A N/A</v>
        <stp/>
        <stp>BDP|2265816548742284522</stp>
        <tr r="BW74" s="3"/>
      </tp>
      <tp t="s">
        <v>#N/A N/A</v>
        <stp/>
        <stp>BDP|7585945857715826756</stp>
        <tr r="AP92" s="3"/>
      </tp>
      <tp t="s">
        <v>#N/A N/A</v>
        <stp/>
        <stp>BDP|4942872670542505002</stp>
        <tr r="AO73" s="3"/>
      </tp>
      <tp t="s">
        <v>#N/A N/A</v>
        <stp/>
        <stp>BDP|8917655237661762575</stp>
        <tr r="CG73" s="3"/>
      </tp>
      <tp t="s">
        <v>#N/A N/A</v>
        <stp/>
        <stp>BDP|3522472382107906123</stp>
        <tr r="CH109" s="3"/>
      </tp>
      <tp t="s">
        <v>#N/A N/A</v>
        <stp/>
        <stp>BDP|9319307544273817447</stp>
        <tr r="H104" s="3"/>
      </tp>
      <tp t="s">
        <v>#N/A N/A</v>
        <stp/>
        <stp>BDP|9800618444110562239</stp>
        <tr r="O96" s="3"/>
      </tp>
      <tp t="s">
        <v>#N/A N/A</v>
        <stp/>
        <stp>BDP|8064388953686631152</stp>
        <tr r="AS92" s="3"/>
      </tp>
      <tp t="s">
        <v>#N/A N/A</v>
        <stp/>
        <stp>BDP|4800444055854106805</stp>
        <tr r="CD107" s="3"/>
      </tp>
      <tp t="s">
        <v>#N/A N/A</v>
        <stp/>
        <stp>BDP|1929986333287981536</stp>
        <tr r="J97" s="3"/>
      </tp>
      <tp t="s">
        <v>#N/A N/A</v>
        <stp/>
        <stp>BDP|5319171566978252395</stp>
        <tr r="BA99" s="3"/>
      </tp>
      <tp t="s">
        <v>#N/A N/A</v>
        <stp/>
        <stp>BDP|7595592877198623440</stp>
        <tr r="BE95" s="3"/>
      </tp>
      <tp t="s">
        <v>#N/A N/A</v>
        <stp/>
        <stp>BDP|4000687712693427978</stp>
        <tr r="AX89" s="3"/>
      </tp>
      <tp t="s">
        <v>#N/A N/A</v>
        <stp/>
        <stp>BDP|5690432108811500919</stp>
        <tr r="AS106" s="3"/>
      </tp>
      <tp t="s">
        <v>#N/A N/A</v>
        <stp/>
        <stp>BDP|7463420845849814723</stp>
        <tr r="W92" s="3"/>
      </tp>
      <tp t="s">
        <v>#N/A N/A</v>
        <stp/>
        <stp>BDP|9789873490706963705</stp>
        <tr r="I94" s="3"/>
      </tp>
      <tp t="s">
        <v>#N/A N/A</v>
        <stp/>
        <stp>BDP|3035365556808162489</stp>
        <tr r="K94" s="3"/>
      </tp>
      <tp t="s">
        <v>#N/A N/A</v>
        <stp/>
        <stp>BDP|8643525218342061750</stp>
        <tr r="CD93" s="3"/>
      </tp>
      <tp t="s">
        <v>#N/A N/A</v>
        <stp/>
        <stp>BDP|5069534487983309290</stp>
        <tr r="BQ85" s="3"/>
      </tp>
      <tp t="s">
        <v>#N/A N/A</v>
        <stp/>
        <stp>BDP|5295025808074574831</stp>
        <tr r="AU76" s="3"/>
      </tp>
      <tp t="s">
        <v>#N/A N/A</v>
        <stp/>
        <stp>BDP|4378846166853820060</stp>
        <tr r="R100" s="3"/>
      </tp>
      <tp t="s">
        <v>#N/A N/A</v>
        <stp/>
        <stp>BDP|6386543094264435780</stp>
        <tr r="BY95" s="3"/>
      </tp>
      <tp t="s">
        <v>#N/A N/A</v>
        <stp/>
        <stp>BDP|2333179298323084030</stp>
        <tr r="BO90" s="3"/>
      </tp>
      <tp t="s">
        <v>#N/A N/A</v>
        <stp/>
        <stp>BDP|9047087325063183138</stp>
        <tr r="BO106" s="3"/>
      </tp>
      <tp t="s">
        <v>#N/A N/A</v>
        <stp/>
        <stp>BDP|5246810216067249282</stp>
        <tr r="BH94" s="3"/>
      </tp>
      <tp t="s">
        <v>#N/A N/A</v>
        <stp/>
        <stp>BDP|9527699253641287220</stp>
        <tr r="CI103" s="3"/>
      </tp>
      <tp t="s">
        <v>#N/A N/A</v>
        <stp/>
        <stp>BDP|8557102412825884403</stp>
        <tr r="AA76" s="3"/>
      </tp>
      <tp t="s">
        <v>#N/A N/A</v>
        <stp/>
        <stp>BDP|7230394321879596600</stp>
        <tr r="L100" s="3"/>
      </tp>
      <tp t="s">
        <v>#N/A N/A</v>
        <stp/>
        <stp>BDP|5337120682903905660</stp>
        <tr r="F109" s="3"/>
      </tp>
      <tp t="s">
        <v>#N/A N/A</v>
        <stp/>
        <stp>BDP|6926630283234403514</stp>
        <tr r="AH94" s="3"/>
      </tp>
      <tp t="s">
        <v>#N/A N/A</v>
        <stp/>
        <stp>BDP|1837535439068766694</stp>
        <tr r="AP97" s="3"/>
      </tp>
      <tp t="s">
        <v>#N/A N/A</v>
        <stp/>
        <stp>BDP|4437452140885479899</stp>
        <tr r="BR109" s="3"/>
      </tp>
      <tp t="s">
        <v>#N/A N/A</v>
        <stp/>
        <stp>BDP|4357787193771218263</stp>
        <tr r="AE89" s="3"/>
      </tp>
      <tp t="s">
        <v>#N/A N/A</v>
        <stp/>
        <stp>BDP|7799972128566269373</stp>
        <tr r="BE102" s="3"/>
      </tp>
      <tp t="s">
        <v>#N/A N/A</v>
        <stp/>
        <stp>BDP|2405518407248875670</stp>
        <tr r="BM113" s="3"/>
      </tp>
      <tp t="s">
        <v>#N/A N/A</v>
        <stp/>
        <stp>BDP|1345554820708208796</stp>
        <tr r="Q88" s="3"/>
      </tp>
      <tp t="s">
        <v>#N/A N/A</v>
        <stp/>
        <stp>BDP|4916071026798577701</stp>
        <tr r="AX107" s="3"/>
      </tp>
      <tp t="s">
        <v>#N/A N/A</v>
        <stp/>
        <stp>BDP|1067041044699513580</stp>
        <tr r="BM85" s="3"/>
      </tp>
      <tp t="s">
        <v>#N/A N/A</v>
        <stp/>
        <stp>BDP|5363942273574865614</stp>
        <tr r="AR111" s="3"/>
      </tp>
      <tp t="s">
        <v>#N/A N/A</v>
        <stp/>
        <stp>BDP|6002082068188824153</stp>
        <tr r="AC96" s="3"/>
      </tp>
      <tp t="s">
        <v>#N/A N/A</v>
        <stp/>
        <stp>BDP|6933385543291774981</stp>
        <tr r="AG89" s="3"/>
      </tp>
      <tp t="s">
        <v>#N/A N/A</v>
        <stp/>
        <stp>BDP|4546235558233170921</stp>
        <tr r="S87" s="3"/>
      </tp>
      <tp t="s">
        <v>#N/A N/A</v>
        <stp/>
        <stp>BDP|8362177467391852763</stp>
        <tr r="P110" s="3"/>
      </tp>
      <tp t="s">
        <v>#N/A N/A</v>
        <stp/>
        <stp>BDP|1841305063434880915</stp>
        <tr r="BG101" s="3"/>
      </tp>
      <tp t="s">
        <v>#N/A N/A</v>
        <stp/>
        <stp>BDP|9665618635444978190</stp>
        <tr r="AX85" s="3"/>
      </tp>
      <tp t="s">
        <v>#N/A N/A</v>
        <stp/>
        <stp>BDP|2231348729762437893</stp>
        <tr r="AL101" s="3"/>
      </tp>
      <tp t="s">
        <v>#N/A N/A</v>
        <stp/>
        <stp>BDP|1300541118145948947</stp>
        <tr r="BM98" s="3"/>
      </tp>
      <tp t="s">
        <v>#N/A N/A</v>
        <stp/>
        <stp>BDP|4845730556356828976</stp>
        <tr r="W76" s="3"/>
      </tp>
      <tp t="s">
        <v>#N/A N/A</v>
        <stp/>
        <stp>BDP|1657424082845667128</stp>
        <tr r="CA85" s="3"/>
      </tp>
      <tp t="s">
        <v>#N/A N/A</v>
        <stp/>
        <stp>BDP|8378591081449123598</stp>
        <tr r="U111" s="3"/>
      </tp>
      <tp t="s">
        <v>#N/A N/A</v>
        <stp/>
        <stp>BDP|3050803507195697724</stp>
        <tr r="AO104" s="3"/>
      </tp>
      <tp t="s">
        <v>#N/A N/A</v>
        <stp/>
        <stp>BDP|8626301588592426899</stp>
        <tr r="AZ95" s="3"/>
      </tp>
      <tp t="s">
        <v>#N/A N/A</v>
        <stp/>
        <stp>BDP|8740865410988044021</stp>
        <tr r="BK100" s="3"/>
      </tp>
      <tp t="s">
        <v>#N/A N/A</v>
        <stp/>
        <stp>BDP|3529797699104256043</stp>
        <tr r="BS113" s="3"/>
      </tp>
      <tp t="s">
        <v>#N/A N/A</v>
        <stp/>
        <stp>BDP|7473110053829441322</stp>
        <tr r="BF91" s="3"/>
      </tp>
      <tp t="s">
        <v>#N/A N/A</v>
        <stp/>
        <stp>BDP|8652702945901345302</stp>
        <tr r="BR87" s="3"/>
      </tp>
      <tp t="s">
        <v>#N/A N/A</v>
        <stp/>
        <stp>BDP|2069875751865082368</stp>
        <tr r="AX98" s="3"/>
      </tp>
      <tp t="s">
        <v>#N/A N/A</v>
        <stp/>
        <stp>BDP|6858489980270877388</stp>
        <tr r="L89" s="3"/>
      </tp>
      <tp t="s">
        <v>#N/A N/A</v>
        <stp/>
        <stp>BDP|8112388772036304392</stp>
        <tr r="BH87" s="3"/>
      </tp>
      <tp t="s">
        <v>#N/A N/A</v>
        <stp/>
        <stp>BDP|4922478903329820040</stp>
        <tr r="CC96" s="3"/>
      </tp>
      <tp t="s">
        <v>#N/A N/A</v>
        <stp/>
        <stp>BDP|1245149562727402814</stp>
        <tr r="Q94" s="3"/>
      </tp>
      <tp t="s">
        <v>#N/A N/A</v>
        <stp/>
        <stp>BDP|3093957272253658707</stp>
        <tr r="Y108" s="3"/>
      </tp>
      <tp t="s">
        <v>#N/A N/A</v>
        <stp/>
        <stp>BDP|9926684902267133134</stp>
        <tr r="P105" s="3"/>
      </tp>
      <tp t="s">
        <v>#N/A N/A</v>
        <stp/>
        <stp>BDP|9256556432604513216</stp>
        <tr r="BW77" s="3"/>
      </tp>
      <tp t="s">
        <v>#N/A N/A</v>
        <stp/>
        <stp>BDP|8961642037240355485</stp>
        <tr r="I92" s="3"/>
      </tp>
      <tp t="s">
        <v>#N/A N/A</v>
        <stp/>
        <stp>BDP|8395745144461502308</stp>
        <tr r="I96" s="3"/>
      </tp>
      <tp t="s">
        <v>#N/A N/A</v>
        <stp/>
        <stp>BDP|5387643993731174238</stp>
        <tr r="R99" s="3"/>
      </tp>
      <tp t="s">
        <v>#N/A N/A</v>
        <stp/>
        <stp>BDP|2599815431515099532</stp>
        <tr r="Z87" s="3"/>
      </tp>
      <tp t="s">
        <v>#N/A N/A</v>
        <stp/>
        <stp>BDP|4395524691090694101</stp>
        <tr r="AM113" s="3"/>
      </tp>
      <tp t="s">
        <v>#N/A N/A</v>
        <stp/>
        <stp>BDP|3311149314413428919</stp>
        <tr r="BJ101" s="3"/>
      </tp>
      <tp t="s">
        <v>#N/A N/A</v>
        <stp/>
        <stp>BDP|3098240383138316830</stp>
        <tr r="BZ87" s="3"/>
      </tp>
      <tp t="s">
        <v>#N/A N/A</v>
        <stp/>
        <stp>BDP|9708839395336229745</stp>
        <tr r="BI101" s="3"/>
      </tp>
      <tp t="s">
        <v>#N/A N/A</v>
        <stp/>
        <stp>BDP|7675036052042765979</stp>
        <tr r="J85" s="3"/>
      </tp>
      <tp t="s">
        <v>#N/A N/A</v>
        <stp/>
        <stp>BDP|4165128436279255609</stp>
        <tr r="BX91" s="3"/>
      </tp>
      <tp t="s">
        <v>#N/A N/A</v>
        <stp/>
        <stp>BDP|8771327513573410051</stp>
        <tr r="I88" s="3"/>
      </tp>
      <tp t="s">
        <v>#N/A N/A</v>
        <stp/>
        <stp>BDP|7825145998336481079</stp>
        <tr r="AM91" s="3"/>
      </tp>
      <tp t="s">
        <v>#N/A N/A</v>
        <stp/>
        <stp>BDP|1915398321898309168</stp>
        <tr r="CG97" s="3"/>
      </tp>
      <tp t="s">
        <v>#N/A N/A</v>
        <stp/>
        <stp>BDP|5040148011074156801</stp>
        <tr r="AG98" s="3"/>
      </tp>
      <tp t="s">
        <v>#N/A N/A</v>
        <stp/>
        <stp>BDP|1171918786659629043</stp>
        <tr r="AD94" s="3"/>
      </tp>
      <tp t="s">
        <v>#N/A N/A</v>
        <stp/>
        <stp>BDP|9504003437787480423</stp>
        <tr r="BD76" s="3"/>
      </tp>
      <tp t="s">
        <v>#N/A N/A</v>
        <stp/>
        <stp>BDP|9346938785872619374</stp>
        <tr r="AP95" s="3"/>
      </tp>
      <tp t="s">
        <v>#N/A N/A</v>
        <stp/>
        <stp>BDP|6910935106192040480</stp>
        <tr r="AB105" s="3"/>
      </tp>
      <tp t="s">
        <v>#N/A N/A</v>
        <stp/>
        <stp>BDP|6560566880082479036</stp>
        <tr r="AC97" s="3"/>
      </tp>
      <tp t="s">
        <v>#N/A N/A</v>
        <stp/>
        <stp>BDP|8295395614622219198</stp>
        <tr r="CF112" s="3"/>
      </tp>
      <tp t="s">
        <v>#N/A N/A</v>
        <stp/>
        <stp>BDP|5509185288590819592</stp>
        <tr r="BP92" s="3"/>
      </tp>
      <tp t="s">
        <v>#N/A N/A</v>
        <stp/>
        <stp>BDP|8551380028685611575</stp>
        <tr r="X97" s="3"/>
      </tp>
      <tp t="s">
        <v>#N/A N/A</v>
        <stp/>
        <stp>BDP|6674859467360891190</stp>
        <tr r="BV101" s="3"/>
      </tp>
      <tp t="s">
        <v>#N/A N/A</v>
        <stp/>
        <stp>BDP|4284364516916651917</stp>
        <tr r="BD73" s="3"/>
      </tp>
      <tp t="s">
        <v>#N/A N/A</v>
        <stp/>
        <stp>BDP|4935710722012102918</stp>
        <tr r="N104" s="3"/>
      </tp>
      <tp t="s">
        <v>#N/A N/A</v>
        <stp/>
        <stp>BDP|6202054288897348365</stp>
        <tr r="AB110" s="3"/>
      </tp>
      <tp t="s">
        <v>#N/A N/A</v>
        <stp/>
        <stp>BDP|8166259987719046193</stp>
        <tr r="Q75" s="3"/>
      </tp>
      <tp t="s">
        <v>#N/A N/A</v>
        <stp/>
        <stp>BDP|6040953756629198989</stp>
        <tr r="CA101" s="3"/>
      </tp>
      <tp t="s">
        <v>#N/A N/A</v>
        <stp/>
        <stp>BDP|7670882938036465081</stp>
        <tr r="BK111" s="3"/>
      </tp>
      <tp t="s">
        <v>#N/A N/A</v>
        <stp/>
        <stp>BDP|9180286911318665853</stp>
        <tr r="AT105" s="3"/>
      </tp>
      <tp t="s">
        <v>#N/A N/A</v>
        <stp/>
        <stp>BDP|2082329209308753375</stp>
        <tr r="J111" s="3"/>
      </tp>
      <tp t="s">
        <v>#N/A N/A</v>
        <stp/>
        <stp>BDP|1970238224803009851</stp>
        <tr r="Y76" s="3"/>
      </tp>
      <tp t="s">
        <v>#N/A N/A</v>
        <stp/>
        <stp>BDP|6500308159199749336</stp>
        <tr r="AX74" s="3"/>
      </tp>
      <tp t="s">
        <v>#N/A N/A</v>
        <stp/>
        <stp>BDP|1364848175390202482</stp>
        <tr r="CI104" s="3"/>
      </tp>
      <tp t="s">
        <v>#N/A N/A</v>
        <stp/>
        <stp>BDP|5453958968823545342</stp>
        <tr r="BD102" s="3"/>
      </tp>
      <tp t="s">
        <v>#N/A N/A</v>
        <stp/>
        <stp>BDP|2678274519473833881</stp>
        <tr r="AV73" s="3"/>
      </tp>
      <tp t="s">
        <v>#N/A N/A</v>
        <stp/>
        <stp>BDP|6311587357218188459</stp>
        <tr r="AQ99" s="3"/>
      </tp>
      <tp t="s">
        <v>#N/A N/A</v>
        <stp/>
        <stp>BDP|7389448097316978612</stp>
        <tr r="G112" s="3"/>
      </tp>
      <tp t="s">
        <v>#N/A N/A</v>
        <stp/>
        <stp>BDP|8953112553376480065</stp>
        <tr r="BD101" s="3"/>
      </tp>
      <tp t="s">
        <v>#N/A N/A</v>
        <stp/>
        <stp>BDP|4092874737344818114</stp>
        <tr r="Q106" s="3"/>
      </tp>
      <tp t="s">
        <v>#N/A N/A</v>
        <stp/>
        <stp>BDP|2253150292972450284</stp>
        <tr r="BM90" s="3"/>
      </tp>
      <tp t="s">
        <v>#N/A N/A</v>
        <stp/>
        <stp>BDP|3647683791930194679</stp>
        <tr r="L90" s="3"/>
      </tp>
      <tp t="s">
        <v>#N/A N/A</v>
        <stp/>
        <stp>BDP|2399904408901614046</stp>
        <tr r="BD89" s="3"/>
      </tp>
      <tp t="s">
        <v>#N/A N/A</v>
        <stp/>
        <stp>BDP|3907791394226969147</stp>
        <tr r="BQ76" s="3"/>
      </tp>
      <tp t="s">
        <v>#N/A N/A</v>
        <stp/>
        <stp>BDP|1206985455927602008</stp>
        <tr r="CJ113" s="3"/>
      </tp>
      <tp t="s">
        <v>#N/A N/A</v>
        <stp/>
        <stp>BDP|5997757529948574296</stp>
        <tr r="BE73" s="3"/>
      </tp>
      <tp t="s">
        <v>#N/A N/A</v>
        <stp/>
        <stp>BDP|2525015798832044320</stp>
        <tr r="AY91" s="3"/>
      </tp>
      <tp t="s">
        <v>#N/A N/A</v>
        <stp/>
        <stp>BDP|8974617018334689180</stp>
        <tr r="AX90" s="3"/>
      </tp>
      <tp t="s">
        <v>#N/A N/A</v>
        <stp/>
        <stp>BDP|1580417489544027335</stp>
        <tr r="AK95" s="3"/>
      </tp>
      <tp t="s">
        <v>#N/A N/A</v>
        <stp/>
        <stp>BDP|4143991191526438833</stp>
        <tr r="F104" s="3"/>
      </tp>
      <tp t="s">
        <v>#N/A N/A</v>
        <stp/>
        <stp>BDP|9954804831471508936</stp>
        <tr r="BV113" s="3"/>
      </tp>
      <tp t="s">
        <v>#N/A N/A</v>
        <stp/>
        <stp>BDP|4746033608697713949</stp>
        <tr r="S110" s="3"/>
      </tp>
      <tp t="s">
        <v>#N/A N/A</v>
        <stp/>
        <stp>BDP|8861422236171368408</stp>
        <tr r="BN95" s="3"/>
      </tp>
      <tp t="s">
        <v>#N/A N/A</v>
        <stp/>
        <stp>BDP|2861816401576154661</stp>
        <tr r="V75" s="3"/>
      </tp>
      <tp t="s">
        <v>#N/A N/A</v>
        <stp/>
        <stp>BDP|8888062346370186661</stp>
        <tr r="CG75" s="3"/>
      </tp>
      <tp t="s">
        <v>#N/A N/A</v>
        <stp/>
        <stp>BDP|7773612857808882663</stp>
        <tr r="CF73" s="3"/>
      </tp>
      <tp t="s">
        <v>#N/A N/A</v>
        <stp/>
        <stp>BDP|2946620561950677808</stp>
        <tr r="CA95" s="3"/>
      </tp>
      <tp t="s">
        <v>#N/A N/A</v>
        <stp/>
        <stp>BDP|8520425818534597372</stp>
        <tr r="BE99" s="3"/>
      </tp>
      <tp t="s">
        <v>#N/A N/A</v>
        <stp/>
        <stp>BDP|1605461988670485716</stp>
        <tr r="AN74" s="3"/>
      </tp>
      <tp t="s">
        <v>#N/A N/A</v>
        <stp/>
        <stp>BDP|2178032033872548993</stp>
        <tr r="BU107" s="3"/>
      </tp>
      <tp t="s">
        <v>#N/A N/A</v>
        <stp/>
        <stp>BDP|3637853670083914573</stp>
        <tr r="BG89" s="3"/>
      </tp>
      <tp t="s">
        <v>#N/A N/A</v>
        <stp/>
        <stp>BDP|5589673578839278752</stp>
        <tr r="CD103" s="3"/>
      </tp>
      <tp t="s">
        <v>#N/A N/A</v>
        <stp/>
        <stp>BDP|8107030370787292226</stp>
        <tr r="T88" s="3"/>
      </tp>
      <tp t="s">
        <v>#N/A N/A</v>
        <stp/>
        <stp>BDP|9469601806303383636</stp>
        <tr r="CD85" s="3"/>
      </tp>
      <tp t="s">
        <v>#N/A N/A</v>
        <stp/>
        <stp>BDP|2299576641538081162</stp>
        <tr r="CH87" s="3"/>
      </tp>
      <tp t="s">
        <v>#N/A N/A</v>
        <stp/>
        <stp>BDP|3603317139751953857</stp>
        <tr r="BD93" s="3"/>
      </tp>
      <tp t="s">
        <v>#N/A N/A</v>
        <stp/>
        <stp>BDP|7331766107948602269</stp>
        <tr r="CF105" s="3"/>
      </tp>
      <tp t="s">
        <v>#N/A N/A</v>
        <stp/>
        <stp>BDP|4590537572934203843</stp>
        <tr r="AQ96" s="3"/>
      </tp>
      <tp t="s">
        <v>#N/A N/A</v>
        <stp/>
        <stp>BDP|5941896044277742412</stp>
        <tr r="M94" s="3"/>
      </tp>
      <tp t="s">
        <v>#N/A N/A</v>
        <stp/>
        <stp>BDP|1698933980622747815</stp>
        <tr r="BM87" s="3"/>
      </tp>
      <tp t="s">
        <v>#N/A N/A</v>
        <stp/>
        <stp>BDP|5317612356125370946</stp>
        <tr r="AL92" s="3"/>
      </tp>
      <tp t="s">
        <v>#N/A N/A</v>
        <stp/>
        <stp>BDP|6402346933934633854</stp>
        <tr r="O102" s="3"/>
      </tp>
      <tp t="s">
        <v>#N/A N/A</v>
        <stp/>
        <stp>BDP|4667193933999428583</stp>
        <tr r="BO89" s="3"/>
      </tp>
      <tp t="s">
        <v>#N/A N/A</v>
        <stp/>
        <stp>BDP|2058825034542403127</stp>
        <tr r="BT93" s="3"/>
      </tp>
      <tp t="s">
        <v>#N/A N/A</v>
        <stp/>
        <stp>BDP|1954754459729541007</stp>
        <tr r="AD92" s="3"/>
      </tp>
      <tp t="s">
        <v>#N/A N/A</v>
        <stp/>
        <stp>BDP|8886644478663289067</stp>
        <tr r="AQ108" s="3"/>
      </tp>
      <tp t="s">
        <v>#N/A N/A</v>
        <stp/>
        <stp>BDP|8828095037641036067</stp>
        <tr r="BG103" s="3"/>
      </tp>
      <tp t="s">
        <v>#N/A N/A</v>
        <stp/>
        <stp>BDP|4907962226102154782</stp>
        <tr r="AE109" s="3"/>
      </tp>
      <tp t="s">
        <v>#N/A N/A</v>
        <stp/>
        <stp>BDP|3299436815788282479</stp>
        <tr r="BI108" s="3"/>
      </tp>
      <tp t="s">
        <v>#N/A N/A</v>
        <stp/>
        <stp>BDP|2680706494110642656</stp>
        <tr r="BN93" s="3"/>
      </tp>
      <tp t="s">
        <v>#N/A N/A</v>
        <stp/>
        <stp>BDP|8119516380868133700</stp>
        <tr r="CE95" s="3"/>
      </tp>
      <tp t="s">
        <v>#N/A N/A</v>
        <stp/>
        <stp>BDP|1634774326787650905</stp>
        <tr r="CD98" s="3"/>
      </tp>
      <tp t="s">
        <v>#N/A N/A</v>
        <stp/>
        <stp>BDP|2751113441048518537</stp>
        <tr r="AA109" s="3"/>
      </tp>
      <tp t="s">
        <v>#N/A N/A</v>
        <stp/>
        <stp>BDP|1418457309478928702</stp>
        <tr r="AA77" s="3"/>
      </tp>
      <tp t="s">
        <v>#N/A N/A</v>
        <stp/>
        <stp>BDP|3437108025732339846</stp>
        <tr r="AS91" s="3"/>
      </tp>
      <tp t="s">
        <v>#N/A N/A</v>
        <stp/>
        <stp>BDP|2605008028662975814</stp>
        <tr r="BO103" s="3"/>
      </tp>
      <tp t="s">
        <v>#N/A N/A</v>
        <stp/>
        <stp>BDP|7921213692151884744</stp>
        <tr r="BG74" s="3"/>
      </tp>
      <tp t="s">
        <v>#N/A N/A</v>
        <stp/>
        <stp>BDP|9561643362680197346</stp>
        <tr r="CG95" s="3"/>
      </tp>
      <tp t="s">
        <v>#N/A N/A</v>
        <stp/>
        <stp>BDP|5107965607786345057</stp>
        <tr r="CJ95" s="3"/>
      </tp>
      <tp t="s">
        <v>#N/A N/A</v>
        <stp/>
        <stp>BDP|2859164258618548453</stp>
        <tr r="AS77" s="3"/>
      </tp>
      <tp t="s">
        <v>#N/A N/A</v>
        <stp/>
        <stp>BDP|4013552490185105721</stp>
        <tr r="AB99" s="3"/>
      </tp>
      <tp t="s">
        <v>#N/A N/A</v>
        <stp/>
        <stp>BDP|7511738161305116909</stp>
        <tr r="BQ108" s="3"/>
      </tp>
      <tp t="s">
        <v>#N/A N/A</v>
        <stp/>
        <stp>BDP|8923205015402802326</stp>
        <tr r="BG95" s="3"/>
      </tp>
      <tp t="s">
        <v>#N/A N/A</v>
        <stp/>
        <stp>BDP|8486626707664765008</stp>
        <tr r="AY107" s="3"/>
      </tp>
      <tp t="s">
        <v>#N/A N/A</v>
        <stp/>
        <stp>BDP|1456310122679169317</stp>
        <tr r="BA102" s="3"/>
      </tp>
      <tp t="s">
        <v>#N/A N/A</v>
        <stp/>
        <stp>BDP|9715919316663035878</stp>
        <tr r="AM87" s="3"/>
      </tp>
      <tp t="s">
        <v>#N/A N/A</v>
        <stp/>
        <stp>BDP|4634846364513279332</stp>
        <tr r="AJ107" s="3"/>
      </tp>
      <tp t="s">
        <v>#N/A N/A</v>
        <stp/>
        <stp>BDP|9921587547610016216</stp>
        <tr r="S73" s="3"/>
      </tp>
      <tp t="s">
        <v>#N/A N/A</v>
        <stp/>
        <stp>BDP|5905690520868435302</stp>
        <tr r="BA95" s="3"/>
      </tp>
      <tp t="s">
        <v>#N/A N/A</v>
        <stp/>
        <stp>BDP|5293370223099687742</stp>
        <tr r="AI85" s="3"/>
      </tp>
      <tp t="s">
        <v>#N/A N/A</v>
        <stp/>
        <stp>BDP|8109174553303128503</stp>
        <tr r="BE113" s="3"/>
      </tp>
      <tp t="s">
        <v>#N/A N/A</v>
        <stp/>
        <stp>BDP|3537478977079370335</stp>
        <tr r="O76" s="3"/>
      </tp>
      <tp t="s">
        <v>#N/A N/A</v>
        <stp/>
        <stp>BDP|3181228946839321634</stp>
        <tr r="AW108" s="3"/>
      </tp>
      <tp t="s">
        <v>#N/A N/A</v>
        <stp/>
        <stp>BDP|8735723440719052801</stp>
        <tr r="AU112" s="3"/>
      </tp>
      <tp t="s">
        <v>#N/A N/A</v>
        <stp/>
        <stp>BDP|1612152947779454754</stp>
        <tr r="BG75" s="3"/>
      </tp>
      <tp t="s">
        <v>#N/A N/A</v>
        <stp/>
        <stp>BDP|3166652811337324930</stp>
        <tr r="BB112" s="3"/>
      </tp>
      <tp t="s">
        <v>#N/A N/A</v>
        <stp/>
        <stp>BDP|2688236825948524002</stp>
        <tr r="Z100" s="3"/>
      </tp>
      <tp t="s">
        <v>#N/A N/A</v>
        <stp/>
        <stp>BDP|6586405658058375447</stp>
        <tr r="BN111" s="3"/>
      </tp>
      <tp t="s">
        <v>#N/A N/A</v>
        <stp/>
        <stp>BDP|5590882106233046511</stp>
        <tr r="BV102" s="3"/>
      </tp>
      <tp t="s">
        <v>#N/A N/A</v>
        <stp/>
        <stp>BDP|3357881265423380576</stp>
        <tr r="BT73" s="3"/>
      </tp>
      <tp t="s">
        <v>#N/A N/A</v>
        <stp/>
        <stp>BDP|5687723591371835178</stp>
        <tr r="BC107" s="3"/>
      </tp>
      <tp t="s">
        <v>#N/A N/A</v>
        <stp/>
        <stp>BDP|2012870514801185185</stp>
        <tr r="U73" s="3"/>
      </tp>
      <tp t="s">
        <v>#N/A N/A</v>
        <stp/>
        <stp>BDP|8625284034830851291</stp>
        <tr r="BA76" s="3"/>
      </tp>
      <tp t="s">
        <v>#N/A N/A</v>
        <stp/>
        <stp>BDP|5566762182203372292</stp>
        <tr r="AT76" s="3"/>
      </tp>
      <tp t="s">
        <v>#N/A N/A</v>
        <stp/>
        <stp>BDP|8612496695418002615</stp>
        <tr r="BX100" s="3"/>
      </tp>
      <tp t="s">
        <v>#N/A N/A</v>
        <stp/>
        <stp>BDP|7705499201529521127</stp>
        <tr r="R105" s="3"/>
      </tp>
      <tp t="s">
        <v>#N/A N/A</v>
        <stp/>
        <stp>BDP|5877998220082126780</stp>
        <tr r="AY110" s="3"/>
      </tp>
      <tp t="s">
        <v>#N/A N/A</v>
        <stp/>
        <stp>BDP|8870291802029364882</stp>
        <tr r="G94" s="3"/>
      </tp>
      <tp t="s">
        <v>#N/A N/A</v>
        <stp/>
        <stp>BDP|2785203562094892955</stp>
        <tr r="BH95" s="3"/>
      </tp>
      <tp t="s">
        <v>#N/A N/A</v>
        <stp/>
        <stp>BDP|1371289781660095038</stp>
        <tr r="AZ85" s="3"/>
      </tp>
      <tp t="s">
        <v>#N/A N/A</v>
        <stp/>
        <stp>BDP|2827341984604243638</stp>
        <tr r="H97" s="3"/>
      </tp>
      <tp t="s">
        <v>#N/A N/A</v>
        <stp/>
        <stp>BDP|6379182273323088816</stp>
        <tr r="BB102" s="3"/>
      </tp>
      <tp t="s">
        <v>#N/A N/A</v>
        <stp/>
        <stp>BDP|8857600209966917311</stp>
        <tr r="CJ73" s="3"/>
      </tp>
      <tp t="s">
        <v>#N/A N/A</v>
        <stp/>
        <stp>BDP|2576052318660465851</stp>
        <tr r="AU96" s="3"/>
      </tp>
      <tp t="s">
        <v>#N/A N/A</v>
        <stp/>
        <stp>BDP|9214067432337868677</stp>
        <tr r="AM111" s="3"/>
      </tp>
      <tp t="s">
        <v>#N/A N/A</v>
        <stp/>
        <stp>BDP|2034650463218741183</stp>
        <tr r="AB76" s="3"/>
      </tp>
      <tp t="s">
        <v>#N/A N/A</v>
        <stp/>
        <stp>BDP|9210141336863672386</stp>
        <tr r="AQ74" s="3"/>
      </tp>
      <tp t="s">
        <v>#N/A N/A</v>
        <stp/>
        <stp>BDP|2766385873985537876</stp>
        <tr r="AH89" s="3"/>
      </tp>
      <tp t="s">
        <v>#N/A N/A</v>
        <stp/>
        <stp>BDP|6371224763050521990</stp>
        <tr r="CI99" s="3"/>
      </tp>
      <tp t="s">
        <v>#N/A N/A</v>
        <stp/>
        <stp>BDP|1071172822618288198</stp>
        <tr r="AR98" s="3"/>
      </tp>
      <tp t="s">
        <v>#N/A N/A</v>
        <stp/>
        <stp>BDP|4949329940968763027</stp>
        <tr r="Z106" s="3"/>
      </tp>
      <tp t="s">
        <v>#N/A N/A</v>
        <stp/>
        <stp>BDP|2766894442131472461</stp>
        <tr r="BX98" s="3"/>
      </tp>
      <tp t="s">
        <v>#N/A N/A</v>
        <stp/>
        <stp>BDP|8949251416327668739</stp>
        <tr r="F106" s="3"/>
      </tp>
      <tp t="s">
        <v>#N/A N/A</v>
        <stp/>
        <stp>BDP|9018279812716270781</stp>
        <tr r="N107" s="3"/>
      </tp>
      <tp t="s">
        <v>#N/A N/A</v>
        <stp/>
        <stp>BDP|4827132520784721838</stp>
        <tr r="AZ90" s="3"/>
      </tp>
      <tp t="s">
        <v>#N/A N/A</v>
        <stp/>
        <stp>BDP|9503145062141815445</stp>
        <tr r="BK96" s="3"/>
      </tp>
      <tp t="s">
        <v>#N/A N/A</v>
        <stp/>
        <stp>BDP|9578013959607300011</stp>
        <tr r="BA74" s="3"/>
      </tp>
      <tp t="s">
        <v>#N/A N/A</v>
        <stp/>
        <stp>BDP|4101254644539618097</stp>
        <tr r="AY100" s="3"/>
      </tp>
      <tp t="s">
        <v>#N/A N/A</v>
        <stp/>
        <stp>BDP|6905198501924594887</stp>
        <tr r="AW98" s="3"/>
      </tp>
      <tp t="s">
        <v>#N/A N/A</v>
        <stp/>
        <stp>BDP|9857568359473879131</stp>
        <tr r="AQ77" s="3"/>
      </tp>
      <tp t="s">
        <v>#N/A N/A</v>
        <stp/>
        <stp>BDP|2079967838217761454</stp>
        <tr r="AR89" s="3"/>
      </tp>
      <tp t="s">
        <v>#N/A N/A</v>
        <stp/>
        <stp>BDP|7812885602860920478</stp>
        <tr r="BV104" s="3"/>
      </tp>
      <tp t="s">
        <v>#N/A N/A</v>
        <stp/>
        <stp>BDP|9403667240822911265</stp>
        <tr r="CG109" s="3"/>
      </tp>
      <tp t="s">
        <v>#N/A N/A</v>
        <stp/>
        <stp>BDP|5947328897521852596</stp>
        <tr r="T75" s="3"/>
      </tp>
      <tp t="s">
        <v>#N/A N/A</v>
        <stp/>
        <stp>BDP|7290647053019849600</stp>
        <tr r="O106" s="3"/>
      </tp>
      <tp t="s">
        <v>#N/A N/A</v>
        <stp/>
        <stp>BDP|9888231900469004961</stp>
        <tr r="H109" s="3"/>
      </tp>
      <tp t="s">
        <v>#N/A N/A</v>
        <stp/>
        <stp>BDP|2879013261786168940</stp>
        <tr r="BL106" s="3"/>
      </tp>
      <tp t="s">
        <v>#N/A N/A</v>
        <stp/>
        <stp>BDP|2563874479122000465</stp>
        <tr r="BJ89" s="3"/>
      </tp>
      <tp t="s">
        <v>#N/A N/A</v>
        <stp/>
        <stp>BDP|9356983018973256933</stp>
        <tr r="R111" s="3"/>
      </tp>
      <tp t="s">
        <v>#N/A N/A</v>
        <stp/>
        <stp>BDP|5780735266178474740</stp>
        <tr r="BN85" s="3"/>
      </tp>
      <tp t="s">
        <v>#N/A N/A</v>
        <stp/>
        <stp>BDP|6030879134156828096</stp>
        <tr r="F94" s="3"/>
      </tp>
      <tp t="s">
        <v>#N/A N/A</v>
        <stp/>
        <stp>BDP|9568757323092748564</stp>
        <tr r="BZ97" s="3"/>
      </tp>
      <tp t="s">
        <v>#N/A N/A</v>
        <stp/>
        <stp>BDP|8648682343179708884</stp>
        <tr r="BY109" s="3"/>
      </tp>
      <tp t="s">
        <v>#N/A N/A</v>
        <stp/>
        <stp>BDP|4767205429708466781</stp>
        <tr r="BP102" s="3"/>
      </tp>
      <tp t="s">
        <v>#N/A N/A</v>
        <stp/>
        <stp>BDP|3124794490027978133</stp>
        <tr r="BX106" s="3"/>
      </tp>
      <tp t="s">
        <v>#N/A N/A</v>
        <stp/>
        <stp>BDP|9416266437147353446</stp>
        <tr r="CC75" s="3"/>
      </tp>
      <tp t="s">
        <v>#N/A N/A</v>
        <stp/>
        <stp>BDP|4943669892686728698</stp>
        <tr r="CJ74" s="3"/>
      </tp>
      <tp t="s">
        <v>#N/A N/A</v>
        <stp/>
        <stp>BDP|6779186204329063580</stp>
        <tr r="BD104" s="3"/>
      </tp>
      <tp t="s">
        <v>#N/A N/A</v>
        <stp/>
        <stp>BDP|7981883251848776942</stp>
        <tr r="AN113" s="3"/>
      </tp>
      <tp t="s">
        <v>#N/A N/A</v>
        <stp/>
        <stp>BDP|5602828589169577785</stp>
        <tr r="BH90" s="3"/>
      </tp>
      <tp t="s">
        <v>#N/A N/A</v>
        <stp/>
        <stp>BDP|4179849405510660766</stp>
        <tr r="AE87" s="3"/>
      </tp>
      <tp t="s">
        <v>#N/A N/A</v>
        <stp/>
        <stp>BDP|4311673771878707627</stp>
        <tr r="AR91" s="3"/>
      </tp>
      <tp t="s">
        <v>#N/A N/A</v>
        <stp/>
        <stp>BDP|1505670217729069453</stp>
        <tr r="BC95" s="3"/>
      </tp>
      <tp t="s">
        <v>#N/A N/A</v>
        <stp/>
        <stp>BDP|4494735001609317143</stp>
        <tr r="BQ111" s="3"/>
      </tp>
      <tp t="s">
        <v>#N/A N/A</v>
        <stp/>
        <stp>BDP|6770272295407435109</stp>
        <tr r="Y106" s="3"/>
      </tp>
      <tp t="s">
        <v>#N/A N/A</v>
        <stp/>
        <stp>BDP|7322647725591044938</stp>
        <tr r="AA88" s="3"/>
      </tp>
      <tp t="s">
        <v>#N/A N/A</v>
        <stp/>
        <stp>BDP|2154427097163702721</stp>
        <tr r="AT107" s="3"/>
      </tp>
      <tp t="s">
        <v>#N/A N/A</v>
        <stp/>
        <stp>BDP|3157112084822322315</stp>
        <tr r="BM75" s="3"/>
      </tp>
      <tp t="s">
        <v>#N/A N/A</v>
        <stp/>
        <stp>BDP|8091553000213489578</stp>
        <tr r="CF89" s="3"/>
      </tp>
      <tp t="s">
        <v>#N/A N/A</v>
        <stp/>
        <stp>BDP|6212948763146079435</stp>
        <tr r="V107" s="3"/>
      </tp>
      <tp t="s">
        <v>#N/A N/A</v>
        <stp/>
        <stp>BDP|2440012664956793903</stp>
        <tr r="CF109" s="3"/>
      </tp>
      <tp t="s">
        <v>#N/A N/A</v>
        <stp/>
        <stp>BDP|6025822155664441454</stp>
        <tr r="Q87" s="3"/>
      </tp>
      <tp t="s">
        <v>#N/A N/A</v>
        <stp/>
        <stp>BDP|7123358715639370751</stp>
        <tr r="AY105" s="3"/>
      </tp>
      <tp t="s">
        <v>#N/A N/A</v>
        <stp/>
        <stp>BDP|9839145755804912270</stp>
        <tr r="L101" s="3"/>
      </tp>
      <tp t="s">
        <v>#N/A N/A</v>
        <stp/>
        <stp>BDP|8247260913511269126</stp>
        <tr r="M73" s="3"/>
      </tp>
      <tp t="s">
        <v>#N/A N/A</v>
        <stp/>
        <stp>BDP|9768387217733816376</stp>
        <tr r="L109" s="3"/>
      </tp>
      <tp t="s">
        <v>#N/A N/A</v>
        <stp/>
        <stp>BDP|1789322190583807396</stp>
        <tr r="BG85" s="3"/>
      </tp>
      <tp t="s">
        <v>#N/A N/A</v>
        <stp/>
        <stp>BDP|9107392214410886006</stp>
        <tr r="U101" s="3"/>
      </tp>
      <tp t="s">
        <v>#N/A N/A</v>
        <stp/>
        <stp>BDP|9047242923183368109</stp>
        <tr r="BH93" s="3"/>
      </tp>
      <tp t="s">
        <v>#N/A N/A</v>
        <stp/>
        <stp>BDP|2494828486231685827</stp>
        <tr r="AI97" s="3"/>
      </tp>
      <tp t="s">
        <v>#N/A N/A</v>
        <stp/>
        <stp>BDP|4076071410976433870</stp>
        <tr r="BN87" s="3"/>
      </tp>
      <tp t="s">
        <v>#N/A N/A</v>
        <stp/>
        <stp>BDP|4077026103436143940</stp>
        <tr r="AG94" s="3"/>
      </tp>
      <tp t="s">
        <v>#N/A N/A</v>
        <stp/>
        <stp>BDP|5465415685466411404</stp>
        <tr r="AU109" s="3"/>
      </tp>
      <tp t="s">
        <v>#N/A N/A</v>
        <stp/>
        <stp>BDP|3463041954385376836</stp>
        <tr r="BI88" s="3"/>
      </tp>
      <tp t="s">
        <v>#N/A N/A</v>
        <stp/>
        <stp>BDP|1562605471628118311</stp>
        <tr r="BU103" s="3"/>
      </tp>
      <tp t="s">
        <v>#N/A N/A</v>
        <stp/>
        <stp>BDP|3987363842459986602</stp>
        <tr r="I99" s="3"/>
      </tp>
      <tp t="s">
        <v>#N/A N/A</v>
        <stp/>
        <stp>BDP|4480817329581066489</stp>
        <tr r="Y92" s="3"/>
      </tp>
      <tp t="s">
        <v>#N/A N/A</v>
        <stp/>
        <stp>BDP|4825614350239816551</stp>
        <tr r="AF99" s="3"/>
      </tp>
      <tp t="s">
        <v>#N/A N/A</v>
        <stp/>
        <stp>BDP|2730678603507615819</stp>
        <tr r="AV103" s="3"/>
      </tp>
      <tp t="s">
        <v>#N/A N/A</v>
        <stp/>
        <stp>BDP|4443591256317667889</stp>
        <tr r="AE112" s="3"/>
      </tp>
      <tp t="s">
        <v>#N/A N/A</v>
        <stp/>
        <stp>BDP|1314881810930802363</stp>
        <tr r="CH77" s="3"/>
      </tp>
      <tp t="s">
        <v>#N/A N/A</v>
        <stp/>
        <stp>BDP|7022894248342191250</stp>
        <tr r="BI100" s="3"/>
      </tp>
      <tp t="s">
        <v>#N/A N/A</v>
        <stp/>
        <stp>BDP|9352622038653486488</stp>
        <tr r="AC99" s="3"/>
      </tp>
      <tp t="s">
        <v>#N/A N/A</v>
        <stp/>
        <stp>BDP|1621134273005720944</stp>
        <tr r="CH107" s="3"/>
      </tp>
      <tp t="s">
        <v>#N/A N/A</v>
        <stp/>
        <stp>BDP|3532172636932540849</stp>
        <tr r="I91" s="3"/>
      </tp>
      <tp t="s">
        <v>#N/A N/A</v>
        <stp/>
        <stp>BDP|5660956973759505900</stp>
        <tr r="BK73" s="3"/>
      </tp>
      <tp t="s">
        <v>#N/A N/A</v>
        <stp/>
        <stp>BDP|7365399160667294122</stp>
        <tr r="AV74" s="3"/>
      </tp>
      <tp t="s">
        <v>#N/A N/A</v>
        <stp/>
        <stp>BDP|6390036028614681446</stp>
        <tr r="BC109" s="3"/>
      </tp>
      <tp t="s">
        <v>#N/A N/A</v>
        <stp/>
        <stp>BDP|9877612380122279115</stp>
        <tr r="U94" s="3"/>
      </tp>
      <tp t="s">
        <v>#N/A N/A</v>
        <stp/>
        <stp>BDP|4118215768641430567</stp>
        <tr r="AL104" s="3"/>
      </tp>
      <tp t="s">
        <v>#N/A N/A</v>
        <stp/>
        <stp>BDP|3579692176204830297</stp>
        <tr r="BK112" s="3"/>
      </tp>
      <tp t="s">
        <v>#N/A N/A</v>
        <stp/>
        <stp>BDP|1969376729223907756</stp>
        <tr r="Z113" s="3"/>
      </tp>
      <tp t="s">
        <v>#N/A N/A</v>
        <stp/>
        <stp>BDP|7365659413094551083</stp>
        <tr r="AJ100" s="3"/>
      </tp>
      <tp t="s">
        <v>#N/A N/A</v>
        <stp/>
        <stp>BDP|7231953505893317991</stp>
        <tr r="BP88" s="3"/>
      </tp>
      <tp t="s">
        <v>#N/A N/A</v>
        <stp/>
        <stp>BDP|8220683562775501959</stp>
        <tr r="CH94" s="3"/>
      </tp>
      <tp t="s">
        <v>#N/A N/A</v>
        <stp/>
        <stp>BDP|6061346978152566416</stp>
        <tr r="X75" s="3"/>
      </tp>
      <tp t="s">
        <v>#N/A N/A</v>
        <stp/>
        <stp>BDP|3668963195306452197</stp>
        <tr r="AL102" s="3"/>
      </tp>
      <tp t="s">
        <v>#N/A N/A</v>
        <stp/>
        <stp>BDP|6913768159468963863</stp>
        <tr r="AS76" s="3"/>
      </tp>
      <tp t="s">
        <v>#N/A N/A</v>
        <stp/>
        <stp>BDP|7678736335276094191</stp>
        <tr r="AU73" s="3"/>
      </tp>
      <tp t="s">
        <v>#N/A N/A</v>
        <stp/>
        <stp>BDP|5006477589115664815</stp>
        <tr r="BN108" s="3"/>
      </tp>
      <tp t="s">
        <v>#N/A N/A</v>
        <stp/>
        <stp>BDP|1155381660298715870</stp>
        <tr r="AU88" s="3"/>
      </tp>
      <tp t="s">
        <v>#N/A N/A</v>
        <stp/>
        <stp>BDP|6344689176576277569</stp>
        <tr r="AH96" s="3"/>
      </tp>
      <tp t="s">
        <v>#N/A N/A</v>
        <stp/>
        <stp>BDP|9533257704246390996</stp>
        <tr r="BV75" s="3"/>
      </tp>
      <tp t="s">
        <v>#N/A N/A</v>
        <stp/>
        <stp>BDP|6945815167324126808</stp>
        <tr r="BT110" s="3"/>
      </tp>
      <tp t="s">
        <v>#N/A N/A</v>
        <stp/>
        <stp>BDP|6187101748064718300</stp>
        <tr r="AN77" s="3"/>
      </tp>
      <tp t="s">
        <v>#N/A N/A</v>
        <stp/>
        <stp>BDP|8838655484594218659</stp>
        <tr r="CJ93" s="3"/>
      </tp>
      <tp t="s">
        <v>#N/A N/A</v>
        <stp/>
        <stp>BDP|5076096062417167049</stp>
        <tr r="BN89" s="3"/>
      </tp>
      <tp t="s">
        <v>#N/A N/A</v>
        <stp/>
        <stp>BDP|8134425398829766825</stp>
        <tr r="AD95" s="3"/>
      </tp>
      <tp t="s">
        <v>#N/A N/A</v>
        <stp/>
        <stp>BDP|1877672345510159759</stp>
        <tr r="BB74" s="3"/>
      </tp>
      <tp t="s">
        <v>#N/A N/A</v>
        <stp/>
        <stp>BDP|4261175375220738691</stp>
        <tr r="AZ103" s="3"/>
      </tp>
      <tp t="s">
        <v>#N/A N/A</v>
        <stp/>
        <stp>BDP|6626461111917709088</stp>
        <tr r="M112" s="3"/>
      </tp>
      <tp t="s">
        <v>#N/A N/A</v>
        <stp/>
        <stp>BDP|4123244404902722093</stp>
        <tr r="BJ87" s="3"/>
      </tp>
      <tp t="s">
        <v>#N/A N/A</v>
        <stp/>
        <stp>BDP|4045691377686206735</stp>
        <tr r="AT113" s="3"/>
      </tp>
      <tp t="s">
        <v>#N/A N/A</v>
        <stp/>
        <stp>BDP|9802177203544027809</stp>
        <tr r="AS97" s="3"/>
      </tp>
      <tp t="s">
        <v>#N/A N/A</v>
        <stp/>
        <stp>BDP|4627141572082527499</stp>
        <tr r="Y100" s="3"/>
      </tp>
      <tp t="s">
        <v>#N/A N/A</v>
        <stp/>
        <stp>BDP|6045262619381694057</stp>
        <tr r="Y75" s="3"/>
      </tp>
      <tp t="s">
        <v>#N/A N/A</v>
        <stp/>
        <stp>BDP|3244385948115754598</stp>
        <tr r="CA102" s="3"/>
      </tp>
      <tp t="s">
        <v>#N/A N/A</v>
        <stp/>
        <stp>BDP|7984250986369585030</stp>
        <tr r="L112" s="3"/>
      </tp>
      <tp t="s">
        <v>#N/A N/A</v>
        <stp/>
        <stp>BDP|4628609377459484890</stp>
        <tr r="CI110" s="3"/>
      </tp>
      <tp t="s">
        <v>#N/A N/A</v>
        <stp/>
        <stp>BDP|2530289990408017506</stp>
        <tr r="BU99" s="3"/>
      </tp>
      <tp t="s">
        <v>#N/A N/A</v>
        <stp/>
        <stp>BDP|9957017490550792423</stp>
        <tr r="BM93" s="3"/>
      </tp>
      <tp t="s">
        <v>#N/A N/A</v>
        <stp/>
        <stp>BDP|6653781977413349179</stp>
        <tr r="AE95" s="3"/>
      </tp>
      <tp t="s">
        <v>#N/A N/A</v>
        <stp/>
        <stp>BDP|9407814788505312831</stp>
        <tr r="AM110" s="3"/>
      </tp>
      <tp t="s">
        <v>#N/A N/A</v>
        <stp/>
        <stp>BDP|4449998197898278852</stp>
        <tr r="BC106" s="3"/>
      </tp>
      <tp t="s">
        <v>#N/A N/A</v>
        <stp/>
        <stp>BDP|7825167899158269387</stp>
        <tr r="BL98" s="3"/>
      </tp>
      <tp t="s">
        <v>#N/A N/A</v>
        <stp/>
        <stp>BDP|1020618631219751956</stp>
        <tr r="BF73" s="3"/>
      </tp>
      <tp t="s">
        <v>#N/A N/A</v>
        <stp/>
        <stp>BDP|8128749827531539856</stp>
        <tr r="AI91" s="3"/>
      </tp>
      <tp t="s">
        <v>#N/A N/A</v>
        <stp/>
        <stp>BDP|4706262933617673669</stp>
        <tr r="BL73" s="3"/>
      </tp>
      <tp t="s">
        <v>#N/A N/A</v>
        <stp/>
        <stp>BDP|2237400841611093713</stp>
        <tr r="CB108" s="3"/>
      </tp>
      <tp t="s">
        <v>#N/A N/A</v>
        <stp/>
        <stp>BDP|2499613256206632375</stp>
        <tr r="BX113" s="3"/>
      </tp>
      <tp t="s">
        <v>#N/A N/A</v>
        <stp/>
        <stp>BDP|5625319493113312847</stp>
        <tr r="BP107" s="3"/>
      </tp>
      <tp t="s">
        <v>#N/A N/A</v>
        <stp/>
        <stp>BDP|6089765865463145012</stp>
        <tr r="BB104" s="3"/>
      </tp>
      <tp t="s">
        <v>#N/A N/A</v>
        <stp/>
        <stp>BDP|3484920898635545284</stp>
        <tr r="S96" s="3"/>
      </tp>
      <tp t="s">
        <v>#N/A N/A</v>
        <stp/>
        <stp>BDP|6403190707171196289</stp>
        <tr r="CC98" s="3"/>
      </tp>
      <tp t="s">
        <v>#N/A N/A</v>
        <stp/>
        <stp>BDP|1259661232583378367</stp>
        <tr r="AZ100" s="3"/>
      </tp>
      <tp t="s">
        <v>#N/A N/A</v>
        <stp/>
        <stp>BDP|4335452408037920340</stp>
        <tr r="BT89" s="3"/>
      </tp>
      <tp t="s">
        <v>#N/A N/A</v>
        <stp/>
        <stp>BDP|9144807542642156315</stp>
        <tr r="BZ113" s="3"/>
      </tp>
      <tp t="s">
        <v>#N/A N/A</v>
        <stp/>
        <stp>BDP|3617414581619731224</stp>
        <tr r="AM101" s="3"/>
      </tp>
      <tp t="s">
        <v>#N/A N/A</v>
        <stp/>
        <stp>BDP|1903724853797804034</stp>
        <tr r="AS100" s="3"/>
      </tp>
      <tp t="s">
        <v>#N/A N/A</v>
        <stp/>
        <stp>BDP|6930009368305817190</stp>
        <tr r="BZ91" s="3"/>
      </tp>
      <tp t="s">
        <v>#N/A N/A</v>
        <stp/>
        <stp>BDP|4098541629121417692</stp>
        <tr r="AD98" s="3"/>
      </tp>
      <tp t="s">
        <v>#N/A N/A</v>
        <stp/>
        <stp>BDP|7132021777476333276</stp>
        <tr r="AV87" s="3"/>
      </tp>
      <tp t="s">
        <v>#N/A N/A</v>
        <stp/>
        <stp>BDP|2586205049827567796</stp>
        <tr r="AW97" s="3"/>
      </tp>
      <tp t="s">
        <v>#N/A N/A</v>
        <stp/>
        <stp>BDP|8678466195416232773</stp>
        <tr r="BX108" s="3"/>
      </tp>
      <tp t="s">
        <v>#N/A N/A</v>
        <stp/>
        <stp>BDP|5407726671731260051</stp>
        <tr r="BG90" s="3"/>
      </tp>
      <tp t="s">
        <v>#N/A N/A</v>
        <stp/>
        <stp>BDP|6597101024453350233</stp>
        <tr r="AJ97" s="3"/>
      </tp>
      <tp t="s">
        <v>#N/A N/A</v>
        <stp/>
        <stp>BDP|5675144670665689253</stp>
        <tr r="P104" s="3"/>
      </tp>
      <tp t="s">
        <v>#N/A N/A</v>
        <stp/>
        <stp>BDP|8614156482600502555</stp>
        <tr r="AB75" s="3"/>
      </tp>
      <tp t="s">
        <v>#N/A N/A</v>
        <stp/>
        <stp>BDP|4180540552188091867</stp>
        <tr r="AL74" s="3"/>
      </tp>
      <tp t="s">
        <v>#N/A N/A</v>
        <stp/>
        <stp>BDP|6594480274762715387</stp>
        <tr r="AJ93" s="3"/>
      </tp>
      <tp t="s">
        <v>#N/A N/A</v>
        <stp/>
        <stp>BDP|1523547562093563508</stp>
        <tr r="CA89" s="3"/>
      </tp>
      <tp t="s">
        <v>#N/A N/A</v>
        <stp/>
        <stp>BDP|8222435445938393419</stp>
        <tr r="AR95" s="3"/>
      </tp>
      <tp t="s">
        <v>#N/A N/A</v>
        <stp/>
        <stp>BDP|8766442826112625859</stp>
        <tr r="CE94" s="3"/>
      </tp>
      <tp t="s">
        <v>#N/A N/A</v>
        <stp/>
        <stp>BDP|4460275931900491102</stp>
        <tr r="CI101" s="3"/>
      </tp>
      <tp t="s">
        <v>#N/A N/A</v>
        <stp/>
        <stp>BDP|2472641534845656648</stp>
        <tr r="AZ93" s="3"/>
      </tp>
      <tp t="s">
        <v>#N/A N/A</v>
        <stp/>
        <stp>BDP|7544051596962711878</stp>
        <tr r="BE93" s="3"/>
      </tp>
      <tp t="s">
        <v>#N/A N/A</v>
        <stp/>
        <stp>BDP|4944903488632538326</stp>
        <tr r="O104" s="3"/>
      </tp>
      <tp t="s">
        <v>#N/A N/A</v>
        <stp/>
        <stp>BDP|3559938116648259753</stp>
        <tr r="AC104" s="3"/>
      </tp>
      <tp t="s">
        <v>#N/A N/A</v>
        <stp/>
        <stp>BDP|2139341960747795451</stp>
        <tr r="CG92" s="3"/>
      </tp>
      <tp t="s">
        <v>#N/A N/A</v>
        <stp/>
        <stp>BDP|2380196482917994861</stp>
        <tr r="AV113" s="3"/>
      </tp>
      <tp t="s">
        <v>#N/A N/A</v>
        <stp/>
        <stp>BDP|8371287489365657336</stp>
        <tr r="O77" s="3"/>
      </tp>
      <tp t="s">
        <v>#N/A N/A</v>
        <stp/>
        <stp>BDP|8452167510799039553</stp>
        <tr r="N88" s="3"/>
      </tp>
      <tp t="s">
        <v>#N/A N/A</v>
        <stp/>
        <stp>BDP|5214539723841764722</stp>
        <tr r="AG88" s="3"/>
      </tp>
      <tp t="s">
        <v>#N/A N/A</v>
        <stp/>
        <stp>BDP|3384034331973218740</stp>
        <tr r="AX73" s="3"/>
      </tp>
      <tp t="s">
        <v>#N/A N/A</v>
        <stp/>
        <stp>BDP|2831079176821511089</stp>
        <tr r="BP104" s="3"/>
      </tp>
      <tp t="s">
        <v>#N/A N/A</v>
        <stp/>
        <stp>BDP|9529946517876479367</stp>
        <tr r="BK110" s="3"/>
      </tp>
      <tp t="s">
        <v>#N/A N/A</v>
        <stp/>
        <stp>BDP|8707439845918590406</stp>
        <tr r="BJ76" s="3"/>
      </tp>
      <tp t="s">
        <v>#N/A N/A</v>
        <stp/>
        <stp>BDP|4898216852257791082</stp>
        <tr r="CK97" s="3"/>
      </tp>
      <tp t="s">
        <v>#N/A N/A</v>
        <stp/>
        <stp>BDP|3401505506260095268</stp>
        <tr r="BG94" s="3"/>
      </tp>
      <tp t="s">
        <v>#N/A N/A</v>
        <stp/>
        <stp>BDP|3862383154466360729</stp>
        <tr r="J104" s="3"/>
      </tp>
      <tp t="s">
        <v>#N/A N/A</v>
        <stp/>
        <stp>BDP|6189681276865869627</stp>
        <tr r="AG92" s="3"/>
      </tp>
      <tp t="s">
        <v>#N/A N/A</v>
        <stp/>
        <stp>BDP|5310501876010443347</stp>
        <tr r="U109" s="3"/>
      </tp>
      <tp t="s">
        <v>#N/A N/A</v>
        <stp/>
        <stp>BDP|7623331843083432682</stp>
        <tr r="T91" s="3"/>
      </tp>
      <tp t="s">
        <v>#N/A N/A</v>
        <stp/>
        <stp>BDP|3187130689217198806</stp>
        <tr r="AT112" s="3"/>
      </tp>
      <tp t="s">
        <v>#N/A N/A</v>
        <stp/>
        <stp>BDP|8521686764258422573</stp>
        <tr r="AJ87" s="3"/>
      </tp>
      <tp t="s">
        <v>#N/A N/A</v>
        <stp/>
        <stp>BDP|3256901284940525785</stp>
        <tr r="I75" s="3"/>
      </tp>
      <tp t="s">
        <v>#N/A N/A</v>
        <stp/>
        <stp>BDP|3573379035041849740</stp>
        <tr r="W102" s="3"/>
      </tp>
      <tp t="s">
        <v>#N/A N/A</v>
        <stp/>
        <stp>BDP|7031684379702829122</stp>
        <tr r="BV73" s="3"/>
      </tp>
      <tp t="s">
        <v>#N/A N/A</v>
        <stp/>
        <stp>BDP|4640521909157570334</stp>
        <tr r="BI99" s="3"/>
      </tp>
      <tp t="s">
        <v>#N/A N/A</v>
        <stp/>
        <stp>BDP|3623280043325625505</stp>
        <tr r="CH74" s="3"/>
      </tp>
      <tp t="s">
        <v>#N/A N/A</v>
        <stp/>
        <stp>BDP|6786379401756084692</stp>
        <tr r="BT96" s="3"/>
      </tp>
      <tp t="s">
        <v>#N/A N/A</v>
        <stp/>
        <stp>BDP|4178294737316355642</stp>
        <tr r="G76" s="3"/>
      </tp>
      <tp t="s">
        <v>#N/A N/A</v>
        <stp/>
        <stp>BDP|2422612357366249296</stp>
        <tr r="CJ92" s="3"/>
      </tp>
      <tp t="s">
        <v>#N/A N/A</v>
        <stp/>
        <stp>BDP|3694022332695798080</stp>
        <tr r="BI73" s="3"/>
      </tp>
      <tp t="s">
        <v>#N/A N/A</v>
        <stp/>
        <stp>BDP|8185115799037310243</stp>
        <tr r="CI96" s="3"/>
      </tp>
      <tp t="s">
        <v>#N/A N/A</v>
        <stp/>
        <stp>BDP|4999135847867496365</stp>
        <tr r="BM106" s="3"/>
      </tp>
      <tp t="s">
        <v>#N/A N/A</v>
        <stp/>
        <stp>BDP|7296539962612894341</stp>
        <tr r="AN105" s="3"/>
      </tp>
      <tp t="s">
        <v>#N/A N/A</v>
        <stp/>
        <stp>BDP|1189763739810045017</stp>
        <tr r="BQ94" s="3"/>
      </tp>
      <tp t="s">
        <v>#N/A N/A</v>
        <stp/>
        <stp>BDP|1939741922792871386</stp>
        <tr r="AD110" s="3"/>
      </tp>
      <tp t="s">
        <v>#N/A N/A</v>
        <stp/>
        <stp>BDP|4831036037130176224</stp>
        <tr r="Y90" s="3"/>
      </tp>
      <tp t="s">
        <v>#N/A N/A</v>
        <stp/>
        <stp>BDP|7544190400862742175</stp>
        <tr r="BT107" s="3"/>
      </tp>
      <tp t="s">
        <v>#N/A N/A</v>
        <stp/>
        <stp>BDP|2556382442511293117</stp>
        <tr r="BW110" s="3"/>
      </tp>
      <tp t="s">
        <v>#N/A N/A</v>
        <stp/>
        <stp>BDP|4331089767582945594</stp>
        <tr r="U93" s="3"/>
      </tp>
      <tp t="s">
        <v>#N/A N/A</v>
        <stp/>
        <stp>BDP|6532312852581823428</stp>
        <tr r="S89" s="3"/>
      </tp>
      <tp t="s">
        <v>#N/A N/A</v>
        <stp/>
        <stp>BDP|6506489807582055568</stp>
        <tr r="F105" s="3"/>
      </tp>
      <tp t="s">
        <v>#N/A N/A</v>
        <stp/>
        <stp>BDP|4128550550596960711</stp>
        <tr r="BL93" s="3"/>
      </tp>
      <tp t="s">
        <v>#N/A N/A</v>
        <stp/>
        <stp>BDP|5978665331595275000</stp>
        <tr r="CG96" s="3"/>
      </tp>
      <tp t="s">
        <v>#N/A N/A</v>
        <stp/>
        <stp>BDP|1138487666570167627</stp>
        <tr r="CH101" s="3"/>
      </tp>
      <tp t="s">
        <v>#N/A N/A</v>
        <stp/>
        <stp>BDP|2942606150990507408</stp>
        <tr r="AB101" s="3"/>
      </tp>
      <tp t="s">
        <v>#N/A N/A</v>
        <stp/>
        <stp>BDP|6975759473494041724</stp>
        <tr r="BO111" s="3"/>
      </tp>
      <tp t="s">
        <v>#N/A N/A</v>
        <stp/>
        <stp>BDP|1952099573003795099</stp>
        <tr r="BP109" s="3"/>
      </tp>
      <tp t="s">
        <v>#N/A N/A</v>
        <stp/>
        <stp>BDP|7554836187201435383</stp>
        <tr r="BU94" s="3"/>
      </tp>
      <tp t="s">
        <v>#N/A N/A</v>
        <stp/>
        <stp>BDP|4459743109310476607</stp>
        <tr r="BM107" s="3"/>
      </tp>
      <tp t="s">
        <v>#N/A N/A</v>
        <stp/>
        <stp>BDP|1811733332120207067</stp>
        <tr r="P109" s="3"/>
      </tp>
      <tp t="s">
        <v>#N/A N/A</v>
        <stp/>
        <stp>BDP|6878644842359462889</stp>
        <tr r="Z97" s="3"/>
      </tp>
      <tp t="s">
        <v>#N/A N/A</v>
        <stp/>
        <stp>BDP|4077398953135006280</stp>
        <tr r="X106" s="3"/>
      </tp>
      <tp t="s">
        <v>#N/A N/A</v>
        <stp/>
        <stp>BDP|9338925993518704472</stp>
        <tr r="AF74" s="3"/>
      </tp>
      <tp t="s">
        <v>#N/A N/A</v>
        <stp/>
        <stp>BDP|2613531909073767195</stp>
        <tr r="AA89" s="3"/>
      </tp>
      <tp t="s">
        <v>#N/A N/A</v>
        <stp/>
        <stp>BDP|4973083192378299021</stp>
        <tr r="BA100" s="3"/>
      </tp>
      <tp t="s">
        <v>#N/A N/A</v>
        <stp/>
        <stp>BDP|4170362505063597142</stp>
        <tr r="AX76" s="3"/>
      </tp>
      <tp t="s">
        <v>#N/A N/A</v>
        <stp/>
        <stp>BDP|4348942071069637631</stp>
        <tr r="BX95" s="3"/>
      </tp>
      <tp t="s">
        <v>#N/A N/A</v>
        <stp/>
        <stp>BDP|7113627256972605308</stp>
        <tr r="CF113" s="3"/>
      </tp>
      <tp t="s">
        <v>#N/A N/A</v>
        <stp/>
        <stp>BDP|1094856841749182159</stp>
        <tr r="BA94" s="3"/>
      </tp>
      <tp t="s">
        <v>#N/A N/A</v>
        <stp/>
        <stp>BDP|8928112758991109811</stp>
        <tr r="AW112" s="3"/>
      </tp>
      <tp t="s">
        <v>#N/A N/A</v>
        <stp/>
        <stp>BDP|3522341934732599406</stp>
        <tr r="BI91" s="3"/>
      </tp>
      <tp t="s">
        <v>#N/A N/A</v>
        <stp/>
        <stp>BDP|4089069354140381412</stp>
        <tr r="AO102" s="3"/>
      </tp>
      <tp t="s">
        <v>#N/A N/A</v>
        <stp/>
        <stp>BDP|1306527413781370116</stp>
        <tr r="BE91" s="3"/>
      </tp>
      <tp t="s">
        <v>#N/A N/A</v>
        <stp/>
        <stp>BDP|4469868949808335585</stp>
        <tr r="BS73" s="3"/>
      </tp>
      <tp t="s">
        <v>#N/A N/A</v>
        <stp/>
        <stp>BDP|2471759504336076658</stp>
        <tr r="AE101" s="3"/>
      </tp>
      <tp t="s">
        <v>#N/A N/A</v>
        <stp/>
        <stp>BDP|6526075629730930127</stp>
        <tr r="AN89" s="3"/>
      </tp>
      <tp t="s">
        <v>#N/A N/A</v>
        <stp/>
        <stp>BDP|2212551657547755077</stp>
        <tr r="AY76" s="3"/>
      </tp>
      <tp t="s">
        <v>#N/A N/A</v>
        <stp/>
        <stp>BDP|8307546796885089411</stp>
        <tr r="P88" s="3"/>
      </tp>
      <tp t="s">
        <v>#N/A N/A</v>
        <stp/>
        <stp>BDP|7247406508024220298</stp>
        <tr r="J90" s="3"/>
      </tp>
      <tp t="s">
        <v>#N/A N/A</v>
        <stp/>
        <stp>BDP|2911374427797068188</stp>
        <tr r="AH91" s="3"/>
      </tp>
      <tp t="s">
        <v>#N/A N/A</v>
        <stp/>
        <stp>BDP|3991274079332556137</stp>
        <tr r="F91" s="3"/>
      </tp>
      <tp t="s">
        <v>#N/A N/A</v>
        <stp/>
        <stp>BDP|9047215621249583544</stp>
        <tr r="CK103" s="3"/>
      </tp>
      <tp t="s">
        <v>#N/A N/A</v>
        <stp/>
        <stp>BDP|2135805910309924797</stp>
        <tr r="AW109" s="3"/>
      </tp>
      <tp t="s">
        <v>#N/A N/A</v>
        <stp/>
        <stp>BDP|7463681653494644587</stp>
        <tr r="AD103" s="3"/>
      </tp>
      <tp t="s">
        <v>#N/A N/A</v>
        <stp/>
        <stp>BDP|2964647319331277172</stp>
        <tr r="CA75" s="3"/>
      </tp>
      <tp t="s">
        <v>#N/A N/A</v>
        <stp/>
        <stp>BDP|2116139565223026314</stp>
        <tr r="BK109" s="3"/>
      </tp>
      <tp t="s">
        <v>#N/A N/A</v>
        <stp/>
        <stp>BDP|9112860992415527868</stp>
        <tr r="AC111" s="3"/>
      </tp>
      <tp t="s">
        <v>#N/A N/A</v>
        <stp/>
        <stp>BDP|7118015488889655388</stp>
        <tr r="BD91" s="3"/>
      </tp>
      <tp t="s">
        <v>#N/A N/A</v>
        <stp/>
        <stp>BDP|6575954743388347665</stp>
        <tr r="AD97" s="3"/>
      </tp>
      <tp t="s">
        <v>#N/A N/A</v>
        <stp/>
        <stp>BDP|1317030012007740235</stp>
        <tr r="AC108" s="3"/>
      </tp>
      <tp t="s">
        <v>#N/A N/A</v>
        <stp/>
        <stp>BDP|6793116326771658108</stp>
        <tr r="BK106" s="3"/>
      </tp>
      <tp t="s">
        <v>#N/A N/A</v>
        <stp/>
        <stp>BDP|8199591903971514984</stp>
        <tr r="U100" s="3"/>
      </tp>
      <tp t="s">
        <v>#N/A N/A</v>
        <stp/>
        <stp>BDP|2320731113735549407</stp>
        <tr r="BE108" s="3"/>
      </tp>
      <tp t="s">
        <v>#N/A N/A</v>
        <stp/>
        <stp>BDP|1134526993381131973</stp>
        <tr r="AP90" s="3"/>
      </tp>
      <tp t="s">
        <v>#N/A N/A</v>
        <stp/>
        <stp>BDP|5483557565807262407</stp>
        <tr r="BG111" s="3"/>
      </tp>
      <tp t="s">
        <v>#N/A N/A</v>
        <stp/>
        <stp>BDP|2505675807963345218</stp>
        <tr r="AO98" s="3"/>
      </tp>
      <tp t="s">
        <v>#N/A N/A</v>
        <stp/>
        <stp>BDP|2407252777914184600</stp>
        <tr r="BV98" s="3"/>
      </tp>
      <tp t="s">
        <v>#N/A N/A</v>
        <stp/>
        <stp>BDP|4160809034258182237</stp>
        <tr r="BL75" s="3"/>
      </tp>
      <tp t="s">
        <v>#N/A N/A</v>
        <stp/>
        <stp>BDP|9814661454216529982</stp>
        <tr r="BP75" s="3"/>
      </tp>
      <tp t="s">
        <v>#N/A N/A</v>
        <stp/>
        <stp>BDP|4449664592428089679</stp>
        <tr r="BD75" s="3"/>
      </tp>
      <tp t="s">
        <v>#N/A N/A</v>
        <stp/>
        <stp>BDP|6890976880541855309</stp>
        <tr r="AH109" s="3"/>
      </tp>
      <tp t="s">
        <v>#N/A N/A</v>
        <stp/>
        <stp>BDP|8794766268188901445</stp>
        <tr r="BK89" s="3"/>
      </tp>
      <tp t="s">
        <v>#N/A N/A</v>
        <stp/>
        <stp>BDP|5739418740068071821</stp>
        <tr r="AU102" s="3"/>
      </tp>
      <tp t="s">
        <v>#N/A N/A</v>
        <stp/>
        <stp>BDP|3748407306047561504</stp>
        <tr r="BE104" s="3"/>
      </tp>
      <tp t="s">
        <v>#N/A N/A</v>
        <stp/>
        <stp>BDP|2689267090204028857</stp>
        <tr r="AY103" s="3"/>
      </tp>
      <tp t="s">
        <v>#N/A N/A</v>
        <stp/>
        <stp>BDP|6620200904842205352</stp>
        <tr r="AL89" s="3"/>
      </tp>
      <tp t="s">
        <v>#N/A N/A</v>
        <stp/>
        <stp>BDP|8468818110770655466</stp>
        <tr r="BI90" s="3"/>
      </tp>
      <tp t="s">
        <v>#N/A N/A</v>
        <stp/>
        <stp>BDP|3290903633759286567</stp>
        <tr r="AE103" s="3"/>
      </tp>
      <tp t="s">
        <v>#N/A N/A</v>
        <stp/>
        <stp>BDP|5681517398695297982</stp>
        <tr r="AL108" s="3"/>
      </tp>
      <tp t="s">
        <v>#N/A N/A</v>
        <stp/>
        <stp>BDP|6211437668646435472</stp>
        <tr r="BT108" s="3"/>
      </tp>
      <tp t="s">
        <v>#N/A N/A</v>
        <stp/>
        <stp>BDP|7444489335993505564</stp>
        <tr r="V76" s="3"/>
      </tp>
      <tp t="s">
        <v>#N/A N/A</v>
        <stp/>
        <stp>BDP|2585819238139610605</stp>
        <tr r="AL106" s="3"/>
      </tp>
      <tp t="s">
        <v>#N/A N/A</v>
        <stp/>
        <stp>BDP|7734270588443723853</stp>
        <tr r="BX109" s="3"/>
      </tp>
      <tp t="s">
        <v>#N/A N/A</v>
        <stp/>
        <stp>BDP|7319730819807126033</stp>
        <tr r="U97" s="3"/>
      </tp>
      <tp t="s">
        <v>#N/A N/A</v>
        <stp/>
        <stp>BDP|5897374405987329726</stp>
        <tr r="CF106" s="3"/>
      </tp>
      <tp t="s">
        <v>#N/A N/A</v>
        <stp/>
        <stp>BDP|2874305943212609163</stp>
        <tr r="W74" s="3"/>
      </tp>
      <tp t="s">
        <v>#N/A N/A</v>
        <stp/>
        <stp>BDP|7888477025583069419</stp>
        <tr r="G95" s="3"/>
      </tp>
      <tp t="s">
        <v>#N/A N/A</v>
        <stp/>
        <stp>BDP|8678162459468530276</stp>
        <tr r="BR94" s="3"/>
      </tp>
      <tp t="s">
        <v>#N/A N/A</v>
        <stp/>
        <stp>BDP|3675329249931457325</stp>
        <tr r="BY102" s="3"/>
      </tp>
      <tp t="s">
        <v>#N/A N/A</v>
        <stp/>
        <stp>BDP|4857906393945393709</stp>
        <tr r="BH73" s="3"/>
      </tp>
      <tp t="s">
        <v>#N/A N/A</v>
        <stp/>
        <stp>BDP|9887877166514856593</stp>
        <tr r="V96" s="3"/>
      </tp>
      <tp t="s">
        <v>#N/A N/A</v>
        <stp/>
        <stp>BDP|2740064738280330721</stp>
        <tr r="AP99" s="3"/>
      </tp>
      <tp t="s">
        <v>#N/A N/A</v>
        <stp/>
        <stp>BDP|9168853519797134144</stp>
        <tr r="BP97" s="3"/>
      </tp>
      <tp t="s">
        <v>#N/A N/A</v>
        <stp/>
        <stp>BDP|4973078035712595365</stp>
        <tr r="AB92" s="3"/>
      </tp>
      <tp t="s">
        <v>#N/A N/A</v>
        <stp/>
        <stp>BDP|5641676928173967483</stp>
        <tr r="CE98" s="3"/>
      </tp>
      <tp t="s">
        <v>#N/A N/A</v>
        <stp/>
        <stp>BDP|2749073766280899274</stp>
        <tr r="BL108" s="3"/>
      </tp>
      <tp t="s">
        <v>#N/A N/A</v>
        <stp/>
        <stp>BDP|2190227134174635187</stp>
        <tr r="X110" s="3"/>
      </tp>
      <tp t="s">
        <v>#N/A N/A</v>
        <stp/>
        <stp>BDP|6894585929417115014</stp>
        <tr r="I89" s="3"/>
      </tp>
      <tp t="s">
        <v>#N/A N/A</v>
        <stp/>
        <stp>BDP|2797618417030166392</stp>
        <tr r="H85" s="3"/>
      </tp>
      <tp t="s">
        <v>#N/A N/A</v>
        <stp/>
        <stp>BDP|3664544521690839222</stp>
        <tr r="AW104" s="3"/>
      </tp>
      <tp t="s">
        <v>#N/A N/A</v>
        <stp/>
        <stp>BDP|7826127254380789572</stp>
        <tr r="W88" s="3"/>
      </tp>
      <tp t="s">
        <v>#N/A N/A</v>
        <stp/>
        <stp>BDP|6925604384438621652</stp>
        <tr r="F93" s="3"/>
      </tp>
      <tp t="s">
        <v>#N/A N/A</v>
        <stp/>
        <stp>BDP|9266208620889955651</stp>
        <tr r="AS109" s="3"/>
      </tp>
      <tp t="s">
        <v>#N/A N/A</v>
        <stp/>
        <stp>BDP|9732820712806182087</stp>
        <tr r="BA108" s="3"/>
      </tp>
      <tp t="s">
        <v>#N/A N/A</v>
        <stp/>
        <stp>BDP|3573981381107355314</stp>
        <tr r="BB87" s="3"/>
      </tp>
      <tp t="s">
        <v>#N/A N/A</v>
        <stp/>
        <stp>BDP|8653942547540925326</stp>
        <tr r="AK111" s="3"/>
      </tp>
      <tp t="s">
        <v>#N/A N/A</v>
        <stp/>
        <stp>BDP|2940145579931208391</stp>
        <tr r="V94" s="3"/>
      </tp>
      <tp t="s">
        <v>#N/A N/A</v>
        <stp/>
        <stp>BDP|1463239787488617594</stp>
        <tr r="CF98" s="3"/>
      </tp>
      <tp t="s">
        <v>#N/A N/A</v>
        <stp/>
        <stp>BDP|6613262969460629400</stp>
        <tr r="BW76" s="3"/>
      </tp>
      <tp t="s">
        <v>#N/A N/A</v>
        <stp/>
        <stp>BDP|1824073617512710401</stp>
        <tr r="AE99" s="3"/>
      </tp>
      <tp t="s">
        <v>#N/A N/A</v>
        <stp/>
        <stp>BDP|2102081459344439599</stp>
        <tr r="BT105" s="3"/>
      </tp>
      <tp t="s">
        <v>#N/A N/A</v>
        <stp/>
        <stp>BDP|8275324353011993971</stp>
        <tr r="BH91" s="3"/>
      </tp>
      <tp t="s">
        <v>#N/A N/A</v>
        <stp/>
        <stp>BDP|6882267294459172261</stp>
        <tr r="BK94" s="3"/>
      </tp>
      <tp t="s">
        <v>#N/A N/A</v>
        <stp/>
        <stp>BDP|9815104888244471293</stp>
        <tr r="CG100" s="3"/>
      </tp>
      <tp t="s">
        <v>#N/A N/A</v>
        <stp/>
        <stp>BDP|3533303902711864726</stp>
        <tr r="BB106" s="3"/>
      </tp>
      <tp t="s">
        <v>#N/A N/A</v>
        <stp/>
        <stp>BDP|7628804963997335844</stp>
        <tr r="BV93" s="3"/>
      </tp>
      <tp t="s">
        <v>#N/A N/A</v>
        <stp/>
        <stp>BDP|4687507152221463324</stp>
        <tr r="BE87" s="3"/>
      </tp>
      <tp t="s">
        <v>#N/A N/A</v>
        <stp/>
        <stp>BDP|2591032747513335302</stp>
        <tr r="O107" s="3"/>
      </tp>
      <tp t="s">
        <v>#N/A N/A</v>
        <stp/>
        <stp>BDP|3181304363781956191</stp>
        <tr r="BZ99" s="3"/>
      </tp>
      <tp t="s">
        <v>#N/A N/A</v>
        <stp/>
        <stp>BDP|3397113182928447469</stp>
        <tr r="BC102" s="3"/>
      </tp>
      <tp t="s">
        <v>#N/A N/A</v>
        <stp/>
        <stp>BDP|2166938281055448059</stp>
        <tr r="AM94" s="3"/>
      </tp>
      <tp t="s">
        <v>#N/A N/A</v>
        <stp/>
        <stp>BDP|5237705822683067524</stp>
        <tr r="AO85" s="3"/>
      </tp>
      <tp t="s">
        <v>#N/A N/A</v>
        <stp/>
        <stp>BDP|5718286423071908275</stp>
        <tr r="BL103" s="3"/>
      </tp>
      <tp t="s">
        <v>#N/A N/A</v>
        <stp/>
        <stp>BDP|1633263522417821082</stp>
        <tr r="BW102" s="3"/>
      </tp>
      <tp t="s">
        <v>#N/A N/A</v>
        <stp/>
        <stp>BDP|1082742177771936689</stp>
        <tr r="AR113" s="3"/>
      </tp>
      <tp t="s">
        <v>#N/A N/A</v>
        <stp/>
        <stp>BDP|9265054334505089904</stp>
        <tr r="AW88" s="3"/>
      </tp>
      <tp t="s">
        <v>#N/A N/A</v>
        <stp/>
        <stp>BDP|3987093031811181738</stp>
        <tr r="CF75" s="3"/>
      </tp>
      <tp t="s">
        <v>#N/A N/A</v>
        <stp/>
        <stp>BDP|5541854971488010420</stp>
        <tr r="R90" s="3"/>
      </tp>
      <tp t="s">
        <v>#N/A N/A</v>
        <stp/>
        <stp>BDP|2263133504317628235</stp>
        <tr r="BV97" s="3"/>
      </tp>
      <tp t="s">
        <v>#N/A N/A</v>
        <stp/>
        <stp>BDP|3765636825046529742</stp>
        <tr r="AZ74" s="3"/>
      </tp>
      <tp t="s">
        <v>#N/A N/A</v>
        <stp/>
        <stp>BDP|7295745128081688587</stp>
        <tr r="BU91" s="3"/>
      </tp>
      <tp t="s">
        <v>#N/A N/A</v>
        <stp/>
        <stp>BDP|7971784084526600834</stp>
        <tr r="BN94" s="3"/>
      </tp>
      <tp t="s">
        <v>#N/A N/A</v>
        <stp/>
        <stp>BDP|2377720800762431151</stp>
        <tr r="AV106" s="3"/>
      </tp>
      <tp t="s">
        <v>#N/A N/A</v>
        <stp/>
        <stp>BDP|5108455160262064347</stp>
        <tr r="CB102" s="3"/>
      </tp>
      <tp t="s">
        <v>#N/A N/A</v>
        <stp/>
        <stp>BDP|5180253262281477632</stp>
        <tr r="H105" s="3"/>
      </tp>
      <tp t="s">
        <v>#N/A N/A</v>
        <stp/>
        <stp>BDP|5219737702275275102</stp>
        <tr r="AX96" s="3"/>
      </tp>
      <tp t="s">
        <v>#N/A N/A</v>
        <stp/>
        <stp>BDP|1461503552275116265</stp>
        <tr r="M88" s="3"/>
      </tp>
      <tp t="s">
        <v>#N/A N/A</v>
        <stp/>
        <stp>BDP|5913481542762761155</stp>
        <tr r="BD96" s="3"/>
      </tp>
      <tp t="s">
        <v>#N/A N/A</v>
        <stp/>
        <stp>BDP|2734517657415755172</stp>
        <tr r="V103" s="3"/>
      </tp>
      <tp t="s">
        <v>#N/A N/A</v>
        <stp/>
        <stp>BDP|2316248432850584564</stp>
        <tr r="BP91" s="3"/>
      </tp>
      <tp t="s">
        <v>#N/A N/A</v>
        <stp/>
        <stp>BDP|7078457234785428338</stp>
        <tr r="CJ94" s="3"/>
      </tp>
      <tp t="s">
        <v>#N/A N/A</v>
        <stp/>
        <stp>BDP|4880260299069200034</stp>
        <tr r="R101" s="3"/>
      </tp>
      <tp t="s">
        <v>#N/A N/A</v>
        <stp/>
        <stp>BDP|4543249051453255640</stp>
        <tr r="AK76" s="3"/>
      </tp>
      <tp t="s">
        <v>#N/A N/A</v>
        <stp/>
        <stp>BDP|5579105649197325191</stp>
        <tr r="X101" s="3"/>
      </tp>
      <tp t="s">
        <v>#N/A N/A</v>
        <stp/>
        <stp>BDP|9249329798872707796</stp>
        <tr r="BA77" s="3"/>
      </tp>
      <tp t="s">
        <v>#N/A N/A</v>
        <stp/>
        <stp>BDP|1603582236340713197</stp>
        <tr r="CH111" s="3"/>
      </tp>
      <tp t="s">
        <v>#N/A N/A</v>
        <stp/>
        <stp>BDP|6099635351443168040</stp>
        <tr r="AG102" s="3"/>
      </tp>
      <tp t="s">
        <v>#N/A N/A</v>
        <stp/>
        <stp>BDP|6561504426850308774</stp>
        <tr r="BN91" s="3"/>
      </tp>
      <tp t="s">
        <v>#N/A N/A</v>
        <stp/>
        <stp>BDP|3943418667980816707</stp>
        <tr r="BV89" s="3"/>
      </tp>
      <tp t="s">
        <v>#N/A N/A</v>
        <stp/>
        <stp>BDP|1892749811081840022</stp>
        <tr r="BY88" s="3"/>
      </tp>
      <tp t="s">
        <v>#N/A N/A</v>
        <stp/>
        <stp>BDP|1671811690580900695</stp>
        <tr r="AN91" s="3"/>
      </tp>
      <tp t="s">
        <v>#N/A N/A</v>
        <stp/>
        <stp>BDP|2497434775517581039</stp>
        <tr r="AS88" s="3"/>
      </tp>
      <tp t="s">
        <v>#N/A N/A</v>
        <stp/>
        <stp>BDP|2682148563763781026</stp>
        <tr r="Q109" s="3"/>
      </tp>
      <tp t="s">
        <v>#N/A N/A</v>
        <stp/>
        <stp>BDP|4675430903065262308</stp>
        <tr r="AY87" s="3"/>
      </tp>
      <tp t="s">
        <v>#N/A N/A</v>
        <stp/>
        <stp>BDP|5800759983765314997</stp>
        <tr r="BL113" s="3"/>
      </tp>
      <tp t="s">
        <v>#N/A N/A</v>
        <stp/>
        <stp>BDP|2221358839512241686</stp>
        <tr r="BQ89" s="3"/>
      </tp>
      <tp t="s">
        <v>#N/A N/A</v>
        <stp/>
        <stp>BDP|2247966995767783320</stp>
        <tr r="BI109" s="3"/>
      </tp>
      <tp t="s">
        <v>#N/A N/A</v>
        <stp/>
        <stp>BDP|2105212616965277203</stp>
        <tr r="BM77" s="3"/>
      </tp>
      <tp t="s">
        <v>#N/A N/A</v>
        <stp/>
        <stp>BDP|2407245023326550220</stp>
        <tr r="BO112" s="3"/>
      </tp>
      <tp t="s">
        <v>#N/A N/A</v>
        <stp/>
        <stp>BDP|2080778566241571406</stp>
        <tr r="CD106" s="3"/>
      </tp>
      <tp t="s">
        <v>#N/A N/A</v>
        <stp/>
        <stp>BDP|2226273270678322926</stp>
        <tr r="BF112" s="3"/>
      </tp>
      <tp t="s">
        <v>#N/A N/A</v>
        <stp/>
        <stp>BDP|1288008654547431565</stp>
        <tr r="Z76" s="3"/>
      </tp>
      <tp t="s">
        <v>#N/A N/A</v>
        <stp/>
        <stp>BDP|9425871753285339770</stp>
        <tr r="CD111" s="3"/>
      </tp>
      <tp t="s">
        <v>#N/A N/A</v>
        <stp/>
        <stp>BDP|9442181038008341522</stp>
        <tr r="BB77" s="3"/>
      </tp>
      <tp t="s">
        <v>#N/A N/A</v>
        <stp/>
        <stp>BDP|7554174266096800093</stp>
        <tr r="CC103" s="3"/>
      </tp>
      <tp t="s">
        <v>#N/A N/A</v>
        <stp/>
        <stp>BDP|9436085619227236923</stp>
        <tr r="W73" s="3"/>
      </tp>
      <tp t="s">
        <v>#N/A N/A</v>
        <stp/>
        <stp>BDP|9033910016897500187</stp>
        <tr r="P99" s="3"/>
      </tp>
      <tp t="s">
        <v>#N/A N/A</v>
        <stp/>
        <stp>BDP|9821454977025226827</stp>
        <tr r="BD99" s="3"/>
      </tp>
      <tp t="s">
        <v>#N/A N/A</v>
        <stp/>
        <stp>BDP|4222824339689504164</stp>
        <tr r="AK106" s="3"/>
      </tp>
      <tp t="s">
        <v>#N/A N/A</v>
        <stp/>
        <stp>BDP|6192698037520346478</stp>
        <tr r="BO93" s="3"/>
      </tp>
      <tp t="s">
        <v>#N/A N/A</v>
        <stp/>
        <stp>BDP|5652621665920816221</stp>
        <tr r="H91" s="3"/>
      </tp>
      <tp t="s">
        <v>#N/A N/A</v>
        <stp/>
        <stp>BDP|7844530627211119668</stp>
        <tr r="CH85" s="3"/>
      </tp>
      <tp t="s">
        <v>#N/A N/A</v>
        <stp/>
        <stp>BDP|2914743191058444337</stp>
        <tr r="CK106" s="3"/>
      </tp>
      <tp t="s">
        <v>#N/A N/A</v>
        <stp/>
        <stp>BDP|3440921348340631934</stp>
        <tr r="O88" s="3"/>
      </tp>
      <tp t="s">
        <v>#N/A N/A</v>
        <stp/>
        <stp>BDP|1721117731274902056</stp>
        <tr r="BZ107" s="3"/>
      </tp>
      <tp t="s">
        <v>#N/A N/A</v>
        <stp/>
        <stp>BDP|2886982849831345917</stp>
        <tr r="AH76" s="3"/>
      </tp>
      <tp t="s">
        <v>#N/A N/A</v>
        <stp/>
        <stp>BDP|2303914628427365925</stp>
        <tr r="BS106" s="3"/>
      </tp>
      <tp t="s">
        <v>#N/A N/A</v>
        <stp/>
        <stp>BDP|2304945658690726934</stp>
        <tr r="AY109" s="3"/>
      </tp>
      <tp t="s">
        <v>#N/A N/A</v>
        <stp/>
        <stp>BDP|7036534080375018882</stp>
        <tr r="BX85" s="3"/>
      </tp>
      <tp t="s">
        <v>#N/A N/A</v>
        <stp/>
        <stp>BDP|3694828859429610039</stp>
        <tr r="BW96" s="3"/>
      </tp>
      <tp t="s">
        <v>#N/A N/A</v>
        <stp/>
        <stp>BDP|8552488024121306820</stp>
        <tr r="AV107" s="3"/>
      </tp>
      <tp t="s">
        <v>#N/A N/A</v>
        <stp/>
        <stp>BDP|7304987125179673203</stp>
        <tr r="AB90" s="3"/>
      </tp>
      <tp t="s">
        <v>#N/A N/A</v>
        <stp/>
        <stp>BDP|2345386751891684240</stp>
        <tr r="AF75" s="3"/>
      </tp>
      <tp t="s">
        <v>#N/A N/A</v>
        <stp/>
        <stp>BDP|6221960355684098985</stp>
        <tr r="CE109" s="3"/>
      </tp>
      <tp t="s">
        <v>#N/A N/A</v>
        <stp/>
        <stp>BDP|9750791227989255225</stp>
        <tr r="BJ94" s="3"/>
      </tp>
      <tp t="s">
        <v>#N/A N/A</v>
        <stp/>
        <stp>BDP|1842071440204782613</stp>
        <tr r="Y98" s="3"/>
      </tp>
      <tp t="s">
        <v>#N/A N/A</v>
        <stp/>
        <stp>BDP|9017592249909136688</stp>
        <tr r="AU90" s="3"/>
      </tp>
      <tp t="s">
        <v>#N/A N/A</v>
        <stp/>
        <stp>BDP|9445888834783196603</stp>
        <tr r="BM112" s="3"/>
      </tp>
      <tp t="s">
        <v>#N/A N/A</v>
        <stp/>
        <stp>BDP|6861413353163539366</stp>
        <tr r="N87" s="3"/>
      </tp>
      <tp t="s">
        <v>#N/A N/A</v>
        <stp/>
        <stp>BDP|8655949706090945649</stp>
        <tr r="BI92" s="3"/>
      </tp>
      <tp t="s">
        <v>#N/A N/A</v>
        <stp/>
        <stp>BDP|7231846886249148981</stp>
        <tr r="AO75" s="3"/>
      </tp>
      <tp t="s">
        <v>#N/A N/A</v>
        <stp/>
        <stp>BDP|3843683906417969560</stp>
        <tr r="BX112" s="3"/>
      </tp>
      <tp t="s">
        <v>#N/A N/A</v>
        <stp/>
        <stp>BDP|5693807214188804339</stp>
        <tr r="AK107" s="3"/>
      </tp>
      <tp t="s">
        <v>#N/A N/A</v>
        <stp/>
        <stp>BDP|7169247686009511389</stp>
        <tr r="CK95" s="3"/>
      </tp>
      <tp t="s">
        <v>#N/A N/A</v>
        <stp/>
        <stp>BDP|5504604169552489060</stp>
        <tr r="V110" s="3"/>
      </tp>
      <tp t="s">
        <v>#N/A N/A</v>
        <stp/>
        <stp>BDP|5963608089199809565</stp>
        <tr r="AK75" s="3"/>
      </tp>
      <tp t="s">
        <v>#N/A N/A</v>
        <stp/>
        <stp>BDP|6167127238310770325</stp>
        <tr r="AE105" s="3"/>
      </tp>
      <tp t="s">
        <v>#N/A N/A</v>
        <stp/>
        <stp>BDP|2300176227712856457</stp>
        <tr r="AM99" s="3"/>
      </tp>
      <tp t="s">
        <v>#N/A N/A</v>
        <stp/>
        <stp>BDP|6585011557281884555</stp>
        <tr r="U75" s="3"/>
      </tp>
      <tp t="s">
        <v>#N/A N/A</v>
        <stp/>
        <stp>BDP|5619069338299404830</stp>
        <tr r="K90" s="3"/>
      </tp>
      <tp t="s">
        <v>#N/A N/A</v>
        <stp/>
        <stp>BDP|7177438082649969560</stp>
        <tr r="CB85" s="3"/>
      </tp>
      <tp t="s">
        <v>#N/A N/A</v>
        <stp/>
        <stp>BDP|7936519083879304473</stp>
        <tr r="AX108" s="3"/>
      </tp>
      <tp t="s">
        <v>#N/A N/A</v>
        <stp/>
        <stp>BDP|5255462656515466694</stp>
        <tr r="G101" s="3"/>
      </tp>
      <tp t="s">
        <v>#N/A N/A</v>
        <stp/>
        <stp>BDP|2046324333395942074</stp>
        <tr r="BW91" s="3"/>
      </tp>
      <tp t="s">
        <v>#N/A N/A</v>
        <stp/>
        <stp>BDP|4856951993284168706</stp>
        <tr r="AO100" s="3"/>
      </tp>
      <tp t="s">
        <v>#N/A N/A</v>
        <stp/>
        <stp>BDP|4905363692811876899</stp>
        <tr r="BF87" s="3"/>
      </tp>
      <tp t="s">
        <v>#N/A N/A</v>
        <stp/>
        <stp>BDP|4959291205574119584</stp>
        <tr r="F107" s="3"/>
      </tp>
      <tp t="s">
        <v>#N/A N/A</v>
        <stp/>
        <stp>BDP|1465641038013204060</stp>
        <tr r="BZ73" s="3"/>
      </tp>
      <tp t="s">
        <v>#N/A N/A</v>
        <stp/>
        <stp>BDP|8481879909817286059</stp>
        <tr r="BD85" s="3"/>
      </tp>
      <tp t="s">
        <v>#N/A N/A</v>
        <stp/>
        <stp>BDP|4902368455760355547</stp>
        <tr r="BQ74" s="3"/>
      </tp>
      <tp t="s">
        <v>#N/A N/A</v>
        <stp/>
        <stp>BDP|5915979063634490946</stp>
        <tr r="BJ73" s="3"/>
      </tp>
      <tp t="s">
        <v>#N/A N/A</v>
        <stp/>
        <stp>BDP|7768576637423336592</stp>
        <tr r="BD98" s="3"/>
      </tp>
      <tp t="s">
        <v>#N/A N/A</v>
        <stp/>
        <stp>BDP|3569488199740158988</stp>
        <tr r="X98" s="3"/>
      </tp>
      <tp t="s">
        <v>#N/A N/A</v>
        <stp/>
        <stp>BDP|8023623140848699597</stp>
        <tr r="BO75" s="3"/>
      </tp>
      <tp t="s">
        <v>#N/A N/A</v>
        <stp/>
        <stp>BDP|2279663941267143068</stp>
        <tr r="BY112" s="3"/>
      </tp>
      <tp t="s">
        <v>#N/A N/A</v>
        <stp/>
        <stp>BDP|4216507986087786914</stp>
        <tr r="AL98" s="3"/>
      </tp>
      <tp t="s">
        <v>#N/A N/A</v>
        <stp/>
        <stp>BDP|7404494209252125679</stp>
        <tr r="AK97" s="3"/>
      </tp>
      <tp t="s">
        <v>#N/A N/A</v>
        <stp/>
        <stp>BDP|3596316866235063406</stp>
        <tr r="CC76" s="3"/>
      </tp>
      <tp t="s">
        <v>#N/A N/A</v>
        <stp/>
        <stp>BDP|6699952984842080257</stp>
        <tr r="CF108" s="3"/>
      </tp>
      <tp t="s">
        <v>#N/A N/A</v>
        <stp/>
        <stp>BDP|2856416262555117288</stp>
        <tr r="AQ76" s="3"/>
      </tp>
      <tp t="s">
        <v>#N/A N/A</v>
        <stp/>
        <stp>BDP|3278979218708638494</stp>
        <tr r="AU103" s="3"/>
      </tp>
      <tp t="s">
        <v>#N/A N/A</v>
        <stp/>
        <stp>BDP|5505352893851199906</stp>
        <tr r="CA107" s="3"/>
      </tp>
      <tp t="s">
        <v>#N/A N/A</v>
        <stp/>
        <stp>BDP|9853990876112590209</stp>
        <tr r="BT104" s="3"/>
      </tp>
      <tp t="s">
        <v>#N/A N/A</v>
        <stp/>
        <stp>BDP|1108230333407207012</stp>
        <tr r="R91" s="3"/>
      </tp>
      <tp t="s">
        <v>#N/A N/A</v>
        <stp/>
        <stp>BDP|1057267047172020229</stp>
        <tr r="AN111" s="3"/>
      </tp>
      <tp t="s">
        <v>#N/A N/A</v>
        <stp/>
        <stp>BDP|1385617536192210152</stp>
        <tr r="AW77" s="3"/>
      </tp>
      <tp t="s">
        <v>#N/A N/A</v>
        <stp/>
        <stp>BDP|7216657246531352318</stp>
        <tr r="N98" s="3"/>
      </tp>
      <tp t="s">
        <v>#N/A N/A</v>
        <stp/>
        <stp>BDP|7019484562583865117</stp>
        <tr r="AJ76" s="3"/>
      </tp>
      <tp t="s">
        <v>#N/A N/A</v>
        <stp/>
        <stp>BDP|3843746943914882342</stp>
        <tr r="V111" s="3"/>
      </tp>
      <tp t="s">
        <v>#N/A N/A</v>
        <stp/>
        <stp>BDP|7435192213565501586</stp>
        <tr r="S99" s="3"/>
      </tp>
      <tp t="s">
        <v>#N/A N/A</v>
        <stp/>
        <stp>BDP|1902777649804595113</stp>
        <tr r="G74" s="3"/>
      </tp>
      <tp t="s">
        <v>#N/A N/A</v>
        <stp/>
        <stp>BDP|1984615900857377787</stp>
        <tr r="Y113" s="3"/>
      </tp>
      <tp t="s">
        <v>#N/A N/A</v>
        <stp/>
        <stp>BDP|4146519997997455839</stp>
        <tr r="AQ73" s="3"/>
      </tp>
      <tp t="s">
        <v>#N/A N/A</v>
        <stp/>
        <stp>BDP|4328514842831200322</stp>
        <tr r="AX75" s="3"/>
      </tp>
      <tp t="s">
        <v>#N/A N/A</v>
        <stp/>
        <stp>BDP|9106262727697832988</stp>
        <tr r="AX101" s="3"/>
      </tp>
      <tp t="s">
        <v>#N/A N/A</v>
        <stp/>
        <stp>BDP|2232036650717628770</stp>
        <tr r="G89" s="3"/>
      </tp>
      <tp t="s">
        <v>#N/A N/A</v>
        <stp/>
        <stp>BDP|3726328774349072918</stp>
        <tr r="AO111" s="3"/>
      </tp>
      <tp t="s">
        <v>#N/A N/A</v>
        <stp/>
        <stp>BDP|9634934739703815759</stp>
        <tr r="AO90" s="3"/>
      </tp>
      <tp t="s">
        <v>#N/A N/A</v>
        <stp/>
        <stp>BDP|8357851509996841163</stp>
        <tr r="R92" s="3"/>
      </tp>
      <tp t="s">
        <v>#N/A N/A</v>
        <stp/>
        <stp>BDP|4389262433813745106</stp>
        <tr r="CF101" s="3"/>
      </tp>
      <tp t="s">
        <v>#N/A N/A</v>
        <stp/>
        <stp>BDP|2547110041129647922</stp>
        <tr r="AW75" s="3"/>
      </tp>
      <tp t="s">
        <v>#N/A N/A</v>
        <stp/>
        <stp>BDP|2534134831026606102</stp>
        <tr r="BZ100" s="3"/>
      </tp>
      <tp t="s">
        <v>#N/A N/A</v>
        <stp/>
        <stp>BDP|4064482553137206581</stp>
        <tr r="BE77" s="3"/>
      </tp>
      <tp t="s">
        <v>#N/A N/A</v>
        <stp/>
        <stp>BDP|6004203706111079272</stp>
        <tr r="X91" s="3"/>
      </tp>
      <tp t="s">
        <v>#N/A N/A</v>
        <stp/>
        <stp>BDP|3130039842095746517</stp>
        <tr r="M91" s="3"/>
      </tp>
      <tp t="s">
        <v>#N/A N/A</v>
        <stp/>
        <stp>BDP|8070159004078314647</stp>
        <tr r="BP90" s="3"/>
      </tp>
      <tp t="s">
        <v>#N/A N/A</v>
        <stp/>
        <stp>BDP|9327009500557360962</stp>
        <tr r="AF111" s="3"/>
      </tp>
      <tp t="s">
        <v>#N/A N/A</v>
        <stp/>
        <stp>BDP|4292343143014210017</stp>
        <tr r="W89" s="3"/>
      </tp>
      <tp t="s">
        <v>#N/A N/A</v>
        <stp/>
        <stp>BDP|2716622803075859686</stp>
        <tr r="Q102" s="3"/>
      </tp>
      <tp t="s">
        <v>#N/A N/A</v>
        <stp/>
        <stp>BDP|1476658861167595137</stp>
        <tr r="BF110" s="3"/>
      </tp>
      <tp t="s">
        <v>#N/A N/A</v>
        <stp/>
        <stp>BDP|4416003126018745934</stp>
        <tr r="T111" s="3"/>
      </tp>
      <tp t="s">
        <v>#N/A N/A</v>
        <stp/>
        <stp>BDP|2999039162227953475</stp>
        <tr r="BK76" s="3"/>
      </tp>
      <tp t="s">
        <v>#N/A N/A</v>
        <stp/>
        <stp>BDP|6855189046902860685</stp>
        <tr r="BZ103" s="3"/>
      </tp>
      <tp t="s">
        <v>#N/A N/A</v>
        <stp/>
        <stp>BDP|6327980669347403907</stp>
        <tr r="J101" s="3"/>
      </tp>
      <tp t="s">
        <v>#N/A N/A</v>
        <stp/>
        <stp>BDP|2358304944895704771</stp>
        <tr r="BA73" s="3"/>
      </tp>
      <tp t="s">
        <v>#N/A N/A</v>
        <stp/>
        <stp>BDP|6252187712851901061</stp>
        <tr r="AW113" s="3"/>
      </tp>
      <tp t="s">
        <v>#N/A N/A</v>
        <stp/>
        <stp>BDP|7674669976007768667</stp>
        <tr r="BM110" s="3"/>
      </tp>
      <tp t="s">
        <v>#N/A N/A</v>
        <stp/>
        <stp>BDP|1380063906714110252</stp>
        <tr r="AY101" s="3"/>
      </tp>
      <tp t="s">
        <v>#N/A N/A</v>
        <stp/>
        <stp>BDP|7115562239676186088</stp>
        <tr r="CG104" s="3"/>
      </tp>
      <tp t="s">
        <v>#N/A N/A</v>
        <stp/>
        <stp>BDP|6044637216976066028</stp>
        <tr r="CB88" s="3"/>
      </tp>
      <tp t="s">
        <v>#N/A N/A</v>
        <stp/>
        <stp>BDP|1380676913072567363</stp>
        <tr r="AG106" s="3"/>
      </tp>
      <tp t="s">
        <v>#N/A N/A</v>
        <stp/>
        <stp>BDP|6432815369138898704</stp>
        <tr r="AF103" s="3"/>
      </tp>
      <tp t="s">
        <v>#N/A N/A</v>
        <stp/>
        <stp>BDP|2848029864234950737</stp>
        <tr r="BM97" s="3"/>
      </tp>
      <tp t="s">
        <v>#N/A N/A</v>
        <stp/>
        <stp>BDP|2291935395241864488</stp>
        <tr r="M111" s="3"/>
      </tp>
      <tp t="s">
        <v>#N/A N/A</v>
        <stp/>
        <stp>BDP|7497633597258035748</stp>
        <tr r="K93" s="3"/>
      </tp>
      <tp t="s">
        <v>#N/A N/A</v>
        <stp/>
        <stp>BDP|3769321013434365210</stp>
        <tr r="AZ91" s="3"/>
      </tp>
      <tp t="s">
        <v>#N/A N/A</v>
        <stp/>
        <stp>BDP|3206161920397601065</stp>
        <tr r="AX95" s="3"/>
      </tp>
      <tp t="s">
        <v>#N/A N/A</v>
        <stp/>
        <stp>BDP|8417442974299776571</stp>
        <tr r="BH100" s="3"/>
      </tp>
      <tp t="s">
        <v>#N/A N/A</v>
        <stp/>
        <stp>BDP|3014655024232398276</stp>
        <tr r="AE110" s="3"/>
      </tp>
      <tp t="s">
        <v>#N/A N/A</v>
        <stp/>
        <stp>BDP|6820595203420677418</stp>
        <tr r="P74" s="3"/>
      </tp>
      <tp t="s">
        <v>#N/A N/A</v>
        <stp/>
        <stp>BDP|7090451522203576571</stp>
        <tr r="BY107" s="3"/>
      </tp>
      <tp t="s">
        <v>#N/A N/A</v>
        <stp/>
        <stp>BDP|7093547913853014727</stp>
        <tr r="AL75" s="3"/>
      </tp>
      <tp t="s">
        <v>#N/A N/A</v>
        <stp/>
        <stp>BDP|8737308890682603748</stp>
        <tr r="L91" s="3"/>
      </tp>
      <tp t="s">
        <v>#N/A N/A</v>
        <stp/>
        <stp>BDP|8686300287513932026</stp>
        <tr r="G99" s="3"/>
      </tp>
      <tp t="s">
        <v>#N/A N/A</v>
        <stp/>
        <stp>BDP|7971572635824157500</stp>
        <tr r="AE97" s="3"/>
      </tp>
      <tp t="s">
        <v>#N/A N/A</v>
        <stp/>
        <stp>BDP|3377710638115450248</stp>
        <tr r="BI104" s="3"/>
      </tp>
      <tp t="s">
        <v>#N/A N/A</v>
        <stp/>
        <stp>BDP|5374981151568878188</stp>
        <tr r="AD77" s="3"/>
      </tp>
      <tp t="s">
        <v>#N/A N/A</v>
        <stp/>
        <stp>BDP|6223565173575595184</stp>
        <tr r="G90" s="3"/>
      </tp>
      <tp t="s">
        <v>#N/A N/A</v>
        <stp/>
        <stp>BDP|4984559561790261757</stp>
        <tr r="P76" s="3"/>
      </tp>
      <tp t="s">
        <v>#N/A N/A</v>
        <stp/>
        <stp>BDP|2181505259476417472</stp>
        <tr r="CB89" s="3"/>
      </tp>
      <tp t="s">
        <v>#N/A N/A</v>
        <stp/>
        <stp>BDP|7884200433846393034</stp>
        <tr r="AQ111" s="3"/>
      </tp>
      <tp t="s">
        <v>#N/A N/A</v>
        <stp/>
        <stp>BDP|3813213209272306380</stp>
        <tr r="CD104" s="3"/>
      </tp>
      <tp t="s">
        <v>#N/A N/A</v>
        <stp/>
        <stp>BDP|4435277653234220797</stp>
        <tr r="BJ92" s="3"/>
      </tp>
      <tp t="s">
        <v>#N/A N/A</v>
        <stp/>
        <stp>BDP|8046778871649819160</stp>
        <tr r="AY88" s="3"/>
      </tp>
      <tp t="s">
        <v>#N/A N/A</v>
        <stp/>
        <stp>BDP|3530531669966784609</stp>
        <tr r="BA91" s="3"/>
      </tp>
      <tp t="s">
        <v>#N/A N/A</v>
        <stp/>
        <stp>BDP|5097316229637507356</stp>
        <tr r="BM91" s="3"/>
      </tp>
      <tp t="s">
        <v>#N/A N/A</v>
        <stp/>
        <stp>BDP|2399274481930452892</stp>
        <tr r="S113" s="3"/>
      </tp>
      <tp t="s">
        <v>#N/A N/A</v>
        <stp/>
        <stp>BDP|6923668240202028679</stp>
        <tr r="J96" s="3"/>
      </tp>
      <tp t="s">
        <v>#N/A N/A</v>
        <stp/>
        <stp>BDP|2406286944170126417</stp>
        <tr r="CJ89" s="3"/>
      </tp>
      <tp t="s">
        <v>#N/A N/A</v>
        <stp/>
        <stp>BDP|4837686872110984539</stp>
        <tr r="BA105" s="3"/>
      </tp>
      <tp t="s">
        <v>#N/A N/A</v>
        <stp/>
        <stp>BDP|2762756196428479487</stp>
        <tr r="BN98" s="3"/>
      </tp>
      <tp t="s">
        <v>#N/A N/A</v>
        <stp/>
        <stp>BDP|5692317907887939111</stp>
        <tr r="BE112" s="3"/>
      </tp>
      <tp t="s">
        <v>#N/A N/A</v>
        <stp/>
        <stp>BDP|4864062092264182959</stp>
        <tr r="BJ74" s="3"/>
      </tp>
      <tp t="s">
        <v>#N/A N/A</v>
        <stp/>
        <stp>BDP|7644686511758357850</stp>
        <tr r="BV108" s="3"/>
      </tp>
      <tp t="s">
        <v>#N/A N/A</v>
        <stp/>
        <stp>BDP|6054187050313847197</stp>
        <tr r="AS74" s="3"/>
      </tp>
      <tp t="s">
        <v>#N/A N/A</v>
        <stp/>
        <stp>BDP|1039601387327947877</stp>
        <tr r="AM85" s="3"/>
      </tp>
      <tp t="s">
        <v>#N/A N/A</v>
        <stp/>
        <stp>BDP|5589776627088435888</stp>
        <tr r="AH110" s="3"/>
      </tp>
      <tp t="s">
        <v>#N/A N/A</v>
        <stp/>
        <stp>BDP|6903552827418417962</stp>
        <tr r="CI113" s="3"/>
      </tp>
      <tp t="s">
        <v>#N/A N/A</v>
        <stp/>
        <stp>BDP|8713907200588832967</stp>
        <tr r="CC89" s="3"/>
      </tp>
      <tp t="s">
        <v>#N/A N/A</v>
        <stp/>
        <stp>BDP|7921073770219395933</stp>
        <tr r="BR103" s="3"/>
      </tp>
      <tp t="s">
        <v>#N/A N/A</v>
        <stp/>
        <stp>BDP|1475891081849361813</stp>
        <tr r="AU101" s="3"/>
      </tp>
      <tp t="s">
        <v>#N/A N/A</v>
        <stp/>
        <stp>BDP|3261448751235134784</stp>
        <tr r="M85" s="3"/>
      </tp>
      <tp t="s">
        <v>#N/A N/A</v>
        <stp/>
        <stp>BDP|5968071553153334301</stp>
        <tr r="CE90" s="3"/>
      </tp>
      <tp t="s">
        <v>#N/A N/A</v>
        <stp/>
        <stp>BDP|6556350460812657190</stp>
        <tr r="AJ103" s="3"/>
      </tp>
      <tp t="s">
        <v>#N/A N/A</v>
        <stp/>
        <stp>BDP|1617299616486096469</stp>
        <tr r="U113" s="3"/>
      </tp>
      <tp t="s">
        <v>#N/A N/A</v>
        <stp/>
        <stp>BDP|5637251362228949975</stp>
        <tr r="M96" s="3"/>
      </tp>
      <tp t="s">
        <v>#N/A N/A</v>
        <stp/>
        <stp>BDP|8675398734339573118</stp>
        <tr r="AT96" s="3"/>
      </tp>
      <tp t="s">
        <v>#N/A N/A</v>
        <stp/>
        <stp>BDP|9345735526558948402</stp>
        <tr r="AE106" s="3"/>
      </tp>
      <tp t="s">
        <v>#N/A N/A</v>
        <stp/>
        <stp>BDP|7963816523039312445</stp>
        <tr r="AI101" s="3"/>
      </tp>
      <tp t="s">
        <v>#N/A N/A</v>
        <stp/>
        <stp>BDP|3758634729154526358</stp>
        <tr r="R88" s="3"/>
      </tp>
      <tp t="s">
        <v>#N/A N/A</v>
        <stp/>
        <stp>BDP|6459767489179170079</stp>
        <tr r="CF110" s="3"/>
      </tp>
      <tp t="s">
        <v>#N/A N/A</v>
        <stp/>
        <stp>BDP|2781584401491946654</stp>
        <tr r="CC88" s="3"/>
      </tp>
      <tp t="s">
        <v>#N/A N/A</v>
        <stp/>
        <stp>BDP|3588101810375064670</stp>
        <tr r="BO95" s="3"/>
      </tp>
      <tp t="s">
        <v>#N/A N/A</v>
        <stp/>
        <stp>BDP|2540010671330492531</stp>
        <tr r="AM92" s="3"/>
      </tp>
      <tp t="s">
        <v>#N/A N/A</v>
        <stp/>
        <stp>BDP|1496543582859626564</stp>
        <tr r="AO103" s="3"/>
      </tp>
      <tp t="s">
        <v>#N/A N/A</v>
        <stp/>
        <stp>BDP|3168039037233397340</stp>
        <tr r="X103" s="3"/>
      </tp>
      <tp t="s">
        <v>#N/A N/A</v>
        <stp/>
        <stp>BDP|6694660959785890031</stp>
        <tr r="BK105" s="3"/>
      </tp>
      <tp t="s">
        <v>#N/A N/A</v>
        <stp/>
        <stp>BDP|8836539561249060288</stp>
        <tr r="BI111" s="3"/>
      </tp>
      <tp t="s">
        <v>#N/A N/A</v>
        <stp/>
        <stp>BDP|7921629401067170686</stp>
        <tr r="Z107" s="3"/>
      </tp>
      <tp t="s">
        <v>#N/A N/A</v>
        <stp/>
        <stp>BDP|2515088266511985515</stp>
        <tr r="BN106" s="3"/>
      </tp>
      <tp t="s">
        <v>#N/A N/A</v>
        <stp/>
        <stp>BDP|6713302035707936187</stp>
        <tr r="F88" s="3"/>
      </tp>
      <tp t="s">
        <v>#N/A N/A</v>
        <stp/>
        <stp>BDP|9867733409599251735</stp>
        <tr r="S112" s="3"/>
      </tp>
      <tp t="s">
        <v>#N/A N/A</v>
        <stp/>
        <stp>BDP|9729989482950644882</stp>
        <tr r="N112" s="3"/>
      </tp>
      <tp t="s">
        <v>#N/A N/A</v>
        <stp/>
        <stp>BDP|9094498736346813845</stp>
        <tr r="BV74" s="3"/>
      </tp>
      <tp t="s">
        <v>#N/A N/A</v>
        <stp/>
        <stp>BDP|3514886415909303388</stp>
        <tr r="CB95" s="3"/>
      </tp>
      <tp t="s">
        <v>#N/A N/A</v>
        <stp/>
        <stp>BDP|6693723759920987441</stp>
        <tr r="AW85" s="3"/>
      </tp>
      <tp t="s">
        <v>#N/A N/A</v>
        <stp/>
        <stp>BDP|7031704934924038740</stp>
        <tr r="BZ109" s="3"/>
      </tp>
      <tp t="s">
        <v>#N/A N/A</v>
        <stp/>
        <stp>BDP|3095606785845779822</stp>
        <tr r="BW75" s="3"/>
      </tp>
      <tp t="s">
        <v>#N/A N/A</v>
        <stp/>
        <stp>BDP|8324572134016821887</stp>
        <tr r="AW92" s="3"/>
      </tp>
      <tp t="s">
        <v>#N/A N/A</v>
        <stp/>
        <stp>BDP|2118563671214155473</stp>
        <tr r="BB107" s="3"/>
      </tp>
      <tp t="s">
        <v>#N/A N/A</v>
        <stp/>
        <stp>BDP|7570440205321752228</stp>
        <tr r="AR73" s="3"/>
      </tp>
      <tp t="s">
        <v>#N/A N/A</v>
        <stp/>
        <stp>BDP|3245567844421809399</stp>
        <tr r="AZ104" s="3"/>
      </tp>
      <tp t="s">
        <v>#N/A N/A</v>
        <stp/>
        <stp>BDP|6880418352722808526</stp>
        <tr r="BU76" s="3"/>
      </tp>
      <tp t="s">
        <v>#N/A N/A</v>
        <stp/>
        <stp>BDP|6372235116895080072</stp>
        <tr r="AP76" s="3"/>
      </tp>
      <tp t="s">
        <v>#N/A N/A</v>
        <stp/>
        <stp>BDP|4603488829775387755</stp>
        <tr r="AF93" s="3"/>
      </tp>
      <tp t="s">
        <v>#N/A N/A</v>
        <stp/>
        <stp>BDP|6230984793131057784</stp>
        <tr r="AD104" s="3"/>
      </tp>
      <tp t="s">
        <v>#N/A N/A</v>
        <stp/>
        <stp>BDP|9045724532005309826</stp>
        <tr r="AG95" s="3"/>
      </tp>
      <tp t="s">
        <v>#N/A N/A</v>
        <stp/>
        <stp>BDP|6151993176959871103</stp>
        <tr r="BC73" s="3"/>
      </tp>
      <tp t="s">
        <v>#N/A N/A</v>
        <stp/>
        <stp>BDP|9440991062267884112</stp>
        <tr r="BE101" s="3"/>
      </tp>
      <tp t="s">
        <v>#N/A N/A</v>
        <stp/>
        <stp>BDP|6366517599709592381</stp>
        <tr r="N92" s="3"/>
      </tp>
      <tp t="s">
        <v>#N/A N/A</v>
        <stp/>
        <stp>BDP|1006311408750927261</stp>
        <tr r="Y111" s="3"/>
      </tp>
      <tp t="s">
        <v>#N/A N/A</v>
        <stp/>
        <stp>BDP|8241852481628234027</stp>
        <tr r="BA110" s="3"/>
      </tp>
      <tp t="s">
        <v>#N/A N/A</v>
        <stp/>
        <stp>BDP|2593712971244199638</stp>
        <tr r="BN75" s="3"/>
      </tp>
      <tp t="s">
        <v>#N/A N/A</v>
        <stp/>
        <stp>BDP|1184098309565799411</stp>
        <tr r="CI94" s="3"/>
      </tp>
      <tp t="s">
        <v>#N/A N/A</v>
        <stp/>
        <stp>BDP|6221350223212151525</stp>
        <tr r="W85" s="3"/>
      </tp>
      <tp t="s">
        <v>#N/A N/A</v>
        <stp/>
        <stp>BDP|4303189902996818363</stp>
        <tr r="AZ112" s="3"/>
      </tp>
      <tp t="s">
        <v>#N/A N/A</v>
        <stp/>
        <stp>BDP|2066491336903938619</stp>
        <tr r="AR108" s="3"/>
      </tp>
      <tp t="s">
        <v>#N/A N/A</v>
        <stp/>
        <stp>BDP|9477962223722703021</stp>
        <tr r="BX90" s="3"/>
      </tp>
      <tp t="s">
        <v>#N/A N/A</v>
        <stp/>
        <stp>BDP|2268393557620019487</stp>
        <tr r="T74" s="3"/>
      </tp>
      <tp t="s">
        <v>#N/A N/A</v>
        <stp/>
        <stp>BDP|4693773070862402614</stp>
        <tr r="AA102" s="3"/>
      </tp>
      <tp t="s">
        <v>#N/A N/A</v>
        <stp/>
        <stp>BDP|3424121171674446169</stp>
        <tr r="S102" s="3"/>
      </tp>
      <tp t="s">
        <v>#N/A N/A</v>
        <stp/>
        <stp>BDP|5082549307645698505</stp>
        <tr r="BC77" s="3"/>
      </tp>
      <tp t="s">
        <v>#N/A N/A</v>
        <stp/>
        <stp>BDP|4079134777993876192</stp>
        <tr r="BW94" s="3"/>
      </tp>
      <tp t="s">
        <v>#N/A N/A</v>
        <stp/>
        <stp>BDP|7712443436438588851</stp>
        <tr r="Y88" s="3"/>
      </tp>
      <tp t="s">
        <v>#N/A N/A</v>
        <stp/>
        <stp>BDP|3502857592955799708</stp>
        <tr r="H110" s="3"/>
      </tp>
      <tp t="s">
        <v>#N/A N/A</v>
        <stp/>
        <stp>BDP|5519059251747472706</stp>
        <tr r="BJ113" s="3"/>
      </tp>
      <tp t="s">
        <v>#N/A N/A</v>
        <stp/>
        <stp>BDP|3882983056809684658</stp>
        <tr r="K110" s="3"/>
      </tp>
      <tp t="s">
        <v>#N/A N/A</v>
        <stp/>
        <stp>BDP|9819480599373502796</stp>
        <tr r="AY97" s="3"/>
      </tp>
      <tp t="s">
        <v>#N/A N/A</v>
        <stp/>
        <stp>BDP|2980017123662558347</stp>
        <tr r="BM88" s="3"/>
      </tp>
      <tp t="s">
        <v>#N/A N/A</v>
        <stp/>
        <stp>BDP|5896762933301446131</stp>
        <tr r="BZ95" s="3"/>
      </tp>
      <tp t="s">
        <v>#N/A N/A</v>
        <stp/>
        <stp>BDP|2641278569694261309</stp>
        <tr r="BJ106" s="3"/>
      </tp>
      <tp t="s">
        <v>#N/A N/A</v>
        <stp/>
        <stp>BDP|6636654508104272535</stp>
        <tr r="AA107" s="3"/>
      </tp>
      <tp t="s">
        <v>#N/A N/A</v>
        <stp/>
        <stp>BDP|6961037770178004819</stp>
        <tr r="X95" s="3"/>
      </tp>
      <tp t="s">
        <v>#N/A N/A</v>
        <stp/>
        <stp>BDP|1998045077071563640</stp>
        <tr r="CC95" s="3"/>
      </tp>
      <tp t="s">
        <v>#N/A N/A</v>
        <stp/>
        <stp>BDP|2335335516099817856</stp>
        <tr r="CH88" s="3"/>
      </tp>
      <tp t="s">
        <v>#N/A N/A</v>
        <stp/>
        <stp>BDP|3584101768632485727</stp>
        <tr r="L111" s="3"/>
      </tp>
      <tp t="s">
        <v>#N/A N/A</v>
        <stp/>
        <stp>BDH|6229071773408897851</stp>
        <tr r="F79" s="3"/>
      </tp>
      <tp t="s">
        <v>#N/A N/A</v>
        <stp/>
        <stp>BDP|7462065231967368285</stp>
        <tr r="CJ108" s="3"/>
      </tp>
      <tp t="s">
        <v>#N/A N/A</v>
        <stp/>
        <stp>BDP|3975629873057970490</stp>
        <tr r="J92" s="3"/>
      </tp>
      <tp t="s">
        <v>#N/A N/A</v>
        <stp/>
        <stp>BDP|1852156297468665049</stp>
        <tr r="AT88" s="3"/>
      </tp>
      <tp t="s">
        <v>#N/A N/A</v>
        <stp/>
        <stp>BDP|7460641009947850790</stp>
        <tr r="U89" s="3"/>
      </tp>
      <tp t="s">
        <v>#N/A N/A</v>
        <stp/>
        <stp>BDP|2404869359356504861</stp>
        <tr r="F102" s="3"/>
      </tp>
      <tp t="s">
        <v>#N/A N/A</v>
        <stp/>
        <stp>BDP|2298274156521947526</stp>
        <tr r="AR85" s="3"/>
      </tp>
      <tp t="s">
        <v>#N/A N/A</v>
        <stp/>
        <stp>BDP|8158649440562471990</stp>
        <tr r="BT100" s="3"/>
      </tp>
      <tp t="s">
        <v>#N/A N/A</v>
        <stp/>
        <stp>BDP|2256198167535233169</stp>
        <tr r="CB104" s="3"/>
      </tp>
      <tp t="s">
        <v>#N/A N/A</v>
        <stp/>
        <stp>BDP|5917194755301507183</stp>
        <tr r="BB85" s="3"/>
      </tp>
      <tp t="s">
        <v>#N/A N/A</v>
        <stp/>
        <stp>BDP|4837324759332811130</stp>
        <tr r="P96" s="3"/>
      </tp>
      <tp t="s">
        <v>#N/A N/A</v>
        <stp/>
        <stp>BDP|1156124985630844966</stp>
        <tr r="AS93" s="3"/>
      </tp>
      <tp t="s">
        <v>#N/A N/A</v>
        <stp/>
        <stp>BDP|9057370783870429388</stp>
        <tr r="Y101" s="3"/>
      </tp>
      <tp t="s">
        <v>#N/A N/A</v>
        <stp/>
        <stp>BDP|4925844961508369373</stp>
        <tr r="AF85" s="3"/>
      </tp>
      <tp t="s">
        <v>#N/A N/A</v>
        <stp/>
        <stp>BDP|1473981692038273858</stp>
        <tr r="AQ104" s="3"/>
      </tp>
      <tp t="s">
        <v>#N/A N/A</v>
        <stp/>
        <stp>BDP|7498160441425995639</stp>
        <tr r="S103" s="3"/>
      </tp>
      <tp t="s">
        <v>#N/A N/A</v>
        <stp/>
        <stp>BDP|2721726056232285381</stp>
        <tr r="AS85" s="3"/>
      </tp>
      <tp t="s">
        <v>#N/A N/A</v>
        <stp/>
        <stp>BDP|3868474140970377252</stp>
        <tr r="AE107" s="3"/>
      </tp>
      <tp t="s">
        <v>#N/A N/A</v>
        <stp/>
        <stp>BDP|5853279410972630506</stp>
        <tr r="BK88" s="3"/>
      </tp>
      <tp t="s">
        <v>#N/A N/A</v>
        <stp/>
        <stp>BDP|9244418359150108928</stp>
        <tr r="BO99" s="3"/>
      </tp>
      <tp t="s">
        <v>#N/A N/A</v>
        <stp/>
        <stp>BDP|3511315023185825661</stp>
        <tr r="X93" s="3"/>
      </tp>
      <tp t="s">
        <v>#N/A N/A</v>
        <stp/>
        <stp>BDP|4235796235821544056</stp>
        <tr r="BK74" s="3"/>
      </tp>
      <tp t="s">
        <v>#N/A N/A</v>
        <stp/>
        <stp>BDP|5403448009781148169</stp>
        <tr r="AI107" s="3"/>
      </tp>
      <tp t="s">
        <v>#N/A N/A</v>
        <stp/>
        <stp>BDP|3537984981367300416</stp>
        <tr r="AC87" s="3"/>
      </tp>
      <tp t="s">
        <v>#N/A N/A</v>
        <stp/>
        <stp>BDP|3350611199189695424</stp>
        <tr r="CJ98" s="3"/>
      </tp>
      <tp t="s">
        <v>#N/A N/A</v>
        <stp/>
        <stp>BDP|4250048464447476495</stp>
        <tr r="BE110" s="3"/>
      </tp>
      <tp t="s">
        <v>#N/A N/A</v>
        <stp/>
        <stp>BDP|7845250743429954985</stp>
        <tr r="X105" s="3"/>
      </tp>
      <tp t="s">
        <v>#N/A N/A</v>
        <stp/>
        <stp>BDP|4684219972701228184</stp>
        <tr r="AN93" s="3"/>
      </tp>
      <tp t="s">
        <v>#N/A N/A</v>
        <stp/>
        <stp>BDP|6722712251927827209</stp>
        <tr r="BH102" s="3"/>
      </tp>
      <tp t="s">
        <v>#N/A N/A</v>
        <stp/>
        <stp>BDP|4198027428137408035</stp>
        <tr r="AT97" s="3"/>
      </tp>
      <tp t="s">
        <v>#N/A N/A</v>
        <stp/>
        <stp>BDP|8115988995211675860</stp>
        <tr r="BW112" s="3"/>
      </tp>
      <tp t="s">
        <v>#N/A N/A</v>
        <stp/>
        <stp>BDP|1283302719892468035</stp>
        <tr r="CC77" s="3"/>
      </tp>
      <tp t="s">
        <v>#N/A N/A</v>
        <stp/>
        <stp>BDP|1652244948215238340</stp>
        <tr r="AG85" s="3"/>
      </tp>
      <tp t="s">
        <v>#N/A N/A</v>
        <stp/>
        <stp>BDP|5426758238708462819</stp>
        <tr r="BV105" s="3"/>
      </tp>
      <tp t="s">
        <v>#N/A N/A</v>
        <stp/>
        <stp>BDP|9624363687126269594</stp>
        <tr r="AV104" s="3"/>
      </tp>
      <tp t="s">
        <v>#N/A N/A</v>
        <stp/>
        <stp>BDP|8404042288680300173</stp>
        <tr r="AO106" s="3"/>
      </tp>
      <tp t="s">
        <v>#N/A N/A</v>
        <stp/>
        <stp>BDP|7361043748351770347</stp>
        <tr r="BA103" s="3"/>
      </tp>
      <tp t="s">
        <v>#N/A N/A</v>
        <stp/>
        <stp>BDP|9238960125377984450</stp>
        <tr r="N106" s="3"/>
      </tp>
      <tp t="s">
        <v>#N/A N/A</v>
        <stp/>
        <stp>BDP|2343341031367967421</stp>
        <tr r="V106" s="3"/>
      </tp>
      <tp t="s">
        <v>#N/A N/A</v>
        <stp/>
        <stp>BDP|6913555310926764568</stp>
        <tr r="BN90" s="3"/>
      </tp>
      <tp t="s">
        <v>#N/A N/A</v>
        <stp/>
        <stp>BDP|3242735058212369277</stp>
        <tr r="X107" s="3"/>
      </tp>
      <tp t="s">
        <v>#N/A N/A</v>
        <stp/>
        <stp>BDP|3727678313297699286</stp>
        <tr r="CC110" s="3"/>
      </tp>
      <tp t="s">
        <v>#N/A N/A</v>
        <stp/>
        <stp>BDP|9972101597914913456</stp>
        <tr r="AS111" s="3"/>
      </tp>
      <tp t="s">
        <v>#N/A N/A</v>
        <stp/>
        <stp>BDP|9889944568425151275</stp>
        <tr r="AI96" s="3"/>
      </tp>
      <tp t="s">
        <v>#N/A N/A</v>
        <stp/>
        <stp>BDP|5932328566014938565</stp>
        <tr r="G106" s="3"/>
      </tp>
      <tp t="s">
        <v>#N/A N/A</v>
        <stp/>
        <stp>BDP|5394265569413940379</stp>
        <tr r="AC93" s="3"/>
      </tp>
      <tp t="s">
        <v>#N/A N/A</v>
        <stp/>
        <stp>BDP|5676357920190508544</stp>
        <tr r="AQ91" s="3"/>
      </tp>
      <tp t="s">
        <v>#N/A N/A</v>
        <stp/>
        <stp>BDP|6599041609465805234</stp>
        <tr r="T77" s="3"/>
      </tp>
      <tp t="s">
        <v>#N/A N/A</v>
        <stp/>
        <stp>BDP|2284407770354568442</stp>
        <tr r="AV100" s="3"/>
      </tp>
      <tp t="s">
        <v>#N/A N/A</v>
        <stp/>
        <stp>BDP|6285417705442671137</stp>
        <tr r="T103" s="3"/>
      </tp>
      <tp t="s">
        <v>#N/A N/A</v>
        <stp/>
        <stp>BDP|6530966983381301709</stp>
        <tr r="BU112" s="3"/>
      </tp>
      <tp t="s">
        <v>#N/A N/A</v>
        <stp/>
        <stp>BDP|2171666326405035228</stp>
        <tr r="R109" s="3"/>
      </tp>
      <tp t="s">
        <v>#N/A N/A</v>
        <stp/>
        <stp>BDP|6188090545644540783</stp>
        <tr r="BU111" s="3"/>
      </tp>
      <tp t="s">
        <v>#N/A N/A</v>
        <stp/>
        <stp>BDP|6603184935070381584</stp>
        <tr r="BO73" s="3"/>
      </tp>
      <tp t="s">
        <v>#N/A N/A</v>
        <stp/>
        <stp>BDP|7551508837967383711</stp>
        <tr r="CB75" s="3"/>
      </tp>
      <tp t="s">
        <v>#N/A N/A</v>
        <stp/>
        <stp>BDP|8590953987979676119</stp>
        <tr r="AZ99" s="3"/>
      </tp>
      <tp t="s">
        <v>#N/A N/A</v>
        <stp/>
        <stp>BDP|3095911384091639234</stp>
        <tr r="BE105" s="3"/>
      </tp>
      <tp t="s">
        <v>#N/A N/A</v>
        <stp/>
        <stp>BDP|5548243830022430751</stp>
        <tr r="K102" s="3"/>
      </tp>
      <tp t="s">
        <v>#N/A N/A</v>
        <stp/>
        <stp>BDP|6160712233353357006</stp>
        <tr r="BH88" s="3"/>
      </tp>
      <tp t="s">
        <v>#N/A N/A</v>
        <stp/>
        <stp>BDP|4235126577035573639</stp>
        <tr r="X96" s="3"/>
      </tp>
      <tp t="s">
        <v>#N/A N/A</v>
        <stp/>
        <stp>BDP|3332662223197693112</stp>
        <tr r="AT99" s="3"/>
      </tp>
      <tp t="s">
        <v>#N/A N/A</v>
        <stp/>
        <stp>BDP|6083110725763533706</stp>
        <tr r="AD106" s="3"/>
      </tp>
      <tp t="s">
        <v>#N/A N/A</v>
        <stp/>
        <stp>BDH|6620492140554636385</stp>
        <tr r="C136" s="3"/>
        <tr r="C128" s="3"/>
      </tp>
      <tp t="s">
        <v>#N/A N/A</v>
        <stp/>
        <stp>BDP|9763837803221240136</stp>
        <tr r="S94" s="3"/>
      </tp>
      <tp t="s">
        <v>#N/A N/A</v>
        <stp/>
        <stp>BDP|1617905390456306632</stp>
        <tr r="R96" s="3"/>
      </tp>
      <tp t="s">
        <v>#N/A N/A</v>
        <stp/>
        <stp>BDP|8807934430553929046</stp>
        <tr r="BO87" s="3"/>
      </tp>
      <tp t="s">
        <v>#N/A N/A</v>
        <stp/>
        <stp>BDP|8861978259845422040</stp>
        <tr r="X92" s="3"/>
      </tp>
      <tp t="s">
        <v>#N/A N/A</v>
        <stp/>
        <stp>BDP|6501575803515515726</stp>
        <tr r="AY111" s="3"/>
      </tp>
      <tp t="s">
        <v>#N/A N/A</v>
        <stp/>
        <stp>BDP|3588711902106066317</stp>
        <tr r="Y95" s="3"/>
      </tp>
      <tp t="s">
        <v>#N/A N/A</v>
        <stp/>
        <stp>BDP|3713207627970642214</stp>
        <tr r="BM74" s="3"/>
      </tp>
      <tp t="s">
        <v>#N/A N/A</v>
        <stp/>
        <stp>BDP|6892005053017784586</stp>
        <tr r="BJ109" s="3"/>
      </tp>
      <tp t="s">
        <v>#N/A N/A</v>
        <stp/>
        <stp>BDP|4136444456680381453</stp>
        <tr r="BH112" s="3"/>
      </tp>
      <tp t="s">
        <v>#N/A N/A</v>
        <stp/>
        <stp>BDP|6268373218913064684</stp>
        <tr r="BD111" s="3"/>
      </tp>
      <tp t="s">
        <v>#N/A N/A</v>
        <stp/>
        <stp>BDP|6404260467477669462</stp>
        <tr r="BB91" s="3"/>
      </tp>
      <tp t="s">
        <v>#N/A N/A</v>
        <stp/>
        <stp>BDP|4941781837000131125</stp>
        <tr r="N101" s="3"/>
      </tp>
      <tp t="s">
        <v>#N/A N/A</v>
        <stp/>
        <stp>BDP|5598575741283791610</stp>
        <tr r="BP105" s="3"/>
      </tp>
      <tp t="s">
        <v>#N/A N/A</v>
        <stp/>
        <stp>BDP|7750114557180288190</stp>
        <tr r="AF73" s="3"/>
      </tp>
      <tp t="s">
        <v>#N/A N/A</v>
        <stp/>
        <stp>BDP|6708191201770137542</stp>
        <tr r="BY87" s="3"/>
      </tp>
      <tp t="s">
        <v>#N/A N/A</v>
        <stp/>
        <stp>BDP|8297319200959976017</stp>
        <tr r="W95" s="3"/>
      </tp>
      <tp t="s">
        <v>#N/A N/A</v>
        <stp/>
        <stp>BDP|6845630726654127478</stp>
        <tr r="BF99" s="3"/>
      </tp>
      <tp t="s">
        <v>#N/A N/A</v>
        <stp/>
        <stp>BDP|4910769122414636705</stp>
        <tr r="BQ102" s="3"/>
      </tp>
      <tp t="s">
        <v>#N/A N/A</v>
        <stp/>
        <stp>BDP|8997850690742677913</stp>
        <tr r="BX88" s="3"/>
      </tp>
      <tp t="s">
        <v>#N/A N/A</v>
        <stp/>
        <stp>BDP|2587162828971500251</stp>
        <tr r="BT112" s="3"/>
      </tp>
      <tp t="s">
        <v>#N/A N/A</v>
        <stp/>
        <stp>BDP|2963470296859230427</stp>
        <tr r="AW73" s="3"/>
      </tp>
      <tp t="s">
        <v>#N/A N/A</v>
        <stp/>
        <stp>BDP|5291618669987133036</stp>
        <tr r="BO113" s="3"/>
      </tp>
      <tp t="s">
        <v>#N/A N/A</v>
        <stp/>
        <stp>BDP|5195486105154387776</stp>
        <tr r="AT106" s="3"/>
      </tp>
      <tp t="s">
        <v>#N/A N/A</v>
        <stp/>
        <stp>BDP|2041576618381664512</stp>
        <tr r="AB111" s="3"/>
      </tp>
      <tp t="s">
        <v>#N/A N/A</v>
        <stp/>
        <stp>BDP|1995220731515685743</stp>
        <tr r="AI113" s="3"/>
      </tp>
      <tp t="s">
        <v>#N/A N/A</v>
        <stp/>
        <stp>BDP|4898982494080442696</stp>
        <tr r="Y107" s="3"/>
      </tp>
      <tp t="s">
        <v>#N/A N/A</v>
        <stp/>
        <stp>BDP|7756489312665334572</stp>
        <tr r="BH77" s="3"/>
      </tp>
      <tp t="s">
        <v>#N/A N/A</v>
        <stp/>
        <stp>BDP|4379918791560229687</stp>
        <tr r="AP104" s="3"/>
      </tp>
      <tp t="s">
        <v>#N/A N/A</v>
        <stp/>
        <stp>BDP|2712239051491554698</stp>
        <tr r="BV100" s="3"/>
      </tp>
      <tp t="s">
        <v>#N/A N/A</v>
        <stp/>
        <stp>BDP|7113996453590479962</stp>
        <tr r="BP101" s="3"/>
      </tp>
      <tp t="s">
        <v>#N/A N/A</v>
        <stp/>
        <stp>BDP|7186041230445245399</stp>
        <tr r="S107" s="3"/>
      </tp>
      <tp t="s">
        <v>#N/A N/A</v>
        <stp/>
        <stp>BDP|3714551932497926075</stp>
        <tr r="BF97" s="3"/>
      </tp>
      <tp t="s">
        <v>#N/A N/A</v>
        <stp/>
        <stp>BDP|3739036506754933555</stp>
        <tr r="Q95" s="3"/>
      </tp>
      <tp t="s">
        <v>#N/A N/A</v>
        <stp/>
        <stp>BDP|6637256174855051480</stp>
        <tr r="BG112" s="3"/>
      </tp>
      <tp t="s">
        <v>#N/A N/A</v>
        <stp/>
        <stp>BDP|8527507596770946657</stp>
        <tr r="F87" s="3"/>
      </tp>
      <tp t="s">
        <v>#N/A N/A</v>
        <stp/>
        <stp>BDP|3534012208261729045</stp>
        <tr r="AO109" s="3"/>
      </tp>
      <tp t="s">
        <v>#N/A N/A</v>
        <stp/>
        <stp>BDP|2829863911958725145</stp>
        <tr r="BH101" s="3"/>
      </tp>
      <tp t="s">
        <v>#N/A N/A</v>
        <stp/>
        <stp>BDP|1725099550810349619</stp>
        <tr r="Q113" s="3"/>
      </tp>
      <tp t="s">
        <v>#N/A N/A</v>
        <stp/>
        <stp>BDP|7020588745492088617</stp>
        <tr r="CK101" s="3"/>
      </tp>
      <tp t="s">
        <v>#N/A N/A</v>
        <stp/>
        <stp>BDP|7291117393749881441</stp>
        <tr r="AS95" s="3"/>
      </tp>
      <tp t="s">
        <v>#N/A N/A</v>
        <stp/>
        <stp>BDP|8208899286578884294</stp>
        <tr r="BE75" s="3"/>
      </tp>
      <tp t="s">
        <v>#N/A N/A</v>
        <stp/>
        <stp>BDP|6965765273663428743</stp>
        <tr r="V105" s="3"/>
      </tp>
      <tp t="s">
        <v>#N/A N/A</v>
        <stp/>
        <stp>BDP|3852990429619156347</stp>
        <tr r="CB100" s="3"/>
      </tp>
      <tp t="s">
        <v>#N/A N/A</v>
        <stp/>
        <stp>BDP|3081307165053093785</stp>
        <tr r="AT90" s="3"/>
      </tp>
      <tp t="s">
        <v>#N/A N/A</v>
        <stp/>
        <stp>BDP|6628092012400462540</stp>
        <tr r="BC87" s="3"/>
      </tp>
      <tp t="s">
        <v>#N/A N/A</v>
        <stp/>
        <stp>BDP|8875152074384725833</stp>
        <tr r="BD110" s="3"/>
      </tp>
      <tp t="s">
        <v>#N/A N/A</v>
        <stp/>
        <stp>BDP|9132864847585228209</stp>
        <tr r="BI77" s="3"/>
      </tp>
      <tp t="s">
        <v>#N/A N/A</v>
        <stp/>
        <stp>BDP|3892847190030647080</stp>
        <tr r="AN90" s="3"/>
      </tp>
      <tp t="s">
        <v>#N/A N/A</v>
        <stp/>
        <stp>BDP|5197671301606114745</stp>
        <tr r="CE91" s="3"/>
      </tp>
      <tp t="s">
        <v>#N/A N/A</v>
        <stp/>
        <stp>BDP|8370255515229494055</stp>
        <tr r="BX101" s="3"/>
      </tp>
      <tp t="s">
        <v>#N/A N/A</v>
        <stp/>
        <stp>BDP|1220034933162609267</stp>
        <tr r="BV106" s="3"/>
      </tp>
      <tp t="s">
        <v>#N/A N/A</v>
        <stp/>
        <stp>BDH|1232104173114715146</stp>
        <tr r="F82" s="3"/>
      </tp>
      <tp t="s">
        <v>#N/A N/A</v>
        <stp/>
        <stp>BDP|2135311051684258209</stp>
        <tr r="BZ101" s="3"/>
      </tp>
      <tp t="s">
        <v>#N/A N/A</v>
        <stp/>
        <stp>BDP|1010449618254917261</stp>
        <tr r="BZ104" s="3"/>
      </tp>
      <tp t="s">
        <v>#N/A N/A</v>
        <stp/>
        <stp>BDP|7432159637543156440</stp>
        <tr r="BK91" s="3"/>
      </tp>
      <tp t="s">
        <v>#N/A N/A</v>
        <stp/>
        <stp>BDP|1678095668841298469</stp>
        <tr r="AB74" s="3"/>
      </tp>
      <tp t="s">
        <v>#N/A N/A</v>
        <stp/>
        <stp>BDP|3076959295264622551</stp>
        <tr r="AY95" s="3"/>
      </tp>
      <tp t="s">
        <v>#N/A N/A</v>
        <stp/>
        <stp>BDP|5750519213717548431</stp>
        <tr r="Y99" s="3"/>
      </tp>
      <tp t="s">
        <v>#N/A N/A</v>
        <stp/>
        <stp>BDP|9134155207319474343</stp>
        <tr r="AT73" s="3"/>
      </tp>
      <tp t="s">
        <v>#N/A N/A</v>
        <stp/>
        <stp>BDP|2166183546897840249</stp>
        <tr r="M103" s="3"/>
      </tp>
      <tp t="s">
        <v>#N/A N/A</v>
        <stp/>
        <stp>BDP|7507386060392703296</stp>
        <tr r="AX100" s="3"/>
      </tp>
      <tp t="s">
        <v>#N/A N/A</v>
        <stp/>
        <stp>BDP|9204616529717054892</stp>
        <tr r="BN74" s="3"/>
      </tp>
      <tp t="s">
        <v>#N/A N/A</v>
        <stp/>
        <stp>BDP|5674061322242541746</stp>
        <tr r="AM106" s="3"/>
      </tp>
      <tp t="s">
        <v>#N/A N/A</v>
        <stp/>
        <stp>BDP|2324538944135190464</stp>
        <tr r="J112" s="3"/>
      </tp>
      <tp t="s">
        <v>#N/A N/A</v>
        <stp/>
        <stp>BDP|3263810784672289356</stp>
        <tr r="AE76" s="3"/>
      </tp>
      <tp t="s">
        <v>#N/A N/A</v>
        <stp/>
        <stp>BDP|3252686978846397613</stp>
        <tr r="AL94" s="3"/>
      </tp>
      <tp t="s">
        <v>#N/A N/A</v>
        <stp/>
        <stp>BDP|8641046082402009006</stp>
        <tr r="AA75" s="3"/>
      </tp>
      <tp t="s">
        <v>#N/A N/A</v>
        <stp/>
        <stp>BDP|3392860336542088836</stp>
        <tr r="CI75" s="3"/>
      </tp>
      <tp t="s">
        <v>#N/A N/A</v>
        <stp/>
        <stp>BDP|7501648136912150260</stp>
        <tr r="AV112" s="3"/>
      </tp>
      <tp t="s">
        <v>#N/A N/A</v>
        <stp/>
        <stp>BDP|7983180123554316218</stp>
        <tr r="AM108" s="3"/>
      </tp>
      <tp t="s">
        <v>#N/A N/A</v>
        <stp/>
        <stp>BDP|7357930475459689223</stp>
        <tr r="J77" s="3"/>
      </tp>
      <tp t="s">
        <v>#N/A N/A</v>
        <stp/>
        <stp>BDP|6793677614415332666</stp>
        <tr r="BJ97" s="3"/>
      </tp>
      <tp t="s">
        <v>#N/A N/A</v>
        <stp/>
        <stp>BDP|9621615087605748066</stp>
        <tr r="BI75" s="3"/>
      </tp>
      <tp t="s">
        <v>#N/A N/A</v>
        <stp/>
        <stp>BDP|9936875602373834053</stp>
        <tr r="BY103" s="3"/>
      </tp>
      <tp t="s">
        <v>#N/A N/A</v>
        <stp/>
        <stp>BDP|4700423960827036337</stp>
        <tr r="BE98" s="3"/>
      </tp>
      <tp t="s">
        <v>#N/A N/A</v>
        <stp/>
        <stp>BDP|3596500051794155534</stp>
        <tr r="AM104" s="3"/>
      </tp>
      <tp t="s">
        <v>#N/A N/A</v>
        <stp/>
        <stp>BDP|4545646135473767050</stp>
        <tr r="BR77" s="3"/>
      </tp>
      <tp t="s">
        <v>#N/A N/A</v>
        <stp/>
        <stp>BDP|3909188122976648435</stp>
        <tr r="CC91" s="3"/>
      </tp>
      <tp t="s">
        <v>#N/A N/A</v>
        <stp/>
        <stp>BDP|4307841778010918900</stp>
        <tr r="BA97" s="3"/>
      </tp>
      <tp t="s">
        <v>#N/A N/A</v>
        <stp/>
        <stp>BDP|5027108406974574256</stp>
        <tr r="BZ75" s="3"/>
      </tp>
      <tp t="s">
        <v>#N/A N/A</v>
        <stp/>
        <stp>BDP|7467336541486652466</stp>
        <tr r="P112" s="3"/>
      </tp>
      <tp t="s">
        <v>#N/A N/A</v>
        <stp/>
        <stp>BDP|3488906406948530012</stp>
        <tr r="BS107" s="3"/>
      </tp>
      <tp t="s">
        <v>#N/A N/A</v>
        <stp/>
        <stp>BDP|3707808143715337806</stp>
        <tr r="BY77" s="3"/>
      </tp>
      <tp t="s">
        <v>#N/A N/A</v>
        <stp/>
        <stp>BDP|5789670657825969198</stp>
        <tr r="AS87" s="3"/>
      </tp>
      <tp t="s">
        <v>#N/A N/A</v>
        <stp/>
        <stp>BDP|6821880977143651868</stp>
        <tr r="BM101" s="3"/>
      </tp>
      <tp t="s">
        <v>#N/A N/A</v>
        <stp/>
        <stp>BDP|3688155173707110068</stp>
        <tr r="BL109" s="3"/>
      </tp>
      <tp t="s">
        <v>#N/A N/A</v>
        <stp/>
        <stp>BDP|6803201938630224551</stp>
        <tr r="BY100" s="3"/>
      </tp>
      <tp t="s">
        <v>#N/A N/A</v>
        <stp/>
        <stp>BDP|9430383889938718865</stp>
        <tr r="BX111" s="3"/>
      </tp>
      <tp t="s">
        <v>#N/A N/A</v>
        <stp/>
        <stp>BDP|8094847735011576007</stp>
        <tr r="AS104" s="3"/>
      </tp>
      <tp t="s">
        <v>#N/A N/A</v>
        <stp/>
        <stp>BDP|2930568071996918432</stp>
        <tr r="AU77" s="3"/>
      </tp>
      <tp t="s">
        <v>#N/A N/A</v>
        <stp/>
        <stp>BDP|5492318930315562241</stp>
        <tr r="BV99" s="3"/>
      </tp>
      <tp t="s">
        <v>#N/A N/A</v>
        <stp/>
        <stp>BDP|6969675518667512473</stp>
        <tr r="CH110" s="3"/>
      </tp>
      <tp t="s">
        <v>#N/A N/A</v>
        <stp/>
        <stp>BDP|5510183037750804563</stp>
        <tr r="BJ104" s="3"/>
      </tp>
      <tp t="s">
        <v>#N/A N/A</v>
        <stp/>
        <stp>BDP|8283704245589266004</stp>
        <tr r="BK102" s="3"/>
      </tp>
      <tp t="s">
        <v>#N/A N/A</v>
        <stp/>
        <stp>BDP|5585574924610261016</stp>
        <tr r="X111" s="3"/>
      </tp>
      <tp t="s">
        <v>#N/A N/A</v>
        <stp/>
        <stp>BDP|8077578082632756571</stp>
        <tr r="Z111" s="3"/>
      </tp>
      <tp t="s">
        <v>#N/A N/A</v>
        <stp/>
        <stp>BDP|5533217845094642527</stp>
        <tr r="U88" s="3"/>
      </tp>
      <tp t="s">
        <v>#N/A N/A</v>
        <stp/>
        <stp>BDP|8830758497790922593</stp>
        <tr r="AQ102" s="3"/>
      </tp>
      <tp t="s">
        <v>#N/A N/A</v>
        <stp/>
        <stp>BDP|3536386721044188573</stp>
        <tr r="AM75" s="3"/>
      </tp>
      <tp t="s">
        <v>#N/A N/A</v>
        <stp/>
        <stp>BDP|3569405125404809225</stp>
        <tr r="AO89" s="3"/>
      </tp>
      <tp t="s">
        <v>#N/A N/A</v>
        <stp/>
        <stp>BDP|7703214924132956616</stp>
        <tr r="BQ88" s="3"/>
      </tp>
      <tp t="s">
        <v>#N/A N/A</v>
        <stp/>
        <stp>BDP|4324587450503350435</stp>
        <tr r="R97" s="3"/>
      </tp>
      <tp t="s">
        <v>#N/A N/A</v>
        <stp/>
        <stp>BDP|5880438510547258420</stp>
        <tr r="AW111" s="3"/>
      </tp>
      <tp t="s">
        <v>#N/A N/A</v>
        <stp/>
        <stp>BDP|8802327642204413873</stp>
        <tr r="AX102" s="3"/>
      </tp>
      <tp t="s">
        <v>#N/A N/A</v>
        <stp/>
        <stp>BDP|1727437091017929848</stp>
        <tr r="AP108" s="3"/>
      </tp>
      <tp t="s">
        <v>#N/A N/A</v>
        <stp/>
        <stp>BDP|9247468974501919818</stp>
        <tr r="BD103" s="3"/>
      </tp>
      <tp t="s">
        <v>#N/A N/A</v>
        <stp/>
        <stp>BDP|3560995402191191879</stp>
        <tr r="BP89" s="3"/>
      </tp>
      <tp t="s">
        <v>#N/A N/A</v>
        <stp/>
        <stp>BDP|1922231645043377743</stp>
        <tr r="BR73" s="3"/>
      </tp>
      <tp t="s">
        <v>#N/A N/A</v>
        <stp/>
        <stp>BDP|5671653917933400295</stp>
        <tr r="AV95" s="3"/>
      </tp>
      <tp t="s">
        <v>#N/A N/A</v>
        <stp/>
        <stp>BDP|3952699153901343297</stp>
        <tr r="H75" s="3"/>
      </tp>
      <tp t="s">
        <v>#N/A N/A</v>
        <stp/>
        <stp>BDP|7098640649704523266</stp>
        <tr r="AR107" s="3"/>
      </tp>
      <tp t="s">
        <v>#N/A N/A</v>
        <stp/>
        <stp>BDP|8670985963854138025</stp>
        <tr r="AO96" s="3"/>
      </tp>
      <tp t="s">
        <v>#N/A N/A</v>
        <stp/>
        <stp>BDP|6330248924070542583</stp>
        <tr r="BW104" s="3"/>
      </tp>
      <tp t="s">
        <v>#N/A N/A</v>
        <stp/>
        <stp>BDP|1252440509531599748</stp>
        <tr r="BU93" s="3"/>
      </tp>
      <tp t="s">
        <v>#N/A N/A</v>
        <stp/>
        <stp>BDP|3501851417838010198</stp>
        <tr r="BY113" s="3"/>
      </tp>
      <tp t="s">
        <v>#N/A N/A</v>
        <stp/>
        <stp>BDP|5675702328062954194</stp>
        <tr r="O87" s="3"/>
      </tp>
      <tp t="s">
        <v>#N/A N/A</v>
        <stp/>
        <stp>BDP|5929419854624077334</stp>
        <tr r="BC85" s="3"/>
      </tp>
      <tp t="s">
        <v>#N/A N/A</v>
        <stp/>
        <stp>BDP|5437173084669951612</stp>
        <tr r="BS105" s="3"/>
      </tp>
      <tp t="s">
        <v>#N/A N/A</v>
        <stp/>
        <stp>BDP|8385345999465558448</stp>
        <tr r="CA100" s="3"/>
      </tp>
      <tp t="s">
        <v>#N/A N/A</v>
        <stp/>
        <stp>BDP|4847159164498531802</stp>
        <tr r="U108" s="3"/>
      </tp>
      <tp t="s">
        <v>#N/A N/A</v>
        <stp/>
        <stp>BDP|4948677404003798211</stp>
        <tr r="AZ75" s="3"/>
      </tp>
      <tp t="s">
        <v>#N/A N/A</v>
        <stp/>
        <stp>BDP|8536263419261199977</stp>
        <tr r="AQ107" s="3"/>
      </tp>
      <tp t="s">
        <v>#N/A N/A</v>
        <stp/>
        <stp>BDP|2074761805827860177</stp>
        <tr r="BZ96" s="3"/>
      </tp>
      <tp t="s">
        <v>#N/A N/A</v>
        <stp/>
        <stp>BDP|2007243118526817486</stp>
        <tr r="AC100" s="3"/>
      </tp>
      <tp t="s">
        <v>#N/A N/A</v>
        <stp/>
        <stp>BDP|2101691739493584795</stp>
        <tr r="AC101" s="3"/>
      </tp>
      <tp t="s">
        <v>#N/A N/A</v>
        <stp/>
        <stp>BDP|2710059936060110270</stp>
        <tr r="L106" s="3"/>
      </tp>
      <tp t="s">
        <v>#N/A N/A</v>
        <stp/>
        <stp>BDP|9379020724970007874</stp>
        <tr r="AC109" s="3"/>
      </tp>
      <tp t="s">
        <v>#N/A N/A</v>
        <stp/>
        <stp>BDP|6575134859616496790</stp>
        <tr r="AD107" s="3"/>
      </tp>
      <tp t="s">
        <v>#N/A N/A</v>
        <stp/>
        <stp>BDP|1884286275613514426</stp>
        <tr r="AP77" s="3"/>
      </tp>
      <tp t="s">
        <v>#N/A N/A</v>
        <stp/>
        <stp>BDP|6356668880652412935</stp>
        <tr r="AU105" s="3"/>
      </tp>
      <tp t="s">
        <v>#N/A N/A</v>
        <stp/>
        <stp>BDP|4678784174471142691</stp>
        <tr r="BE89" s="3"/>
      </tp>
      <tp t="s">
        <v>#N/A N/A</v>
        <stp/>
        <stp>BDP|9692840443284699257</stp>
        <tr r="AU99" s="3"/>
      </tp>
      <tp t="s">
        <v>#N/A N/A</v>
        <stp/>
        <stp>BDP|5240474462496771226</stp>
        <tr r="W96" s="3"/>
      </tp>
      <tp t="s">
        <v>#N/A N/A</v>
        <stp/>
        <stp>BDP|6730478735404523629</stp>
        <tr r="AW93" s="3"/>
      </tp>
      <tp t="s">
        <v>#N/A N/A</v>
        <stp/>
        <stp>BDP|3769454332553479479</stp>
        <tr r="CH97" s="3"/>
      </tp>
      <tp t="s">
        <v>#N/A N/A</v>
        <stp/>
        <stp>BDP|3952474060857843555</stp>
        <tr r="CE92" s="3"/>
      </tp>
      <tp t="s">
        <v>#N/A N/A</v>
        <stp/>
        <stp>BDP|1232229150452579761</stp>
        <tr r="AE91" s="3"/>
      </tp>
      <tp t="s">
        <v>#N/A N/A</v>
        <stp/>
        <stp>BDP|6738093026523284497</stp>
        <tr r="AY98" s="3"/>
      </tp>
      <tp t="s">
        <v>#N/A N/A</v>
        <stp/>
        <stp>BDP|1708145756800763617</stp>
        <tr r="BF104" s="3"/>
      </tp>
      <tp t="s">
        <v>#N/A N/A</v>
        <stp/>
        <stp>BDP|5927119227662456788</stp>
        <tr r="I90" s="3"/>
      </tp>
      <tp t="s">
        <v>#N/A N/A</v>
        <stp/>
        <stp>BDP|2358178404102779248</stp>
        <tr r="AF105" s="3"/>
      </tp>
      <tp t="s">
        <v>#N/A N/A</v>
        <stp/>
        <stp>BDP|6715563115763434234</stp>
        <tr r="AL105" s="3"/>
      </tp>
      <tp t="s">
        <v>#N/A N/A</v>
        <stp/>
        <stp>BDP|8718540890211873680</stp>
        <tr r="BV95" s="3"/>
      </tp>
      <tp t="s">
        <v>#N/A N/A</v>
        <stp/>
        <stp>BDP|1752136760536769307</stp>
        <tr r="BU109" s="3"/>
      </tp>
      <tp t="s">
        <v>#N/A N/A</v>
        <stp/>
        <stp>BDP|3065152041327048274</stp>
        <tr r="N74" s="3"/>
      </tp>
      <tp t="s">
        <v>#N/A N/A</v>
        <stp/>
        <stp>BDP|9465938050164300246</stp>
        <tr r="BO101" s="3"/>
      </tp>
      <tp t="s">
        <v>#N/A N/A</v>
        <stp/>
        <stp>BDP|7308040273761418205</stp>
        <tr r="CK99" s="3"/>
      </tp>
      <tp t="s">
        <v>#N/A N/A</v>
        <stp/>
        <stp>BDP|3144011455240661522</stp>
        <tr r="BZ111" s="3"/>
      </tp>
      <tp t="s">
        <v>#N/A N/A</v>
        <stp/>
        <stp>BDP|3380378826482656352</stp>
        <tr r="CJ99" s="3"/>
      </tp>
      <tp t="s">
        <v>#N/A N/A</v>
        <stp/>
        <stp>BDP|8785235923092690901</stp>
        <tr r="BQ106" s="3"/>
      </tp>
      <tp t="s">
        <v>#N/A N/A</v>
        <stp/>
        <stp>BDP|3672275704757200561</stp>
        <tr r="AN102" s="3"/>
      </tp>
      <tp t="s">
        <v>#N/A N/A</v>
        <stp/>
        <stp>BDP|9690454736789024432</stp>
        <tr r="BN110" s="3"/>
      </tp>
      <tp t="s">
        <v>#N/A N/A</v>
        <stp/>
        <stp>BDP|8112030825831871892</stp>
        <tr r="X104" s="3"/>
      </tp>
      <tp t="s">
        <v>#N/A N/A</v>
        <stp/>
        <stp>BDP|6095099269253256049</stp>
        <tr r="AL103" s="3"/>
      </tp>
      <tp t="s">
        <v>#N/A N/A</v>
        <stp/>
        <stp>BDP|6223003560583239066</stp>
        <tr r="AH113" s="3"/>
      </tp>
      <tp t="s">
        <v>#N/A N/A</v>
        <stp/>
        <stp>BDP|6519457374510520672</stp>
        <tr r="R95" s="3"/>
      </tp>
      <tp t="s">
        <v>#N/A N/A</v>
        <stp/>
        <stp>BDP|3882648108707372115</stp>
        <tr r="BE74" s="3"/>
      </tp>
      <tp t="s">
        <v>#N/A N/A</v>
        <stp/>
        <stp>BDP|6482900694200378540</stp>
        <tr r="BS97" s="3"/>
      </tp>
      <tp t="s">
        <v>#N/A N/A</v>
        <stp/>
        <stp>BDP|5557381327951582684</stp>
        <tr r="AN109" s="3"/>
      </tp>
      <tp t="s">
        <v>#N/A N/A</v>
        <stp/>
        <stp>BDP|4721709248796193295</stp>
        <tr r="I104" s="3"/>
      </tp>
      <tp t="s">
        <v>#N/A N/A</v>
        <stp/>
        <stp>BDP|4630660426591572245</stp>
        <tr r="AQ113" s="3"/>
      </tp>
      <tp t="s">
        <v>#N/A N/A</v>
        <stp/>
        <stp>BDP|7920689111043157057</stp>
        <tr r="J100" s="3"/>
      </tp>
      <tp t="s">
        <v>#N/A N/A</v>
        <stp/>
        <stp>BDP|8073186358829682629</stp>
        <tr r="CA110" s="3"/>
      </tp>
      <tp t="s">
        <v>#N/A N/A</v>
        <stp/>
        <stp>BDP|4697427541395274235</stp>
        <tr r="BV112" s="3"/>
      </tp>
      <tp t="s">
        <v>#N/A N/A</v>
        <stp/>
        <stp>BDP|3138887185228913818</stp>
        <tr r="BD108" s="3"/>
      </tp>
      <tp t="s">
        <v>#N/A N/A</v>
        <stp/>
        <stp>BDP|4704358246984507450</stp>
        <tr r="AZ106" s="3"/>
      </tp>
      <tp t="s">
        <v>#N/A N/A</v>
        <stp/>
        <stp>BDP|7501205229927044393</stp>
        <tr r="AK100" s="3"/>
      </tp>
      <tp t="s">
        <v>#N/A N/A</v>
        <stp/>
        <stp>BDP|9086957547870756709</stp>
        <tr r="BF101" s="3"/>
      </tp>
      <tp t="s">
        <v>#N/A N/A</v>
        <stp/>
        <stp>BDP|1199304240642330772</stp>
        <tr r="CD94" s="3"/>
      </tp>
      <tp t="s">
        <v>#N/A N/A</v>
        <stp/>
        <stp>BDP|3497746140687456413</stp>
        <tr r="CJ110" s="3"/>
      </tp>
      <tp t="s">
        <v>#N/A N/A</v>
        <stp/>
        <stp>BDP|9413445706776093839</stp>
        <tr r="L104" s="3"/>
      </tp>
      <tp t="s">
        <v>#N/A N/A</v>
        <stp/>
        <stp>BDP|41282890686020412</stp>
        <tr r="BC99" s="3"/>
      </tp>
      <tp t="s">
        <v>#N/A N/A</v>
        <stp/>
        <stp>BDP|60798093883105537</stp>
        <tr r="AB87" s="3"/>
      </tp>
      <tp t="s">
        <v>#N/A N/A</v>
        <stp/>
        <stp>BDP|40400915488452612</stp>
        <tr r="G98" s="3"/>
      </tp>
      <tp t="s">
        <v>#N/A N/A</v>
        <stp/>
        <stp>BDP|61173558419695673</stp>
        <tr r="AC107" s="3"/>
      </tp>
      <tp t="s">
        <v>#N/A N/A</v>
        <stp/>
        <stp>BDP|70250881898975885</stp>
        <tr r="AC77" s="3"/>
      </tp>
      <tp t="s">
        <v>#N/A N/A</v>
        <stp/>
        <stp>BDP|13036103649760463</stp>
        <tr r="H111" s="3"/>
      </tp>
      <tp t="s">
        <v>#N/A N/A</v>
        <stp/>
        <stp>BDP|33814618921868597</stp>
        <tr r="AM107" s="3"/>
      </tp>
      <tp t="s">
        <v>#N/A N/A</v>
        <stp/>
        <stp>BDP|65143865078490068</stp>
        <tr r="AO97" s="3"/>
      </tp>
      <tp t="s">
        <v>#N/A N/A</v>
        <stp/>
        <stp>BDP|83419364325512965</stp>
        <tr r="BJ93" s="3"/>
      </tp>
      <tp t="s">
        <v>#N/A N/A</v>
        <stp/>
        <stp>BDP|87319673417401213</stp>
        <tr r="AQ109" s="3"/>
      </tp>
      <tp t="s">
        <v>#N/A N/A</v>
        <stp/>
        <stp>BDP|11114369607131146</stp>
        <tr r="BX73" s="3"/>
      </tp>
      <tp t="s">
        <v>#N/A N/A</v>
        <stp/>
        <stp>BDP|90789045680737675</stp>
        <tr r="AP113" s="3"/>
      </tp>
      <tp t="s">
        <v>#N/A N/A</v>
        <stp/>
        <stp>BDP|23762452226456180</stp>
        <tr r="L97" s="3"/>
      </tp>
      <tp t="s">
        <v>#N/A N/A</v>
        <stp/>
        <stp>BDP|38457116858874946</stp>
        <tr r="AS98" s="3"/>
      </tp>
      <tp t="s">
        <v>#N/A N/A</v>
        <stp/>
        <stp>BDP|227271073772397287</stp>
        <tr r="BL97" s="3"/>
      </tp>
      <tp t="s">
        <v>#N/A N/A</v>
        <stp/>
        <stp>BDP|185888412735320906</stp>
        <tr r="BA112" s="3"/>
      </tp>
      <tp t="s">
        <v>#N/A N/A</v>
        <stp/>
        <stp>BDP|441785221447383782</stp>
        <tr r="G109" s="3"/>
      </tp>
      <tp t="s">
        <v>#N/A N/A</v>
        <stp/>
        <stp>BDP|249692534192877210</stp>
        <tr r="AT101" s="3"/>
      </tp>
      <tp t="s">
        <v>#N/A N/A</v>
        <stp/>
        <stp>BDP|776808059780234929</stp>
        <tr r="AP89" s="3"/>
      </tp>
      <tp t="s">
        <v>#N/A N/A</v>
        <stp/>
        <stp>BDP|932481367850546689</stp>
        <tr r="BC90" s="3"/>
      </tp>
      <tp t="s">
        <v>#N/A N/A</v>
        <stp/>
        <stp>BDP|418818255630179947</stp>
        <tr r="J95" s="3"/>
      </tp>
      <tp t="s">
        <v>#N/A N/A</v>
        <stp/>
        <stp>BDP|405553441941037401</stp>
        <tr r="CK76" s="3"/>
      </tp>
      <tp t="s">
        <v>#N/A N/A</v>
        <stp/>
        <stp>BDP|231998886450260608</stp>
        <tr r="AL109" s="3"/>
      </tp>
      <tp t="s">
        <v>#N/A N/A</v>
        <stp/>
        <stp>BDP|806192552092989103</stp>
        <tr r="CB105" s="3"/>
      </tp>
      <tp t="s">
        <v>#N/A N/A</v>
        <stp/>
        <stp>BDP|242488866937478220</stp>
        <tr r="Z91" s="3"/>
      </tp>
      <tp t="s">
        <v>#N/A N/A</v>
        <stp/>
        <stp>BDP|629125879725542422</stp>
        <tr r="AH99" s="3"/>
      </tp>
      <tp t="s">
        <v>#N/A N/A</v>
        <stp/>
        <stp>BDP|451057736564314009</stp>
        <tr r="T106" s="3"/>
      </tp>
      <tp t="s">
        <v>#N/A N/A</v>
        <stp/>
        <stp>BDP|771846626268717561</stp>
        <tr r="AJ77" s="3"/>
      </tp>
      <tp t="s">
        <v>#N/A N/A</v>
        <stp/>
        <stp>BDP|281516451023060468</stp>
        <tr r="BI107" s="3"/>
      </tp>
      <tp t="s">
        <v>#N/A N/A</v>
        <stp/>
        <stp>BDP|650144752833777029</stp>
        <tr r="BN97" s="3"/>
      </tp>
      <tp t="s">
        <v>#N/A N/A</v>
        <stp/>
        <stp>BDP|702661549184539184</stp>
        <tr r="CF77" s="3"/>
      </tp>
      <tp t="s">
        <v>#N/A N/A</v>
        <stp/>
        <stp>BDP|590330740715532556</stp>
        <tr r="AA106" s="3"/>
      </tp>
      <tp t="s">
        <v>#N/A N/A</v>
        <stp/>
        <stp>BDP|949257537946976044</stp>
        <tr r="CF92" s="3"/>
      </tp>
      <tp t="s">
        <v>#N/A N/A</v>
        <stp/>
        <stp>BDP|748139876008068931</stp>
        <tr r="CG107" s="3"/>
      </tp>
      <tp t="s">
        <v>#N/A N/A</v>
        <stp/>
        <stp>BDP|963482321719545846</stp>
        <tr r="W111" s="3"/>
      </tp>
      <tp t="s">
        <v>#N/A N/A</v>
        <stp/>
        <stp>BDP|579797039170784307</stp>
        <tr r="AN107" s="3"/>
      </tp>
      <tp t="s">
        <v>#N/A N/A</v>
        <stp/>
        <stp>BDP|486570422700714050</stp>
        <tr r="BR85" s="3"/>
      </tp>
      <tp t="s">
        <v>#N/A N/A</v>
        <stp/>
        <stp>BDP|470633745993771665</stp>
        <tr r="W90" s="3"/>
      </tp>
      <tp t="s">
        <v>#N/A N/A</v>
        <stp/>
        <stp>BDP|803010047663504133</stp>
        <tr r="W91" s="3"/>
      </tp>
      <tp t="s">
        <v>#N/A N/A</v>
        <stp/>
        <stp>BDP|516334155729915938</stp>
        <tr r="CF93" s="3"/>
      </tp>
      <tp t="s">
        <v>#N/A N/A</v>
        <stp/>
        <stp>BDP|591472281892319899</stp>
        <tr r="CE113" s="3"/>
      </tp>
      <tp t="s">
        <v>#N/A N/A</v>
        <stp/>
        <stp>BDP|977221432270211719</stp>
        <tr r="BI98" s="3"/>
      </tp>
      <tp t="s">
        <v>#N/A N/A</v>
        <stp/>
        <stp>BDP|875458163617078358</stp>
        <tr r="R104" s="3"/>
      </tp>
      <tp t="s">
        <v>#N/A N/A</v>
        <stp/>
        <stp>BDP|234186741105069605</stp>
        <tr r="G91" s="3"/>
      </tp>
      <tp t="s">
        <v>#N/A N/A</v>
        <stp/>
        <stp>BDP|144844245739703334</stp>
        <tr r="AK109" s="3"/>
      </tp>
      <tp t="s">
        <v>#N/A N/A</v>
        <stp/>
        <stp>BDP|192258511310127512</stp>
        <tr r="AB113" s="3"/>
      </tp>
      <tp t="s">
        <v>#N/A N/A</v>
        <stp/>
        <stp>BDP|956985740648422323</stp>
        <tr r="AS110" s="3"/>
      </tp>
      <tp t="s">
        <v>#N/A N/A</v>
        <stp/>
        <stp>BDP|747477139689922804</stp>
        <tr r="AL91" s="3"/>
      </tp>
      <tp t="s">
        <v>#N/A N/A</v>
        <stp/>
        <stp>BDP|235175965244513573</stp>
        <tr r="V112" s="3"/>
      </tp>
      <tp t="s">
        <v>#N/A N/A</v>
        <stp/>
        <stp>BDP|835585504694564721</stp>
        <tr r="AL73" s="3"/>
      </tp>
      <tp t="s">
        <v>#N/A N/A</v>
        <stp/>
        <stp>BDP|567362473294884148</stp>
        <tr r="BR93" s="3"/>
      </tp>
      <tp t="s">
        <v>#N/A N/A</v>
        <stp/>
        <stp>BDP|547052148625568012</stp>
        <tr r="J106" s="3"/>
      </tp>
      <tp t="s">
        <v>#N/A N/A</v>
        <stp/>
        <stp>BDP|860008338191413392</stp>
        <tr r="CD76" s="3"/>
      </tp>
      <tp t="s">
        <v>#N/A N/A</v>
        <stp/>
        <stp>BDP|642524276987998449</stp>
        <tr r="BP99" s="3"/>
      </tp>
      <tp t="s">
        <v>#N/A N/A</v>
        <stp/>
        <stp>BDP|430486838030705682</stp>
        <tr r="AD88" s="3"/>
      </tp>
      <tp t="s">
        <v>#N/A N/A</v>
        <stp/>
        <stp>BDP|671956513551099858</stp>
        <tr r="AF101" s="3"/>
      </tp>
      <tp t="s">
        <v>#N/A N/A</v>
        <stp/>
        <stp>BDP|795873337483126906</stp>
        <tr r="AM109" s="3"/>
      </tp>
      <tp t="s">
        <v>#N/A N/A</v>
        <stp/>
        <stp>BDP|340589084594018896</stp>
        <tr r="BL110" s="3"/>
      </tp>
      <tp t="s">
        <v>#N/A N/A</v>
        <stp/>
        <stp>BDP|142341710123532012</stp>
        <tr r="CE87" s="3"/>
      </tp>
      <tp t="s">
        <v>#N/A N/A</v>
        <stp/>
        <stp>BDP|807377831694518479</stp>
        <tr r="BA107" s="3"/>
      </tp>
      <tp t="s">
        <v>#N/A N/A</v>
        <stp/>
        <stp>BDP|715285322722544241</stp>
        <tr r="BA75" s="3"/>
      </tp>
      <tp t="s">
        <v>#N/A N/A</v>
        <stp/>
        <stp>BDP|798949898533242348</stp>
        <tr r="BV90" s="3"/>
      </tp>
      <tp t="s">
        <v>#N/A N/A</v>
        <stp/>
        <stp>BDP|809301422691175063</stp>
        <tr r="G107" s="3"/>
      </tp>
      <tp t="s">
        <v>#N/A N/A</v>
        <stp/>
        <stp>BDP|650596237937711104</stp>
        <tr r="BV110" s="3"/>
      </tp>
      <tp t="s">
        <v>#N/A N/A</v>
        <stp/>
        <stp>BDP|568792277668784842</stp>
        <tr r="AZ111" s="3"/>
      </tp>
      <tp t="s">
        <v>#N/A N/A</v>
        <stp/>
        <stp>BDP|368289342080630670</stp>
        <tr r="BI93" s="3"/>
      </tp>
      <tp t="s">
        <v>#N/A N/A</v>
        <stp/>
        <stp>BDP|438435272451996296</stp>
        <tr r="CI107" s="3"/>
      </tp>
      <tp t="s">
        <v>#N/A N/A</v>
        <stp/>
        <stp>BDP|143987763028505790</stp>
        <tr r="AW90" s="3"/>
      </tp>
      <tp t="s">
        <v>#N/A N/A</v>
        <stp/>
        <stp>BDP|137071700859295923</stp>
        <tr r="BO109" s="3"/>
      </tp>
      <tp t="s">
        <v>#N/A N/A</v>
        <stp/>
        <stp>BDP|826260034957439697</stp>
        <tr r="U95" s="3"/>
      </tp>
      <tp t="s">
        <v>#N/A N/A</v>
        <stp/>
        <stp>BDP|450191633695801777</stp>
        <tr r="CC85" s="3"/>
      </tp>
      <tp t="s">
        <v>#N/A N/A</v>
        <stp/>
        <stp>BDP|840041866583756630</stp>
        <tr r="BC112" s="3"/>
      </tp>
      <tp t="s">
        <v>#N/A N/A</v>
        <stp/>
        <stp>BDP|896702115393533613</stp>
        <tr r="BW88" s="3"/>
      </tp>
      <tp t="s">
        <v>#N/A N/A</v>
        <stp/>
        <stp>BDP|745236946946039383</stp>
        <tr r="CB96" s="3"/>
      </tp>
      <tp t="s">
        <v>#N/A N/A</v>
        <stp/>
        <stp>BDP|145354576502073581</stp>
        <tr r="X94" s="3"/>
      </tp>
      <tp t="s">
        <v>#N/A N/A</v>
        <stp/>
        <stp>BDP|982343460012081476</stp>
        <tr r="AD111" s="3"/>
      </tp>
      <tp t="s">
        <v>#N/A N/A</v>
        <stp/>
        <stp>BDP|833303933546449547</stp>
        <tr r="O108" s="3"/>
      </tp>
      <tp t="s">
        <v>#N/A N/A</v>
        <stp/>
        <stp>BDP|124283903484897567</stp>
        <tr r="G110" s="3"/>
      </tp>
      <tp t="s">
        <v>#N/A N/A</v>
        <stp/>
        <stp>BDP|324130042221754719</stp>
        <tr r="BQ87" s="3"/>
      </tp>
      <tp t="s">
        <v>#N/A N/A</v>
        <stp/>
        <stp>BDP|418772431215685208</stp>
        <tr r="O112" s="3"/>
      </tp>
      <tp t="s">
        <v>#N/A N/A</v>
        <stp/>
        <stp>BDP|213244062865998289</stp>
        <tr r="BB75" s="3"/>
      </tp>
      <tp t="s">
        <v>#N/A N/A</v>
        <stp/>
        <stp>BDP|486273213676137674</stp>
        <tr r="AU93" s="3"/>
      </tp>
      <tp t="s">
        <v>#N/A N/A</v>
        <stp/>
        <stp>BDP|518412373688004812</stp>
        <tr r="CE77" s="3"/>
      </tp>
      <tp t="s">
        <v>#N/A N/A</v>
        <stp/>
        <stp>BDP|753041408417510490</stp>
        <tr r="BP76" s="3"/>
      </tp>
      <tp t="s">
        <v>#N/A N/A</v>
        <stp/>
        <stp>BDP|498830080953222024</stp>
        <tr r="M113" s="3"/>
      </tp>
      <tp t="s">
        <v>#N/A N/A</v>
        <stp/>
        <stp>BDP|689703732117890107</stp>
        <tr r="AR74" s="3"/>
      </tp>
      <tp t="s">
        <v>#N/A N/A</v>
        <stp/>
        <stp>BDP|167340376800964652</stp>
        <tr r="AR87" s="3"/>
      </tp>
      <tp t="s">
        <v>#N/A N/A</v>
        <stp/>
        <stp>BDP|369619569486726445</stp>
        <tr r="BW106" s="3"/>
      </tp>
      <tp t="s">
        <v>#N/A N/A</v>
        <stp/>
        <stp>BDP|241012816620774364</stp>
        <tr r="G102" s="3"/>
      </tp>
      <tp t="s">
        <v>#N/A N/A</v>
        <stp/>
        <stp>BDP|657956646448234719</stp>
        <tr r="AZ88" s="3"/>
      </tp>
      <tp t="s">
        <v>#N/A N/A</v>
        <stp/>
        <stp>BDP|176540253725545735</stp>
        <tr r="BM94" s="3"/>
      </tp>
      <tp t="s">
        <v>#N/A N/A</v>
        <stp/>
        <stp>BDP|291279925595562757</stp>
        <tr r="BC98" s="3"/>
      </tp>
      <tp t="s">
        <v>#N/A N/A</v>
        <stp/>
        <stp>BDP|227173931068037872</stp>
        <tr r="BZ110" s="3"/>
      </tp>
      <tp t="s">
        <v>#N/A N/A</v>
        <stp/>
        <stp>BDP|352268709697654855</stp>
        <tr r="AK91" s="3"/>
      </tp>
      <tp t="s">
        <v>#N/A N/A</v>
        <stp/>
        <stp>BDP|501203719469552766</stp>
        <tr r="BH104" s="3"/>
      </tp>
      <tp t="s">
        <v>#N/A N/A</v>
        <stp/>
        <stp>BDP|995963220912610466</stp>
        <tr r="U74" s="3"/>
      </tp>
      <tp t="s">
        <v>#N/A N/A</v>
        <stp/>
        <stp>BDP|821107905284049846</stp>
        <tr r="AK87" s="3"/>
      </tp>
      <tp t="s">
        <v>#N/A N/A</v>
        <stp/>
        <stp>BDP|855216394934702209</stp>
        <tr r="V109" s="3"/>
      </tp>
      <tp t="s">
        <v>#N/A N/A</v>
        <stp/>
        <stp>BDP|812176336929774649</stp>
        <tr r="T73" s="3"/>
      </tp>
      <tp t="s">
        <v>#N/A N/A</v>
        <stp/>
        <stp>BDP|740801868772765134</stp>
        <tr r="BK85" s="3"/>
      </tp>
      <tp t="s">
        <v>#N/A N/A</v>
        <stp/>
        <stp>BDP|921457032872780824</stp>
        <tr r="AF113" s="3"/>
      </tp>
      <tp t="s">
        <v>#N/A N/A</v>
        <stp/>
        <stp>BDP|608585891762986370</stp>
        <tr r="CC73" s="3"/>
      </tp>
      <tp t="s">
        <v>#N/A N/A</v>
        <stp/>
        <stp>BDP|112347714108227725</stp>
        <tr r="AT95" s="3"/>
      </tp>
      <tp t="s">
        <v>#N/A N/A</v>
        <stp/>
        <stp>BDP|398311037888061578</stp>
        <tr r="W107" s="3"/>
      </tp>
      <tp t="s">
        <v>#N/A N/A</v>
        <stp/>
        <stp>BDP|749550323789883221</stp>
        <tr r="AV75" s="3"/>
      </tp>
      <tp t="s">
        <v>#N/A N/A</v>
        <stp/>
        <stp>BDP|995082028397308910</stp>
        <tr r="AH108" s="3"/>
      </tp>
      <tp t="s">
        <v>#N/A N/A</v>
        <stp/>
        <stp>BDP|774534742214373905</stp>
        <tr r="BQ104" s="3"/>
      </tp>
      <tp t="s">
        <v>#N/A N/A</v>
        <stp/>
        <stp>BDP|343204594807896092</stp>
        <tr r="BS90" s="3"/>
      </tp>
      <tp t="s">
        <v>#N/A N/A</v>
        <stp/>
        <stp>BDP|143456122638242224</stp>
        <tr r="BT109" s="3"/>
      </tp>
      <tp t="s">
        <v>#N/A N/A</v>
        <stp/>
        <stp>BDP|501806749334344738</stp>
        <tr r="AW95" s="3"/>
      </tp>
      <tp t="s">
        <v>#N/A N/A</v>
        <stp/>
        <stp>BDP|200601092478464899</stp>
        <tr r="F110" s="3"/>
      </tp>
      <tp t="s">
        <v>#N/A N/A</v>
        <stp/>
        <stp>BDP|661573557506854919</stp>
        <tr r="BP96" s="3"/>
      </tp>
      <tp t="s">
        <v>#N/A N/A</v>
        <stp/>
        <stp>BDP|738834536452310647</stp>
        <tr r="BL90" s="3"/>
      </tp>
      <tp t="s">
        <v>#N/A N/A</v>
        <stp/>
        <stp>BDP|130954266843134348</stp>
        <tr r="BL102" s="3"/>
      </tp>
      <tp t="s">
        <v>#N/A N/A</v>
        <stp/>
        <stp>BDP|321412017652412814</stp>
        <tr r="BT92" s="3"/>
      </tp>
      <tp t="s">
        <v>#N/A N/A</v>
        <stp/>
        <stp>BDP|443465446639635638</stp>
        <tr r="BN112" s="3"/>
      </tp>
      <tp t="s">
        <v>#N/A N/A</v>
        <stp/>
        <stp>BDP|520493383707941582</stp>
        <tr r="O99" s="3"/>
      </tp>
      <tp t="s">
        <v>#N/A N/A</v>
        <stp/>
        <stp>BDP|208856961577932706</stp>
        <tr r="BB113" s="3"/>
      </tp>
      <tp t="s">
        <v>#N/A N/A</v>
        <stp/>
        <stp>BDP|711617817481069898</stp>
        <tr r="CB111" s="3"/>
      </tp>
      <tp t="s">
        <v>#N/A N/A</v>
        <stp/>
        <stp>BDP|443591454048223626</stp>
        <tr r="AV99" s="3"/>
      </tp>
      <tp t="s">
        <v>#N/A N/A</v>
        <stp/>
        <stp>BDP|964934020716063335</stp>
        <tr r="AK77" s="3"/>
      </tp>
      <tp t="s">
        <v>#N/A N/A</v>
        <stp/>
        <stp>BDP|878399930278484631</stp>
        <tr r="BC89" s="3"/>
      </tp>
      <tp t="s">
        <v>#N/A N/A</v>
        <stp/>
        <stp>BDP|780379000519597443</stp>
        <tr r="I102" s="3"/>
      </tp>
      <tp t="s">
        <v>#N/A N/A</v>
        <stp/>
        <stp>BDP|586174295114278277</stp>
        <tr r="P85" s="3"/>
      </tp>
      <tp t="s">
        <v>#N/A N/A</v>
        <stp/>
        <stp>BDP|308896926732427143</stp>
        <tr r="AR75" s="3"/>
      </tp>
      <tp t="s">
        <v>#N/A N/A</v>
        <stp/>
        <stp>BDP|948951873994887393</stp>
        <tr r="BE92" s="3"/>
      </tp>
      <tp t="s">
        <v>#N/A N/A</v>
        <stp/>
        <stp>BDP|163797694500105744</stp>
        <tr r="AA90" s="3"/>
      </tp>
      <tp t="s">
        <v>#N/A N/A</v>
        <stp/>
        <stp>BDP|818000033199086316</stp>
        <tr r="AU87" s="3"/>
      </tp>
      <tp t="s">
        <v>#N/A N/A</v>
        <stp/>
        <stp>BDP|859912876884656329</stp>
        <tr r="BT88" s="3"/>
      </tp>
      <tp t="s">
        <v>#N/A N/A</v>
        <stp/>
        <stp>BDP|656476630469386759</stp>
        <tr r="AD91" s="3"/>
      </tp>
      <tp t="s">
        <v>#N/A N/A</v>
        <stp/>
        <stp>BDP|713461196691282552</stp>
        <tr r="J102" s="3"/>
      </tp>
      <tp t="s">
        <v>#N/A N/A</v>
        <stp/>
        <stp>BDP|772145170076687946</stp>
        <tr r="AP91" s="3"/>
      </tp>
      <tp t="s">
        <v>#N/A N/A</v>
        <stp/>
        <stp>BDP|364605707369754626</stp>
        <tr r="BJ112" s="3"/>
      </tp>
      <tp t="s">
        <v>#N/A N/A</v>
        <stp/>
        <stp>BDP|130945325107214509</stp>
        <tr r="BG98" s="3"/>
      </tp>
      <tp t="s">
        <v>#N/A N/A</v>
        <stp/>
        <stp>BDP|376685484090922742</stp>
        <tr r="F112" s="3"/>
      </tp>
      <tp t="s">
        <v>#N/A N/A</v>
        <stp/>
        <stp>BDP|121012170326765844</stp>
        <tr r="BE109" s="3"/>
      </tp>
      <tp t="s">
        <v>#N/A N/A</v>
        <stp/>
        <stp>BDP|858255783331173331</stp>
        <tr r="CK112" s="3"/>
      </tp>
      <tp t="s">
        <v>#N/A N/A</v>
        <stp/>
        <stp>BDP|600182659435845978</stp>
        <tr r="CE93" s="3"/>
      </tp>
      <tp t="s">
        <v>#N/A N/A</v>
        <stp/>
        <stp>BDP|937511887500279576</stp>
        <tr r="BR99" s="3"/>
      </tp>
      <tp t="s">
        <v>#N/A N/A</v>
        <stp/>
        <stp>BDP|715867355304647144</stp>
        <tr r="BD77" s="3"/>
      </tp>
      <tp t="s">
        <v>#N/A N/A</v>
        <stp/>
        <stp>BDP|887316619672763865</stp>
        <tr r="AR105" s="3"/>
      </tp>
      <tp t="s">
        <v>#N/A N/A</v>
        <stp/>
        <stp>BDP|469631586603675542</stp>
        <tr r="AS89" s="3"/>
      </tp>
      <tp t="s">
        <v>#N/A N/A</v>
        <stp/>
        <stp>BDP|192062089580012321</stp>
        <tr r="BN92" s="3"/>
      </tp>
      <tp t="s">
        <v>#N/A N/A</v>
        <stp/>
        <stp>BDP|920980228944649428</stp>
        <tr r="BZ74" s="3"/>
      </tp>
      <tp t="s">
        <v>#N/A N/A</v>
        <stp/>
        <stp>BDP|672951174562803724</stp>
        <tr r="BT87" s="3"/>
      </tp>
      <tp t="s">
        <v>#N/A N/A</v>
        <stp/>
        <stp>BDP|572496888087942050</stp>
        <tr r="AT92" s="3"/>
      </tp>
      <tp t="s">
        <v>#N/A N/A</v>
        <stp/>
        <stp>BDP|120875807705988628</stp>
        <tr r="AT110" s="3"/>
      </tp>
      <tp t="s">
        <v>#N/A N/A</v>
        <stp/>
        <stp>BDP|493519365571646905</stp>
        <tr r="AZ73" s="3"/>
      </tp>
      <tp t="s">
        <v>#N/A N/A</v>
        <stp/>
        <stp>BDP|687668698933995731</stp>
        <tr r="AB107" s="3"/>
      </tp>
      <tp t="s">
        <v>#N/A N/A</v>
        <stp/>
        <stp>BDP|761589919326031953</stp>
        <tr r="BW101" s="3"/>
      </tp>
      <tp t="s">
        <v>#N/A N/A</v>
        <stp/>
        <stp>BDP|754835625027410782</stp>
        <tr r="T95" s="3"/>
      </tp>
      <tp t="s">
        <v>#N/A N/A</v>
        <stp/>
        <stp>BDP|678992673602405653</stp>
        <tr r="BF76" s="3"/>
      </tp>
      <tp t="s">
        <v>#N/A N/A</v>
        <stp/>
        <stp>BDP|443624243069907114</stp>
        <tr r="AS102" s="3"/>
      </tp>
      <tp t="s">
        <v>#N/A N/A</v>
        <stp/>
        <stp>BDP|742893260325646160</stp>
        <tr r="I103" s="3"/>
      </tp>
      <tp t="s">
        <v>#N/A N/A</v>
        <stp/>
        <stp>BDP|180190192142129010</stp>
        <tr r="U77" s="3"/>
      </tp>
      <tp t="s">
        <v>#N/A N/A</v>
        <stp/>
        <stp>BDP|467896382503163942</stp>
        <tr r="BM89" s="3"/>
      </tp>
      <tp t="s">
        <v>#N/A N/A</v>
        <stp/>
        <stp>BDP|623739978729184375</stp>
        <tr r="L107" s="3"/>
      </tp>
      <tp t="s">
        <v>#N/A N/A</v>
        <stp/>
        <stp>BDP|554212768258990628</stp>
        <tr r="AI92" s="3"/>
      </tp>
      <tp t="s">
        <v>#N/A N/A</v>
        <stp/>
        <stp>BDP|313519331975561971</stp>
        <tr r="Z105" s="3"/>
      </tp>
      <tp t="s">
        <v>#N/A N/A</v>
        <stp/>
        <stp>BDP|137969303601089275</stp>
        <tr r="BC96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Sheet1!$A$2:$A$84</c:f>
              <c:strCache>
                <c:ptCount val="83"/>
                <c:pt idx="0">
                  <c:v>9/2023</c:v>
                </c:pt>
                <c:pt idx="1">
                  <c:v>8/2023</c:v>
                </c:pt>
                <c:pt idx="2">
                  <c:v>7/2023</c:v>
                </c:pt>
                <c:pt idx="3">
                  <c:v>6/2023</c:v>
                </c:pt>
                <c:pt idx="4">
                  <c:v>5/2023</c:v>
                </c:pt>
                <c:pt idx="5">
                  <c:v>4/2023</c:v>
                </c:pt>
                <c:pt idx="6">
                  <c:v>3/2023</c:v>
                </c:pt>
                <c:pt idx="7">
                  <c:v>2/2023</c:v>
                </c:pt>
                <c:pt idx="8">
                  <c:v>1/2023</c:v>
                </c:pt>
                <c:pt idx="9">
                  <c:v>12/2022</c:v>
                </c:pt>
                <c:pt idx="10">
                  <c:v>11/2022</c:v>
                </c:pt>
                <c:pt idx="11">
                  <c:v>10/2022</c:v>
                </c:pt>
                <c:pt idx="12">
                  <c:v>9/2022</c:v>
                </c:pt>
                <c:pt idx="13">
                  <c:v>8/2022</c:v>
                </c:pt>
                <c:pt idx="14">
                  <c:v>7/2022</c:v>
                </c:pt>
                <c:pt idx="15">
                  <c:v>6/2022</c:v>
                </c:pt>
                <c:pt idx="16">
                  <c:v>5/2022</c:v>
                </c:pt>
                <c:pt idx="17">
                  <c:v>4/2022</c:v>
                </c:pt>
                <c:pt idx="18">
                  <c:v>3/2022</c:v>
                </c:pt>
                <c:pt idx="19">
                  <c:v>2/2022</c:v>
                </c:pt>
                <c:pt idx="20">
                  <c:v>1/2022</c:v>
                </c:pt>
                <c:pt idx="21">
                  <c:v>12/2021</c:v>
                </c:pt>
                <c:pt idx="22">
                  <c:v>11/2021</c:v>
                </c:pt>
                <c:pt idx="23">
                  <c:v>10/2021</c:v>
                </c:pt>
                <c:pt idx="24">
                  <c:v>9/2021</c:v>
                </c:pt>
                <c:pt idx="25">
                  <c:v>8/2021</c:v>
                </c:pt>
                <c:pt idx="26">
                  <c:v>7/2021</c:v>
                </c:pt>
                <c:pt idx="27">
                  <c:v>6/2021</c:v>
                </c:pt>
                <c:pt idx="28">
                  <c:v>5/2021</c:v>
                </c:pt>
                <c:pt idx="29">
                  <c:v>4/2021</c:v>
                </c:pt>
                <c:pt idx="30">
                  <c:v>3/2021</c:v>
                </c:pt>
                <c:pt idx="31">
                  <c:v>2/2021</c:v>
                </c:pt>
                <c:pt idx="32">
                  <c:v>1/2021</c:v>
                </c:pt>
                <c:pt idx="33">
                  <c:v>12/2020</c:v>
                </c:pt>
                <c:pt idx="34">
                  <c:v>11/2020</c:v>
                </c:pt>
                <c:pt idx="35">
                  <c:v>10/2020</c:v>
                </c:pt>
                <c:pt idx="36">
                  <c:v>9/2020</c:v>
                </c:pt>
                <c:pt idx="37">
                  <c:v>8/2020</c:v>
                </c:pt>
                <c:pt idx="38">
                  <c:v>7/2020</c:v>
                </c:pt>
                <c:pt idx="39">
                  <c:v>6/2020</c:v>
                </c:pt>
                <c:pt idx="40">
                  <c:v>5/2020</c:v>
                </c:pt>
                <c:pt idx="41">
                  <c:v>4/2020</c:v>
                </c:pt>
                <c:pt idx="42">
                  <c:v>3/2020</c:v>
                </c:pt>
                <c:pt idx="43">
                  <c:v>2/2020</c:v>
                </c:pt>
                <c:pt idx="44">
                  <c:v>1/2020</c:v>
                </c:pt>
                <c:pt idx="45">
                  <c:v>12/2019</c:v>
                </c:pt>
                <c:pt idx="46">
                  <c:v>11/2019</c:v>
                </c:pt>
                <c:pt idx="47">
                  <c:v>10/2019</c:v>
                </c:pt>
                <c:pt idx="48">
                  <c:v>9/2019</c:v>
                </c:pt>
                <c:pt idx="49">
                  <c:v>8/2019</c:v>
                </c:pt>
                <c:pt idx="50">
                  <c:v>7/2019</c:v>
                </c:pt>
                <c:pt idx="51">
                  <c:v>6/2019</c:v>
                </c:pt>
                <c:pt idx="52">
                  <c:v>5/2019</c:v>
                </c:pt>
                <c:pt idx="53">
                  <c:v>4/2019</c:v>
                </c:pt>
                <c:pt idx="54">
                  <c:v>3/2019</c:v>
                </c:pt>
                <c:pt idx="55">
                  <c:v>2/2019</c:v>
                </c:pt>
                <c:pt idx="56">
                  <c:v>1/2019</c:v>
                </c:pt>
                <c:pt idx="57">
                  <c:v>12/2018</c:v>
                </c:pt>
                <c:pt idx="58">
                  <c:v>11/2018</c:v>
                </c:pt>
                <c:pt idx="59">
                  <c:v>10/2018</c:v>
                </c:pt>
                <c:pt idx="60">
                  <c:v>9/2018</c:v>
                </c:pt>
                <c:pt idx="61">
                  <c:v>8/2018</c:v>
                </c:pt>
                <c:pt idx="62">
                  <c:v>7/2018</c:v>
                </c:pt>
                <c:pt idx="63">
                  <c:v>6/2018</c:v>
                </c:pt>
                <c:pt idx="64">
                  <c:v>5/2018</c:v>
                </c:pt>
                <c:pt idx="65">
                  <c:v>4/2018</c:v>
                </c:pt>
                <c:pt idx="66">
                  <c:v>3/2018</c:v>
                </c:pt>
                <c:pt idx="67">
                  <c:v>2/2018</c:v>
                </c:pt>
                <c:pt idx="68">
                  <c:v>1/2018</c:v>
                </c:pt>
                <c:pt idx="69">
                  <c:v>12/2017</c:v>
                </c:pt>
                <c:pt idx="70">
                  <c:v>11/2017</c:v>
                </c:pt>
                <c:pt idx="71">
                  <c:v>10/2017</c:v>
                </c:pt>
                <c:pt idx="72">
                  <c:v>9/2017</c:v>
                </c:pt>
                <c:pt idx="73">
                  <c:v>8/2017</c:v>
                </c:pt>
                <c:pt idx="74">
                  <c:v>7/2017</c:v>
                </c:pt>
                <c:pt idx="75">
                  <c:v>6/2017</c:v>
                </c:pt>
                <c:pt idx="76">
                  <c:v>5/2017</c:v>
                </c:pt>
                <c:pt idx="77">
                  <c:v>4/2017</c:v>
                </c:pt>
                <c:pt idx="78">
                  <c:v>3/2017</c:v>
                </c:pt>
                <c:pt idx="79">
                  <c:v>2/2017</c:v>
                </c:pt>
                <c:pt idx="80">
                  <c:v>1/2017</c:v>
                </c:pt>
                <c:pt idx="81">
                  <c:v>12/2016</c:v>
                </c:pt>
                <c:pt idx="82">
                  <c:v>11/2016</c:v>
                </c:pt>
              </c:strCache>
            </c:strRef>
          </c:cat>
          <c:val>
            <c:numRef>
              <c:f>Sheet1!$B$2:$B$84</c:f>
              <c:numCache>
                <c:formatCode>General</c:formatCode>
                <c:ptCount val="83"/>
                <c:pt idx="0">
                  <c:v>23650</c:v>
                </c:pt>
                <c:pt idx="1">
                  <c:v>23960</c:v>
                </c:pt>
                <c:pt idx="2">
                  <c:v>23670</c:v>
                </c:pt>
                <c:pt idx="3">
                  <c:v>23700</c:v>
                </c:pt>
                <c:pt idx="4">
                  <c:v>23280</c:v>
                </c:pt>
                <c:pt idx="5">
                  <c:v>22400</c:v>
                </c:pt>
                <c:pt idx="6">
                  <c:v>22430</c:v>
                </c:pt>
                <c:pt idx="7">
                  <c:v>22345</c:v>
                </c:pt>
                <c:pt idx="8" formatCode="0">
                  <c:v>22527.5</c:v>
                </c:pt>
                <c:pt idx="9">
                  <c:v>22260</c:v>
                </c:pt>
                <c:pt idx="10">
                  <c:v>22710</c:v>
                </c:pt>
                <c:pt idx="11">
                  <c:v>22370</c:v>
                </c:pt>
                <c:pt idx="12">
                  <c:v>21920</c:v>
                </c:pt>
                <c:pt idx="13">
                  <c:v>22580</c:v>
                </c:pt>
                <c:pt idx="14">
                  <c:v>23250</c:v>
                </c:pt>
                <c:pt idx="15">
                  <c:v>22710</c:v>
                </c:pt>
                <c:pt idx="16">
                  <c:v>22280</c:v>
                </c:pt>
                <c:pt idx="17">
                  <c:v>20810</c:v>
                </c:pt>
                <c:pt idx="18">
                  <c:v>20980</c:v>
                </c:pt>
                <c:pt idx="19">
                  <c:v>17270</c:v>
                </c:pt>
                <c:pt idx="20">
                  <c:v>21580</c:v>
                </c:pt>
                <c:pt idx="21">
                  <c:v>20190</c:v>
                </c:pt>
                <c:pt idx="22">
                  <c:v>21130</c:v>
                </c:pt>
                <c:pt idx="23">
                  <c:v>21640</c:v>
                </c:pt>
                <c:pt idx="24">
                  <c:v>21450</c:v>
                </c:pt>
                <c:pt idx="25">
                  <c:v>21950</c:v>
                </c:pt>
                <c:pt idx="26">
                  <c:v>20990</c:v>
                </c:pt>
                <c:pt idx="27">
                  <c:v>21360</c:v>
                </c:pt>
                <c:pt idx="28">
                  <c:v>21460</c:v>
                </c:pt>
                <c:pt idx="29">
                  <c:v>20770</c:v>
                </c:pt>
                <c:pt idx="30">
                  <c:v>20650</c:v>
                </c:pt>
                <c:pt idx="31">
                  <c:v>16590</c:v>
                </c:pt>
                <c:pt idx="32">
                  <c:v>21150</c:v>
                </c:pt>
                <c:pt idx="33">
                  <c:v>20110</c:v>
                </c:pt>
                <c:pt idx="34">
                  <c:v>21250</c:v>
                </c:pt>
                <c:pt idx="35">
                  <c:v>21720</c:v>
                </c:pt>
                <c:pt idx="36">
                  <c:v>21590</c:v>
                </c:pt>
                <c:pt idx="37">
                  <c:v>21370</c:v>
                </c:pt>
                <c:pt idx="38">
                  <c:v>21240</c:v>
                </c:pt>
                <c:pt idx="39">
                  <c:v>20090</c:v>
                </c:pt>
                <c:pt idx="40">
                  <c:v>19270</c:v>
                </c:pt>
                <c:pt idx="41">
                  <c:v>18250</c:v>
                </c:pt>
                <c:pt idx="42">
                  <c:v>18160</c:v>
                </c:pt>
                <c:pt idx="43">
                  <c:v>12380</c:v>
                </c:pt>
                <c:pt idx="44">
                  <c:v>18800</c:v>
                </c:pt>
                <c:pt idx="45">
                  <c:v>18830</c:v>
                </c:pt>
                <c:pt idx="46">
                  <c:v>19520</c:v>
                </c:pt>
                <c:pt idx="47">
                  <c:v>19580</c:v>
                </c:pt>
                <c:pt idx="48">
                  <c:v>20210</c:v>
                </c:pt>
                <c:pt idx="49">
                  <c:v>20040</c:v>
                </c:pt>
                <c:pt idx="50">
                  <c:v>20160</c:v>
                </c:pt>
                <c:pt idx="51">
                  <c:v>19710</c:v>
                </c:pt>
                <c:pt idx="52">
                  <c:v>19840</c:v>
                </c:pt>
                <c:pt idx="53">
                  <c:v>19240</c:v>
                </c:pt>
                <c:pt idx="54">
                  <c:v>19100</c:v>
                </c:pt>
                <c:pt idx="55">
                  <c:v>14950</c:v>
                </c:pt>
                <c:pt idx="56">
                  <c:v>19730</c:v>
                </c:pt>
                <c:pt idx="57">
                  <c:v>18093.400000000001</c:v>
                </c:pt>
                <c:pt idx="58">
                  <c:v>18819</c:v>
                </c:pt>
                <c:pt idx="59">
                  <c:v>18826.5</c:v>
                </c:pt>
                <c:pt idx="60">
                  <c:v>19278.599999999999</c:v>
                </c:pt>
                <c:pt idx="61">
                  <c:v>19199.900000000001</c:v>
                </c:pt>
                <c:pt idx="62">
                  <c:v>18911</c:v>
                </c:pt>
                <c:pt idx="63">
                  <c:v>18822.2</c:v>
                </c:pt>
                <c:pt idx="64">
                  <c:v>19020.599999999999</c:v>
                </c:pt>
                <c:pt idx="65">
                  <c:v>18362.3</c:v>
                </c:pt>
                <c:pt idx="66">
                  <c:v>17557.7</c:v>
                </c:pt>
                <c:pt idx="67">
                  <c:v>14986.4</c:v>
                </c:pt>
                <c:pt idx="68">
                  <c:v>18425.8</c:v>
                </c:pt>
                <c:pt idx="69">
                  <c:v>17210.8</c:v>
                </c:pt>
                <c:pt idx="70">
                  <c:v>17842.599999999999</c:v>
                </c:pt>
                <c:pt idx="71">
                  <c:v>17783.7</c:v>
                </c:pt>
                <c:pt idx="72">
                  <c:v>18313.900000000001</c:v>
                </c:pt>
                <c:pt idx="73">
                  <c:v>18285.400000000001</c:v>
                </c:pt>
                <c:pt idx="74">
                  <c:v>18442.400000000001</c:v>
                </c:pt>
                <c:pt idx="75">
                  <c:v>17880.8</c:v>
                </c:pt>
                <c:pt idx="76">
                  <c:v>18100.3</c:v>
                </c:pt>
                <c:pt idx="77">
                  <c:v>17354.2</c:v>
                </c:pt>
                <c:pt idx="78">
                  <c:v>17249.5</c:v>
                </c:pt>
                <c:pt idx="79">
                  <c:v>13679.8</c:v>
                </c:pt>
                <c:pt idx="80">
                  <c:v>16780.599999999999</c:v>
                </c:pt>
                <c:pt idx="81">
                  <c:v>16740</c:v>
                </c:pt>
                <c:pt idx="82">
                  <c:v>16672.099999999999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F3-4E70-9C0B-7CDEAC4A6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5468712"/>
        <c:axId val="1025469040"/>
      </c:lineChart>
      <c:catAx>
        <c:axId val="102546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469040"/>
        <c:crosses val="autoZero"/>
        <c:auto val="1"/>
        <c:lblAlgn val="ctr"/>
        <c:lblOffset val="100"/>
        <c:noMultiLvlLbl val="0"/>
      </c:catAx>
      <c:valAx>
        <c:axId val="102546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468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84"/>
  <sheetViews>
    <sheetView workbookViewId="0">
      <selection activeCell="F20" sqref="F20"/>
    </sheetView>
  </sheetViews>
  <sheetFormatPr defaultRowHeight="15" x14ac:dyDescent="0.25"/>
  <sheetData>
    <row r="2" spans="1:2" x14ac:dyDescent="0.25">
      <c r="A2" t="s">
        <v>28</v>
      </c>
      <c r="B2">
        <f ca="1">IFERROR(IF(0=LEN(ReferenceData!$G$17),"",ReferenceData!$G$17),"")</f>
        <v>23650</v>
      </c>
    </row>
    <row r="3" spans="1:2" x14ac:dyDescent="0.25">
      <c r="A3" t="s">
        <v>29</v>
      </c>
      <c r="B3">
        <f ca="1">IFERROR(IF(0=LEN(ReferenceData!$H$17),"",ReferenceData!$H$17),"")</f>
        <v>23960</v>
      </c>
    </row>
    <row r="4" spans="1:2" x14ac:dyDescent="0.25">
      <c r="A4" t="s">
        <v>30</v>
      </c>
      <c r="B4">
        <f ca="1">IFERROR(IF(0=LEN(ReferenceData!$I$17),"",ReferenceData!$I$17),"")</f>
        <v>23670</v>
      </c>
    </row>
    <row r="5" spans="1:2" x14ac:dyDescent="0.25">
      <c r="A5" t="s">
        <v>31</v>
      </c>
      <c r="B5">
        <f ca="1">IFERROR(IF(0=LEN(ReferenceData!$J$17),"",ReferenceData!$J$17),"")</f>
        <v>23700</v>
      </c>
    </row>
    <row r="6" spans="1:2" x14ac:dyDescent="0.25">
      <c r="A6" t="s">
        <v>32</v>
      </c>
      <c r="B6">
        <f ca="1">IFERROR(IF(0=LEN(ReferenceData!$K$17),"",ReferenceData!$K$17),"")</f>
        <v>23280</v>
      </c>
    </row>
    <row r="7" spans="1:2" x14ac:dyDescent="0.25">
      <c r="A7" t="s">
        <v>33</v>
      </c>
      <c r="B7">
        <f ca="1">IFERROR(IF(0=LEN(ReferenceData!$L$17),"",ReferenceData!$L$17),"")</f>
        <v>22400</v>
      </c>
    </row>
    <row r="8" spans="1:2" x14ac:dyDescent="0.25">
      <c r="A8" t="s">
        <v>34</v>
      </c>
      <c r="B8">
        <f ca="1">IFERROR(IF(0=LEN(ReferenceData!$M$17),"",ReferenceData!$M$17),"")</f>
        <v>22430</v>
      </c>
    </row>
    <row r="9" spans="1:2" x14ac:dyDescent="0.25">
      <c r="A9" t="s">
        <v>35</v>
      </c>
      <c r="B9">
        <f ca="1">+AVERAGE(B8,B11)</f>
        <v>22345</v>
      </c>
    </row>
    <row r="10" spans="1:2" x14ac:dyDescent="0.25">
      <c r="A10" t="s">
        <v>36</v>
      </c>
      <c r="B10" s="1">
        <f ca="1">+AVERAGE(B9,B12)</f>
        <v>22527.5</v>
      </c>
    </row>
    <row r="11" spans="1:2" x14ac:dyDescent="0.25">
      <c r="A11" t="s">
        <v>37</v>
      </c>
      <c r="B11">
        <f ca="1">IFERROR(IF(0=LEN(ReferenceData!$P$17),"",ReferenceData!$P$17),"")</f>
        <v>22260</v>
      </c>
    </row>
    <row r="12" spans="1:2" x14ac:dyDescent="0.25">
      <c r="A12" t="s">
        <v>38</v>
      </c>
      <c r="B12">
        <f ca="1">IFERROR(IF(0=LEN(ReferenceData!$Q$17),"",ReferenceData!$Q$17),"")</f>
        <v>22710</v>
      </c>
    </row>
    <row r="13" spans="1:2" x14ac:dyDescent="0.25">
      <c r="A13" t="s">
        <v>39</v>
      </c>
      <c r="B13">
        <f ca="1">IFERROR(IF(0=LEN(ReferenceData!$R$17),"",ReferenceData!$R$17),"")</f>
        <v>22370</v>
      </c>
    </row>
    <row r="14" spans="1:2" x14ac:dyDescent="0.25">
      <c r="A14" t="s">
        <v>40</v>
      </c>
      <c r="B14">
        <f ca="1">IFERROR(IF(0=LEN(ReferenceData!$S$17),"",ReferenceData!$S$17),"")</f>
        <v>21920</v>
      </c>
    </row>
    <row r="15" spans="1:2" x14ac:dyDescent="0.25">
      <c r="A15" t="s">
        <v>41</v>
      </c>
      <c r="B15">
        <f ca="1">IFERROR(IF(0=LEN(ReferenceData!$T$17),"",ReferenceData!$T$17),"")</f>
        <v>22580</v>
      </c>
    </row>
    <row r="16" spans="1:2" x14ac:dyDescent="0.25">
      <c r="A16" t="s">
        <v>42</v>
      </c>
      <c r="B16">
        <f ca="1">IFERROR(IF(0=LEN(ReferenceData!$U$17),"",ReferenceData!$U$17),"")</f>
        <v>23250</v>
      </c>
    </row>
    <row r="17" spans="1:2" x14ac:dyDescent="0.25">
      <c r="A17" t="s">
        <v>43</v>
      </c>
      <c r="B17">
        <f ca="1">IFERROR(IF(0=LEN(ReferenceData!$V$17),"",ReferenceData!$V$17),"")</f>
        <v>22710</v>
      </c>
    </row>
    <row r="18" spans="1:2" x14ac:dyDescent="0.25">
      <c r="A18" t="s">
        <v>44</v>
      </c>
      <c r="B18">
        <f ca="1">IFERROR(IF(0=LEN(ReferenceData!$W$17),"",ReferenceData!$W$17),"")</f>
        <v>22280</v>
      </c>
    </row>
    <row r="19" spans="1:2" x14ac:dyDescent="0.25">
      <c r="A19" t="s">
        <v>45</v>
      </c>
      <c r="B19">
        <f ca="1">IFERROR(IF(0=LEN(ReferenceData!$X$17),"",ReferenceData!$X$17),"")</f>
        <v>20810</v>
      </c>
    </row>
    <row r="20" spans="1:2" x14ac:dyDescent="0.25">
      <c r="A20" t="s">
        <v>46</v>
      </c>
      <c r="B20">
        <f ca="1">IFERROR(IF(0=LEN(ReferenceData!$Y$17),"",ReferenceData!$Y$17),"")</f>
        <v>20980</v>
      </c>
    </row>
    <row r="21" spans="1:2" x14ac:dyDescent="0.25">
      <c r="A21" t="s">
        <v>47</v>
      </c>
      <c r="B21">
        <f ca="1">IFERROR(IF(0=LEN(ReferenceData!$Z$17),"",ReferenceData!$Z$17),"")</f>
        <v>17270</v>
      </c>
    </row>
    <row r="22" spans="1:2" x14ac:dyDescent="0.25">
      <c r="A22" t="s">
        <v>48</v>
      </c>
      <c r="B22">
        <f ca="1">IFERROR(IF(0=LEN(ReferenceData!$AA$17),"",ReferenceData!$AA$17),"")</f>
        <v>21580</v>
      </c>
    </row>
    <row r="23" spans="1:2" x14ac:dyDescent="0.25">
      <c r="A23" t="s">
        <v>49</v>
      </c>
      <c r="B23">
        <f ca="1">IFERROR(IF(0=LEN(ReferenceData!$AB$17),"",ReferenceData!$AB$17),"")</f>
        <v>20190</v>
      </c>
    </row>
    <row r="24" spans="1:2" x14ac:dyDescent="0.25">
      <c r="A24" t="s">
        <v>50</v>
      </c>
      <c r="B24">
        <f ca="1">IFERROR(IF(0=LEN(ReferenceData!$AC$17),"",ReferenceData!$AC$17),"")</f>
        <v>21130</v>
      </c>
    </row>
    <row r="25" spans="1:2" x14ac:dyDescent="0.25">
      <c r="A25" t="s">
        <v>51</v>
      </c>
      <c r="B25">
        <f ca="1">IFERROR(IF(0=LEN(ReferenceData!$AD$17),"",ReferenceData!$AD$17),"")</f>
        <v>21640</v>
      </c>
    </row>
    <row r="26" spans="1:2" x14ac:dyDescent="0.25">
      <c r="A26" t="s">
        <v>52</v>
      </c>
      <c r="B26">
        <f ca="1">IFERROR(IF(0=LEN(ReferenceData!$AE$17),"",ReferenceData!$AE$17),"")</f>
        <v>21450</v>
      </c>
    </row>
    <row r="27" spans="1:2" x14ac:dyDescent="0.25">
      <c r="A27" t="s">
        <v>53</v>
      </c>
      <c r="B27">
        <f ca="1">IFERROR(IF(0=LEN(ReferenceData!$AF$17),"",ReferenceData!$AF$17),"")</f>
        <v>21950</v>
      </c>
    </row>
    <row r="28" spans="1:2" x14ac:dyDescent="0.25">
      <c r="A28" t="s">
        <v>54</v>
      </c>
      <c r="B28">
        <f ca="1">IFERROR(IF(0=LEN(ReferenceData!$AG$17),"",ReferenceData!$AG$17),"")</f>
        <v>20990</v>
      </c>
    </row>
    <row r="29" spans="1:2" x14ac:dyDescent="0.25">
      <c r="A29" t="s">
        <v>55</v>
      </c>
      <c r="B29">
        <f ca="1">IFERROR(IF(0=LEN(ReferenceData!$AH$17),"",ReferenceData!$AH$17),"")</f>
        <v>21360</v>
      </c>
    </row>
    <row r="30" spans="1:2" x14ac:dyDescent="0.25">
      <c r="A30" t="s">
        <v>56</v>
      </c>
      <c r="B30">
        <f ca="1">IFERROR(IF(0=LEN(ReferenceData!$AI$17),"",ReferenceData!$AI$17),"")</f>
        <v>21460</v>
      </c>
    </row>
    <row r="31" spans="1:2" x14ac:dyDescent="0.25">
      <c r="A31" t="s">
        <v>57</v>
      </c>
      <c r="B31">
        <f ca="1">IFERROR(IF(0=LEN(ReferenceData!$AJ$17),"",ReferenceData!$AJ$17),"")</f>
        <v>20770</v>
      </c>
    </row>
    <row r="32" spans="1:2" x14ac:dyDescent="0.25">
      <c r="A32" t="s">
        <v>58</v>
      </c>
      <c r="B32">
        <f ca="1">IFERROR(IF(0=LEN(ReferenceData!$AK$17),"",ReferenceData!$AK$17),"")</f>
        <v>20650</v>
      </c>
    </row>
    <row r="33" spans="1:2" x14ac:dyDescent="0.25">
      <c r="A33" t="s">
        <v>59</v>
      </c>
      <c r="B33">
        <f ca="1">IFERROR(IF(0=LEN(ReferenceData!$AL$17),"",ReferenceData!$AL$17),"")</f>
        <v>16590</v>
      </c>
    </row>
    <row r="34" spans="1:2" x14ac:dyDescent="0.25">
      <c r="A34" t="s">
        <v>60</v>
      </c>
      <c r="B34">
        <f ca="1">IFERROR(IF(0=LEN(ReferenceData!$AM$17),"",ReferenceData!$AM$17),"")</f>
        <v>21150</v>
      </c>
    </row>
    <row r="35" spans="1:2" x14ac:dyDescent="0.25">
      <c r="A35" t="s">
        <v>61</v>
      </c>
      <c r="B35">
        <f ca="1">IFERROR(IF(0=LEN(ReferenceData!$AN$17),"",ReferenceData!$AN$17),"")</f>
        <v>20110</v>
      </c>
    </row>
    <row r="36" spans="1:2" x14ac:dyDescent="0.25">
      <c r="A36" t="s">
        <v>62</v>
      </c>
      <c r="B36">
        <f ca="1">IFERROR(IF(0=LEN(ReferenceData!$AO$17),"",ReferenceData!$AO$17),"")</f>
        <v>21250</v>
      </c>
    </row>
    <row r="37" spans="1:2" x14ac:dyDescent="0.25">
      <c r="A37" t="s">
        <v>63</v>
      </c>
      <c r="B37">
        <f ca="1">IFERROR(IF(0=LEN(ReferenceData!$AP$17),"",ReferenceData!$AP$17),"")</f>
        <v>21720</v>
      </c>
    </row>
    <row r="38" spans="1:2" x14ac:dyDescent="0.25">
      <c r="A38" t="s">
        <v>64</v>
      </c>
      <c r="B38">
        <f ca="1">IFERROR(IF(0=LEN(ReferenceData!$AQ$17),"",ReferenceData!$AQ$17),"")</f>
        <v>21590</v>
      </c>
    </row>
    <row r="39" spans="1:2" x14ac:dyDescent="0.25">
      <c r="A39" t="s">
        <v>65</v>
      </c>
      <c r="B39">
        <f ca="1">IFERROR(IF(0=LEN(ReferenceData!$AR$17),"",ReferenceData!$AR$17),"")</f>
        <v>21370</v>
      </c>
    </row>
    <row r="40" spans="1:2" x14ac:dyDescent="0.25">
      <c r="A40" t="s">
        <v>66</v>
      </c>
      <c r="B40">
        <f ca="1">IFERROR(IF(0=LEN(ReferenceData!$AS$17),"",ReferenceData!$AS$17),"")</f>
        <v>21240</v>
      </c>
    </row>
    <row r="41" spans="1:2" x14ac:dyDescent="0.25">
      <c r="A41" t="s">
        <v>67</v>
      </c>
      <c r="B41">
        <f ca="1">IFERROR(IF(0=LEN(ReferenceData!$AT$17),"",ReferenceData!$AT$17),"")</f>
        <v>20090</v>
      </c>
    </row>
    <row r="42" spans="1:2" x14ac:dyDescent="0.25">
      <c r="A42" t="s">
        <v>68</v>
      </c>
      <c r="B42">
        <f ca="1">IFERROR(IF(0=LEN(ReferenceData!$AU$17),"",ReferenceData!$AU$17),"")</f>
        <v>19270</v>
      </c>
    </row>
    <row r="43" spans="1:2" x14ac:dyDescent="0.25">
      <c r="A43" t="s">
        <v>69</v>
      </c>
      <c r="B43">
        <f ca="1">IFERROR(IF(0=LEN(ReferenceData!$AV$17),"",ReferenceData!$AV$17),"")</f>
        <v>18250</v>
      </c>
    </row>
    <row r="44" spans="1:2" x14ac:dyDescent="0.25">
      <c r="A44" t="s">
        <v>70</v>
      </c>
      <c r="B44">
        <f ca="1">IFERROR(IF(0=LEN(ReferenceData!$AW$17),"",ReferenceData!$AW$17),"")</f>
        <v>18160</v>
      </c>
    </row>
    <row r="45" spans="1:2" x14ac:dyDescent="0.25">
      <c r="A45" t="s">
        <v>71</v>
      </c>
      <c r="B45">
        <f ca="1">IFERROR(IF(0=LEN(ReferenceData!$AX$17),"",ReferenceData!$AX$17),"")</f>
        <v>12380</v>
      </c>
    </row>
    <row r="46" spans="1:2" x14ac:dyDescent="0.25">
      <c r="A46" t="s">
        <v>72</v>
      </c>
      <c r="B46">
        <f ca="1">IFERROR(IF(0=LEN(ReferenceData!$AY$17),"",ReferenceData!$AY$17),"")</f>
        <v>18800</v>
      </c>
    </row>
    <row r="47" spans="1:2" x14ac:dyDescent="0.25">
      <c r="A47" t="s">
        <v>73</v>
      </c>
      <c r="B47">
        <f ca="1">IFERROR(IF(0=LEN(ReferenceData!$AZ$17),"",ReferenceData!$AZ$17),"")</f>
        <v>18830</v>
      </c>
    </row>
    <row r="48" spans="1:2" x14ac:dyDescent="0.25">
      <c r="A48" t="s">
        <v>74</v>
      </c>
      <c r="B48">
        <f ca="1">IFERROR(IF(0=LEN(ReferenceData!$BA$17),"",ReferenceData!$BA$17),"")</f>
        <v>19520</v>
      </c>
    </row>
    <row r="49" spans="1:2" x14ac:dyDescent="0.25">
      <c r="A49" t="s">
        <v>75</v>
      </c>
      <c r="B49">
        <f ca="1">IFERROR(IF(0=LEN(ReferenceData!$BB$17),"",ReferenceData!$BB$17),"")</f>
        <v>19580</v>
      </c>
    </row>
    <row r="50" spans="1:2" x14ac:dyDescent="0.25">
      <c r="A50" t="s">
        <v>76</v>
      </c>
      <c r="B50">
        <f ca="1">IFERROR(IF(0=LEN(ReferenceData!$BC$17),"",ReferenceData!$BC$17),"")</f>
        <v>20210</v>
      </c>
    </row>
    <row r="51" spans="1:2" x14ac:dyDescent="0.25">
      <c r="A51" t="s">
        <v>77</v>
      </c>
      <c r="B51">
        <f ca="1">IFERROR(IF(0=LEN(ReferenceData!$BD$17),"",ReferenceData!$BD$17),"")</f>
        <v>20040</v>
      </c>
    </row>
    <row r="52" spans="1:2" x14ac:dyDescent="0.25">
      <c r="A52" t="s">
        <v>78</v>
      </c>
      <c r="B52">
        <f ca="1">IFERROR(IF(0=LEN(ReferenceData!$BE$17),"",ReferenceData!$BE$17),"")</f>
        <v>20160</v>
      </c>
    </row>
    <row r="53" spans="1:2" x14ac:dyDescent="0.25">
      <c r="A53" t="s">
        <v>79</v>
      </c>
      <c r="B53">
        <f ca="1">IFERROR(IF(0=LEN(ReferenceData!$BF$17),"",ReferenceData!$BF$17),"")</f>
        <v>19710</v>
      </c>
    </row>
    <row r="54" spans="1:2" x14ac:dyDescent="0.25">
      <c r="A54" t="s">
        <v>80</v>
      </c>
      <c r="B54">
        <f ca="1">IFERROR(IF(0=LEN(ReferenceData!$BG$17),"",ReferenceData!$BG$17),"")</f>
        <v>19840</v>
      </c>
    </row>
    <row r="55" spans="1:2" x14ac:dyDescent="0.25">
      <c r="A55" t="s">
        <v>81</v>
      </c>
      <c r="B55">
        <f ca="1">IFERROR(IF(0=LEN(ReferenceData!$BH$17),"",ReferenceData!$BH$17),"")</f>
        <v>19240</v>
      </c>
    </row>
    <row r="56" spans="1:2" x14ac:dyDescent="0.25">
      <c r="A56" t="s">
        <v>82</v>
      </c>
      <c r="B56">
        <f ca="1">IFERROR(IF(0=LEN(ReferenceData!$BI$17),"",ReferenceData!$BI$17),"")</f>
        <v>19100</v>
      </c>
    </row>
    <row r="57" spans="1:2" x14ac:dyDescent="0.25">
      <c r="A57" t="s">
        <v>83</v>
      </c>
      <c r="B57">
        <f ca="1">IFERROR(IF(0=LEN(ReferenceData!$BJ$17),"",ReferenceData!$BJ$17),"")</f>
        <v>14950</v>
      </c>
    </row>
    <row r="58" spans="1:2" x14ac:dyDescent="0.25">
      <c r="A58" t="s">
        <v>84</v>
      </c>
      <c r="B58">
        <f ca="1">IFERROR(IF(0=LEN(ReferenceData!$BK$17),"",ReferenceData!$BK$17),"")</f>
        <v>19730</v>
      </c>
    </row>
    <row r="59" spans="1:2" x14ac:dyDescent="0.25">
      <c r="A59" t="s">
        <v>85</v>
      </c>
      <c r="B59">
        <f ca="1">IFERROR(IF(0=LEN(ReferenceData!$BL$17),"",ReferenceData!$BL$17),"")</f>
        <v>18093.400000000001</v>
      </c>
    </row>
    <row r="60" spans="1:2" x14ac:dyDescent="0.25">
      <c r="A60" t="s">
        <v>86</v>
      </c>
      <c r="B60">
        <f ca="1">IFERROR(IF(0=LEN(ReferenceData!$BM$17),"",ReferenceData!$BM$17),"")</f>
        <v>18819</v>
      </c>
    </row>
    <row r="61" spans="1:2" x14ac:dyDescent="0.25">
      <c r="A61" t="s">
        <v>87</v>
      </c>
      <c r="B61">
        <f ca="1">IFERROR(IF(0=LEN(ReferenceData!$BN$17),"",ReferenceData!$BN$17),"")</f>
        <v>18826.5</v>
      </c>
    </row>
    <row r="62" spans="1:2" x14ac:dyDescent="0.25">
      <c r="A62" t="s">
        <v>88</v>
      </c>
      <c r="B62">
        <f ca="1">IFERROR(IF(0=LEN(ReferenceData!$BO$17),"",ReferenceData!$BO$17),"")</f>
        <v>19278.599999999999</v>
      </c>
    </row>
    <row r="63" spans="1:2" x14ac:dyDescent="0.25">
      <c r="A63" t="s">
        <v>89</v>
      </c>
      <c r="B63">
        <f ca="1">IFERROR(IF(0=LEN(ReferenceData!$BP$17),"",ReferenceData!$BP$17),"")</f>
        <v>19199.900000000001</v>
      </c>
    </row>
    <row r="64" spans="1:2" x14ac:dyDescent="0.25">
      <c r="A64" t="s">
        <v>90</v>
      </c>
      <c r="B64">
        <f ca="1">IFERROR(IF(0=LEN(ReferenceData!$BQ$17),"",ReferenceData!$BQ$17),"")</f>
        <v>18911</v>
      </c>
    </row>
    <row r="65" spans="1:2" x14ac:dyDescent="0.25">
      <c r="A65" t="s">
        <v>91</v>
      </c>
      <c r="B65">
        <f ca="1">IFERROR(IF(0=LEN(ReferenceData!$BR$17),"",ReferenceData!$BR$17),"")</f>
        <v>18822.2</v>
      </c>
    </row>
    <row r="66" spans="1:2" x14ac:dyDescent="0.25">
      <c r="A66" t="s">
        <v>92</v>
      </c>
      <c r="B66">
        <f ca="1">IFERROR(IF(0=LEN(ReferenceData!$BS$17),"",ReferenceData!$BS$17),"")</f>
        <v>19020.599999999999</v>
      </c>
    </row>
    <row r="67" spans="1:2" x14ac:dyDescent="0.25">
      <c r="A67" t="s">
        <v>93</v>
      </c>
      <c r="B67">
        <f ca="1">IFERROR(IF(0=LEN(ReferenceData!$BT$17),"",ReferenceData!$BT$17),"")</f>
        <v>18362.3</v>
      </c>
    </row>
    <row r="68" spans="1:2" x14ac:dyDescent="0.25">
      <c r="A68" t="s">
        <v>94</v>
      </c>
      <c r="B68">
        <f ca="1">IFERROR(IF(0=LEN(ReferenceData!$BU$17),"",ReferenceData!$BU$17),"")</f>
        <v>17557.7</v>
      </c>
    </row>
    <row r="69" spans="1:2" x14ac:dyDescent="0.25">
      <c r="A69" t="s">
        <v>95</v>
      </c>
      <c r="B69">
        <f ca="1">IFERROR(IF(0=LEN(ReferenceData!$BV$17),"",ReferenceData!$BV$17),"")</f>
        <v>14986.4</v>
      </c>
    </row>
    <row r="70" spans="1:2" x14ac:dyDescent="0.25">
      <c r="A70" t="s">
        <v>96</v>
      </c>
      <c r="B70">
        <f ca="1">IFERROR(IF(0=LEN(ReferenceData!$BW$17),"",ReferenceData!$BW$17),"")</f>
        <v>18425.8</v>
      </c>
    </row>
    <row r="71" spans="1:2" x14ac:dyDescent="0.25">
      <c r="A71" t="s">
        <v>97</v>
      </c>
      <c r="B71">
        <f ca="1">IFERROR(IF(0=LEN(ReferenceData!$BX$17),"",ReferenceData!$BX$17),"")</f>
        <v>17210.8</v>
      </c>
    </row>
    <row r="72" spans="1:2" x14ac:dyDescent="0.25">
      <c r="A72" t="s">
        <v>98</v>
      </c>
      <c r="B72">
        <f ca="1">IFERROR(IF(0=LEN(ReferenceData!$BY$17),"",ReferenceData!$BY$17),"")</f>
        <v>17842.599999999999</v>
      </c>
    </row>
    <row r="73" spans="1:2" x14ac:dyDescent="0.25">
      <c r="A73" t="s">
        <v>99</v>
      </c>
      <c r="B73">
        <f ca="1">IFERROR(IF(0=LEN(ReferenceData!$BZ$17),"",ReferenceData!$BZ$17),"")</f>
        <v>17783.7</v>
      </c>
    </row>
    <row r="74" spans="1:2" x14ac:dyDescent="0.25">
      <c r="A74" t="s">
        <v>100</v>
      </c>
      <c r="B74">
        <f ca="1">IFERROR(IF(0=LEN(ReferenceData!$CA$17),"",ReferenceData!$CA$17),"")</f>
        <v>18313.900000000001</v>
      </c>
    </row>
    <row r="75" spans="1:2" x14ac:dyDescent="0.25">
      <c r="A75" t="s">
        <v>101</v>
      </c>
      <c r="B75">
        <f ca="1">IFERROR(IF(0=LEN(ReferenceData!$CB$17),"",ReferenceData!$CB$17),"")</f>
        <v>18285.400000000001</v>
      </c>
    </row>
    <row r="76" spans="1:2" x14ac:dyDescent="0.25">
      <c r="A76" t="s">
        <v>102</v>
      </c>
      <c r="B76">
        <f ca="1">IFERROR(IF(0=LEN(ReferenceData!$CC$17),"",ReferenceData!$CC$17),"")</f>
        <v>18442.400000000001</v>
      </c>
    </row>
    <row r="77" spans="1:2" x14ac:dyDescent="0.25">
      <c r="A77" t="s">
        <v>103</v>
      </c>
      <c r="B77">
        <f ca="1">IFERROR(IF(0=LEN(ReferenceData!$CD$17),"",ReferenceData!$CD$17),"")</f>
        <v>17880.8</v>
      </c>
    </row>
    <row r="78" spans="1:2" x14ac:dyDescent="0.25">
      <c r="A78" t="s">
        <v>104</v>
      </c>
      <c r="B78">
        <f ca="1">IFERROR(IF(0=LEN(ReferenceData!$CE$17),"",ReferenceData!$CE$17),"")</f>
        <v>18100.3</v>
      </c>
    </row>
    <row r="79" spans="1:2" x14ac:dyDescent="0.25">
      <c r="A79" t="s">
        <v>105</v>
      </c>
      <c r="B79">
        <f ca="1">IFERROR(IF(0=LEN(ReferenceData!$CF$17),"",ReferenceData!$CF$17),"")</f>
        <v>17354.2</v>
      </c>
    </row>
    <row r="80" spans="1:2" x14ac:dyDescent="0.25">
      <c r="A80" t="s">
        <v>106</v>
      </c>
      <c r="B80">
        <f ca="1">IFERROR(IF(0=LEN(ReferenceData!$CG$17),"",ReferenceData!$CG$17),"")</f>
        <v>17249.5</v>
      </c>
    </row>
    <row r="81" spans="1:2" x14ac:dyDescent="0.25">
      <c r="A81" t="s">
        <v>107</v>
      </c>
      <c r="B81">
        <f ca="1">IFERROR(IF(0=LEN(ReferenceData!$CH$17),"",ReferenceData!$CH$17),"")</f>
        <v>13679.8</v>
      </c>
    </row>
    <row r="82" spans="1:2" x14ac:dyDescent="0.25">
      <c r="A82" t="s">
        <v>108</v>
      </c>
      <c r="B82">
        <f ca="1">IFERROR(IF(0=LEN(ReferenceData!$CI$17),"",ReferenceData!$CI$17),"")</f>
        <v>16780.599999999999</v>
      </c>
    </row>
    <row r="83" spans="1:2" x14ac:dyDescent="0.25">
      <c r="A83" t="s">
        <v>109</v>
      </c>
      <c r="B83">
        <f ca="1">IFERROR(IF(0=LEN(ReferenceData!$CJ$17),"",ReferenceData!$CJ$17),"")</f>
        <v>16740</v>
      </c>
    </row>
    <row r="84" spans="1:2" x14ac:dyDescent="0.25">
      <c r="A84" t="s">
        <v>110</v>
      </c>
      <c r="B84">
        <f ca="1">IFERROR(IF(0=LEN(ReferenceData!$CK$17),"",ReferenceData!$CK$17),"")</f>
        <v>16672.099999999999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53"/>
  <sheetViews>
    <sheetView tabSelected="1" workbookViewId="0">
      <selection activeCell="B11" sqref="B11"/>
    </sheetView>
  </sheetViews>
  <sheetFormatPr defaultRowHeight="15" x14ac:dyDescent="0.25"/>
  <cols>
    <col min="1" max="1" width="56.28515625" customWidth="1"/>
    <col min="2" max="2" width="15.85546875" customWidth="1"/>
    <col min="3" max="89" width="9.140625" bestFit="1" customWidth="1"/>
  </cols>
  <sheetData>
    <row r="1" spans="1:89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</row>
    <row r="2" spans="1:89" x14ac:dyDescent="0.25">
      <c r="A2" t="str">
        <f>IFERROR(IF(0=LEN(ReferenceData!$A$2),"",ReferenceData!$A$2),"")</f>
        <v>Description</v>
      </c>
      <c r="B2" t="str">
        <f>IFERROR(IF(0=LEN(ReferenceData!$B$2),"",ReferenceData!$B$2),"")</f>
        <v>Ticker</v>
      </c>
      <c r="C2" t="str">
        <f>IFERROR(IF(0=LEN(ReferenceData!$C$2),"",ReferenceData!$C$2),"")</f>
        <v>Field ID</v>
      </c>
      <c r="D2" t="str">
        <f>IFERROR(IF(0=LEN(ReferenceData!$D$2),"",ReferenceData!$D$2),"")</f>
        <v>Field Mnemonic</v>
      </c>
      <c r="E2" t="str">
        <f>IFERROR(IF(0=LEN(ReferenceData!$E$2),"",ReferenceData!$E$2),"")</f>
        <v>Data State</v>
      </c>
      <c r="F2" t="str">
        <f>IFERROR(IF(0=LEN(ReferenceData!$F$2),"",ReferenceData!$F$2),"")</f>
        <v>10/2023</v>
      </c>
      <c r="G2" t="str">
        <f>IFERROR(IF(0=LEN(ReferenceData!$G$2),"",ReferenceData!$G$2),"")</f>
        <v>9/2023</v>
      </c>
      <c r="H2" t="str">
        <f>IFERROR(IF(0=LEN(ReferenceData!$H$2),"",ReferenceData!$H$2),"")</f>
        <v>8/2023</v>
      </c>
      <c r="I2" t="str">
        <f>IFERROR(IF(0=LEN(ReferenceData!$I$2),"",ReferenceData!$I$2),"")</f>
        <v>7/2023</v>
      </c>
      <c r="J2" t="str">
        <f>IFERROR(IF(0=LEN(ReferenceData!$J$2),"",ReferenceData!$J$2),"")</f>
        <v>6/2023</v>
      </c>
      <c r="K2" t="str">
        <f>IFERROR(IF(0=LEN(ReferenceData!$K$2),"",ReferenceData!$K$2),"")</f>
        <v>5/2023</v>
      </c>
      <c r="L2" t="str">
        <f>IFERROR(IF(0=LEN(ReferenceData!$L$2),"",ReferenceData!$L$2),"")</f>
        <v>4/2023</v>
      </c>
      <c r="M2" t="str">
        <f>IFERROR(IF(0=LEN(ReferenceData!$M$2),"",ReferenceData!$M$2),"")</f>
        <v>3/2023</v>
      </c>
      <c r="N2" t="str">
        <f>IFERROR(IF(0=LEN(ReferenceData!$N$2),"",ReferenceData!$N$2),"")</f>
        <v>2/2023</v>
      </c>
      <c r="O2" t="str">
        <f>IFERROR(IF(0=LEN(ReferenceData!$O$2),"",ReferenceData!$O$2),"")</f>
        <v>1/2023</v>
      </c>
      <c r="P2" t="str">
        <f>IFERROR(IF(0=LEN(ReferenceData!$P$2),"",ReferenceData!$P$2),"")</f>
        <v>12/2022</v>
      </c>
      <c r="Q2" t="str">
        <f>IFERROR(IF(0=LEN(ReferenceData!$Q$2),"",ReferenceData!$Q$2),"")</f>
        <v>11/2022</v>
      </c>
      <c r="R2" t="str">
        <f>IFERROR(IF(0=LEN(ReferenceData!$R$2),"",ReferenceData!$R$2),"")</f>
        <v>10/2022</v>
      </c>
      <c r="S2" t="str">
        <f>IFERROR(IF(0=LEN(ReferenceData!$S$2),"",ReferenceData!$S$2),"")</f>
        <v>9/2022</v>
      </c>
      <c r="T2" t="str">
        <f>IFERROR(IF(0=LEN(ReferenceData!$T$2),"",ReferenceData!$T$2),"")</f>
        <v>8/2022</v>
      </c>
      <c r="U2" t="str">
        <f>IFERROR(IF(0=LEN(ReferenceData!$U$2),"",ReferenceData!$U$2),"")</f>
        <v>7/2022</v>
      </c>
      <c r="V2" t="str">
        <f>IFERROR(IF(0=LEN(ReferenceData!$V$2),"",ReferenceData!$V$2),"")</f>
        <v>6/2022</v>
      </c>
      <c r="W2" t="str">
        <f>IFERROR(IF(0=LEN(ReferenceData!$W$2),"",ReferenceData!$W$2),"")</f>
        <v>5/2022</v>
      </c>
      <c r="X2" t="str">
        <f>IFERROR(IF(0=LEN(ReferenceData!$X$2),"",ReferenceData!$X$2),"")</f>
        <v>4/2022</v>
      </c>
      <c r="Y2" t="str">
        <f>IFERROR(IF(0=LEN(ReferenceData!$Y$2),"",ReferenceData!$Y$2),"")</f>
        <v>3/2022</v>
      </c>
      <c r="Z2" t="str">
        <f>IFERROR(IF(0=LEN(ReferenceData!$Z$2),"",ReferenceData!$Z$2),"")</f>
        <v>2/2022</v>
      </c>
      <c r="AA2" t="str">
        <f>IFERROR(IF(0=LEN(ReferenceData!$AA$2),"",ReferenceData!$AA$2),"")</f>
        <v>1/2022</v>
      </c>
      <c r="AB2" t="str">
        <f>IFERROR(IF(0=LEN(ReferenceData!$AB$2),"",ReferenceData!$AB$2),"")</f>
        <v>12/2021</v>
      </c>
      <c r="AC2" t="str">
        <f>IFERROR(IF(0=LEN(ReferenceData!$AC$2),"",ReferenceData!$AC$2),"")</f>
        <v>11/2021</v>
      </c>
      <c r="AD2" t="str">
        <f>IFERROR(IF(0=LEN(ReferenceData!$AD$2),"",ReferenceData!$AD$2),"")</f>
        <v>10/2021</v>
      </c>
      <c r="AE2" t="str">
        <f>IFERROR(IF(0=LEN(ReferenceData!$AE$2),"",ReferenceData!$AE$2),"")</f>
        <v>9/2021</v>
      </c>
      <c r="AF2" t="str">
        <f>IFERROR(IF(0=LEN(ReferenceData!$AF$2),"",ReferenceData!$AF$2),"")</f>
        <v>8/2021</v>
      </c>
      <c r="AG2" t="str">
        <f>IFERROR(IF(0=LEN(ReferenceData!$AG$2),"",ReferenceData!$AG$2),"")</f>
        <v>7/2021</v>
      </c>
      <c r="AH2" t="str">
        <f>IFERROR(IF(0=LEN(ReferenceData!$AH$2),"",ReferenceData!$AH$2),"")</f>
        <v>6/2021</v>
      </c>
      <c r="AI2" t="str">
        <f>IFERROR(IF(0=LEN(ReferenceData!$AI$2),"",ReferenceData!$AI$2),"")</f>
        <v>5/2021</v>
      </c>
      <c r="AJ2" t="str">
        <f>IFERROR(IF(0=LEN(ReferenceData!$AJ$2),"",ReferenceData!$AJ$2),"")</f>
        <v>4/2021</v>
      </c>
      <c r="AK2" t="str">
        <f>IFERROR(IF(0=LEN(ReferenceData!$AK$2),"",ReferenceData!$AK$2),"")</f>
        <v>3/2021</v>
      </c>
      <c r="AL2" t="str">
        <f>IFERROR(IF(0=LEN(ReferenceData!$AL$2),"",ReferenceData!$AL$2),"")</f>
        <v>2/2021</v>
      </c>
      <c r="AM2" t="str">
        <f>IFERROR(IF(0=LEN(ReferenceData!$AM$2),"",ReferenceData!$AM$2),"")</f>
        <v>1/2021</v>
      </c>
      <c r="AN2" t="str">
        <f>IFERROR(IF(0=LEN(ReferenceData!$AN$2),"",ReferenceData!$AN$2),"")</f>
        <v>12/2020</v>
      </c>
      <c r="AO2" t="str">
        <f>IFERROR(IF(0=LEN(ReferenceData!$AO$2),"",ReferenceData!$AO$2),"")</f>
        <v>11/2020</v>
      </c>
      <c r="AP2" t="str">
        <f>IFERROR(IF(0=LEN(ReferenceData!$AP$2),"",ReferenceData!$AP$2),"")</f>
        <v>10/2020</v>
      </c>
      <c r="AQ2" t="str">
        <f>IFERROR(IF(0=LEN(ReferenceData!$AQ$2),"",ReferenceData!$AQ$2),"")</f>
        <v>9/2020</v>
      </c>
      <c r="AR2" t="str">
        <f>IFERROR(IF(0=LEN(ReferenceData!$AR$2),"",ReferenceData!$AR$2),"")</f>
        <v>8/2020</v>
      </c>
      <c r="AS2" t="str">
        <f>IFERROR(IF(0=LEN(ReferenceData!$AS$2),"",ReferenceData!$AS$2),"")</f>
        <v>7/2020</v>
      </c>
      <c r="AT2" t="str">
        <f>IFERROR(IF(0=LEN(ReferenceData!$AT$2),"",ReferenceData!$AT$2),"")</f>
        <v>6/2020</v>
      </c>
      <c r="AU2" t="str">
        <f>IFERROR(IF(0=LEN(ReferenceData!$AU$2),"",ReferenceData!$AU$2),"")</f>
        <v>5/2020</v>
      </c>
      <c r="AV2" t="str">
        <f>IFERROR(IF(0=LEN(ReferenceData!$AV$2),"",ReferenceData!$AV$2),"")</f>
        <v>4/2020</v>
      </c>
      <c r="AW2" t="str">
        <f>IFERROR(IF(0=LEN(ReferenceData!$AW$2),"",ReferenceData!$AW$2),"")</f>
        <v>3/2020</v>
      </c>
      <c r="AX2" t="str">
        <f>IFERROR(IF(0=LEN(ReferenceData!$AX$2),"",ReferenceData!$AX$2),"")</f>
        <v>2/2020</v>
      </c>
      <c r="AY2" t="str">
        <f>IFERROR(IF(0=LEN(ReferenceData!$AY$2),"",ReferenceData!$AY$2),"")</f>
        <v>1/2020</v>
      </c>
      <c r="AZ2" t="str">
        <f>IFERROR(IF(0=LEN(ReferenceData!$AZ$2),"",ReferenceData!$AZ$2),"")</f>
        <v>12/2019</v>
      </c>
      <c r="BA2" t="str">
        <f>IFERROR(IF(0=LEN(ReferenceData!$BA$2),"",ReferenceData!$BA$2),"")</f>
        <v>11/2019</v>
      </c>
      <c r="BB2" t="str">
        <f>IFERROR(IF(0=LEN(ReferenceData!$BB$2),"",ReferenceData!$BB$2),"")</f>
        <v>10/2019</v>
      </c>
      <c r="BC2" t="str">
        <f>IFERROR(IF(0=LEN(ReferenceData!$BC$2),"",ReferenceData!$BC$2),"")</f>
        <v>9/2019</v>
      </c>
      <c r="BD2" t="str">
        <f>IFERROR(IF(0=LEN(ReferenceData!$BD$2),"",ReferenceData!$BD$2),"")</f>
        <v>8/2019</v>
      </c>
      <c r="BE2" t="str">
        <f>IFERROR(IF(0=LEN(ReferenceData!$BE$2),"",ReferenceData!$BE$2),"")</f>
        <v>7/2019</v>
      </c>
      <c r="BF2" t="str">
        <f>IFERROR(IF(0=LEN(ReferenceData!$BF$2),"",ReferenceData!$BF$2),"")</f>
        <v>6/2019</v>
      </c>
      <c r="BG2" t="str">
        <f>IFERROR(IF(0=LEN(ReferenceData!$BG$2),"",ReferenceData!$BG$2),"")</f>
        <v>5/2019</v>
      </c>
      <c r="BH2" t="str">
        <f>IFERROR(IF(0=LEN(ReferenceData!$BH$2),"",ReferenceData!$BH$2),"")</f>
        <v>4/2019</v>
      </c>
      <c r="BI2" t="str">
        <f>IFERROR(IF(0=LEN(ReferenceData!$BI$2),"",ReferenceData!$BI$2),"")</f>
        <v>3/2019</v>
      </c>
      <c r="BJ2" t="str">
        <f>IFERROR(IF(0=LEN(ReferenceData!$BJ$2),"",ReferenceData!$BJ$2),"")</f>
        <v>2/2019</v>
      </c>
      <c r="BK2" t="str">
        <f>IFERROR(IF(0=LEN(ReferenceData!$BK$2),"",ReferenceData!$BK$2),"")</f>
        <v>1/2019</v>
      </c>
      <c r="BL2" t="str">
        <f>IFERROR(IF(0=LEN(ReferenceData!$BL$2),"",ReferenceData!$BL$2),"")</f>
        <v>12/2018</v>
      </c>
      <c r="BM2" t="str">
        <f>IFERROR(IF(0=LEN(ReferenceData!$BM$2),"",ReferenceData!$BM$2),"")</f>
        <v>11/2018</v>
      </c>
      <c r="BN2" t="str">
        <f>IFERROR(IF(0=LEN(ReferenceData!$BN$2),"",ReferenceData!$BN$2),"")</f>
        <v>10/2018</v>
      </c>
      <c r="BO2" t="str">
        <f>IFERROR(IF(0=LEN(ReferenceData!$BO$2),"",ReferenceData!$BO$2),"")</f>
        <v>9/2018</v>
      </c>
      <c r="BP2" t="str">
        <f>IFERROR(IF(0=LEN(ReferenceData!$BP$2),"",ReferenceData!$BP$2),"")</f>
        <v>8/2018</v>
      </c>
      <c r="BQ2" t="str">
        <f>IFERROR(IF(0=LEN(ReferenceData!$BQ$2),"",ReferenceData!$BQ$2),"")</f>
        <v>7/2018</v>
      </c>
      <c r="BR2" t="str">
        <f>IFERROR(IF(0=LEN(ReferenceData!$BR$2),"",ReferenceData!$BR$2),"")</f>
        <v>6/2018</v>
      </c>
      <c r="BS2" t="str">
        <f>IFERROR(IF(0=LEN(ReferenceData!$BS$2),"",ReferenceData!$BS$2),"")</f>
        <v>5/2018</v>
      </c>
      <c r="BT2" t="str">
        <f>IFERROR(IF(0=LEN(ReferenceData!$BT$2),"",ReferenceData!$BT$2),"")</f>
        <v>4/2018</v>
      </c>
      <c r="BU2" t="str">
        <f>IFERROR(IF(0=LEN(ReferenceData!$BU$2),"",ReferenceData!$BU$2),"")</f>
        <v>3/2018</v>
      </c>
      <c r="BV2" t="str">
        <f>IFERROR(IF(0=LEN(ReferenceData!$BV$2),"",ReferenceData!$BV$2),"")</f>
        <v>2/2018</v>
      </c>
      <c r="BW2" t="str">
        <f>IFERROR(IF(0=LEN(ReferenceData!$BW$2),"",ReferenceData!$BW$2),"")</f>
        <v>1/2018</v>
      </c>
      <c r="BX2" t="str">
        <f>IFERROR(IF(0=LEN(ReferenceData!$BX$2),"",ReferenceData!$BX$2),"")</f>
        <v>12/2017</v>
      </c>
      <c r="BY2" t="str">
        <f>IFERROR(IF(0=LEN(ReferenceData!$BY$2),"",ReferenceData!$BY$2),"")</f>
        <v>11/2017</v>
      </c>
      <c r="BZ2" t="str">
        <f>IFERROR(IF(0=LEN(ReferenceData!$BZ$2),"",ReferenceData!$BZ$2),"")</f>
        <v>10/2017</v>
      </c>
      <c r="CA2" t="str">
        <f>IFERROR(IF(0=LEN(ReferenceData!$CA$2),"",ReferenceData!$CA$2),"")</f>
        <v>9/2017</v>
      </c>
      <c r="CB2" t="str">
        <f>IFERROR(IF(0=LEN(ReferenceData!$CB$2),"",ReferenceData!$CB$2),"")</f>
        <v>8/2017</v>
      </c>
      <c r="CC2" t="str">
        <f>IFERROR(IF(0=LEN(ReferenceData!$CC$2),"",ReferenceData!$CC$2),"")</f>
        <v>7/2017</v>
      </c>
      <c r="CD2" t="str">
        <f>IFERROR(IF(0=LEN(ReferenceData!$CD$2),"",ReferenceData!$CD$2),"")</f>
        <v>6/2017</v>
      </c>
      <c r="CE2" t="str">
        <f>IFERROR(IF(0=LEN(ReferenceData!$CE$2),"",ReferenceData!$CE$2),"")</f>
        <v>5/2017</v>
      </c>
      <c r="CF2" t="str">
        <f>IFERROR(IF(0=LEN(ReferenceData!$CF$2),"",ReferenceData!$CF$2),"")</f>
        <v>4/2017</v>
      </c>
      <c r="CG2" t="str">
        <f>IFERROR(IF(0=LEN(ReferenceData!$CG$2),"",ReferenceData!$CG$2),"")</f>
        <v>3/2017</v>
      </c>
      <c r="CH2" t="str">
        <f>IFERROR(IF(0=LEN(ReferenceData!$CH$2),"",ReferenceData!$CH$2),"")</f>
        <v>2/2017</v>
      </c>
      <c r="CI2" t="str">
        <f>IFERROR(IF(0=LEN(ReferenceData!$CI$2),"",ReferenceData!$CI$2),"")</f>
        <v>1/2017</v>
      </c>
      <c r="CJ2" t="str">
        <f>IFERROR(IF(0=LEN(ReferenceData!$CJ$2),"",ReferenceData!$CJ$2),"")</f>
        <v>12/2016</v>
      </c>
      <c r="CK2" t="str">
        <f>IFERROR(IF(0=LEN(ReferenceData!$CK$2),"",ReferenceData!$CK$2),"")</f>
        <v>11/2016</v>
      </c>
    </row>
    <row r="3" spans="1:89" x14ac:dyDescent="0.25">
      <c r="A3" t="str">
        <f>IFERROR(IF(0=LEN(ReferenceData!$A$3),"",ReferenceData!$A$3),"")</f>
        <v>Singapore Port Statistics</v>
      </c>
      <c r="B3" t="str">
        <f>IFERROR(IF(0=LEN(ReferenceData!$B$3),"",ReferenceData!$B$3),"")</f>
        <v/>
      </c>
      <c r="C3" t="str">
        <f>IFERROR(IF(0=LEN(ReferenceData!$C$3),"",ReferenceData!$C$3),"")</f>
        <v/>
      </c>
      <c r="D3" t="str">
        <f>IFERROR(IF(0=LEN(ReferenceData!$D$3),"",ReferenceData!$D$3),"")</f>
        <v/>
      </c>
      <c r="E3" t="str">
        <f>IFERROR(IF(0=LEN(ReferenceData!$E$3),"",ReferenceData!$E$3),"")</f>
        <v>Heading</v>
      </c>
      <c r="F3" t="str">
        <f>IFERROR(IF(0=LEN(ReferenceData!$F$3),"",ReferenceData!$F$3),"")</f>
        <v/>
      </c>
      <c r="G3" t="str">
        <f>IFERROR(IF(0=LEN(ReferenceData!$G$3),"",ReferenceData!$G$3),"")</f>
        <v/>
      </c>
      <c r="H3" t="str">
        <f>IFERROR(IF(0=LEN(ReferenceData!$H$3),"",ReferenceData!$H$3),"")</f>
        <v/>
      </c>
      <c r="I3" t="str">
        <f>IFERROR(IF(0=LEN(ReferenceData!$I$3),"",ReferenceData!$I$3),"")</f>
        <v/>
      </c>
      <c r="J3" t="str">
        <f>IFERROR(IF(0=LEN(ReferenceData!$J$3),"",ReferenceData!$J$3),"")</f>
        <v/>
      </c>
      <c r="K3" t="str">
        <f>IFERROR(IF(0=LEN(ReferenceData!$K$3),"",ReferenceData!$K$3),"")</f>
        <v/>
      </c>
      <c r="L3" t="str">
        <f>IFERROR(IF(0=LEN(ReferenceData!$L$3),"",ReferenceData!$L$3),"")</f>
        <v/>
      </c>
      <c r="M3" t="str">
        <f>IFERROR(IF(0=LEN(ReferenceData!$M$3),"",ReferenceData!$M$3),"")</f>
        <v/>
      </c>
      <c r="N3" t="str">
        <f>IFERROR(IF(0=LEN(ReferenceData!$N$3),"",ReferenceData!$N$3),"")</f>
        <v/>
      </c>
      <c r="O3" t="str">
        <f>IFERROR(IF(0=LEN(ReferenceData!$O$3),"",ReferenceData!$O$3),"")</f>
        <v/>
      </c>
      <c r="P3" t="str">
        <f>IFERROR(IF(0=LEN(ReferenceData!$P$3),"",ReferenceData!$P$3),"")</f>
        <v/>
      </c>
      <c r="Q3" t="str">
        <f>IFERROR(IF(0=LEN(ReferenceData!$Q$3),"",ReferenceData!$Q$3),"")</f>
        <v/>
      </c>
      <c r="R3" t="str">
        <f>IFERROR(IF(0=LEN(ReferenceData!$R$3),"",ReferenceData!$R$3),"")</f>
        <v/>
      </c>
      <c r="S3" t="str">
        <f>IFERROR(IF(0=LEN(ReferenceData!$S$3),"",ReferenceData!$S$3),"")</f>
        <v/>
      </c>
      <c r="T3" t="str">
        <f>IFERROR(IF(0=LEN(ReferenceData!$T$3),"",ReferenceData!$T$3),"")</f>
        <v/>
      </c>
      <c r="U3" t="str">
        <f>IFERROR(IF(0=LEN(ReferenceData!$U$3),"",ReferenceData!$U$3),"")</f>
        <v/>
      </c>
      <c r="V3" t="str">
        <f>IFERROR(IF(0=LEN(ReferenceData!$V$3),"",ReferenceData!$V$3),"")</f>
        <v/>
      </c>
      <c r="W3" t="str">
        <f>IFERROR(IF(0=LEN(ReferenceData!$W$3),"",ReferenceData!$W$3),"")</f>
        <v/>
      </c>
      <c r="X3" t="str">
        <f>IFERROR(IF(0=LEN(ReferenceData!$X$3),"",ReferenceData!$X$3),"")</f>
        <v/>
      </c>
      <c r="Y3" t="str">
        <f>IFERROR(IF(0=LEN(ReferenceData!$Y$3),"",ReferenceData!$Y$3),"")</f>
        <v/>
      </c>
      <c r="Z3" t="str">
        <f>IFERROR(IF(0=LEN(ReferenceData!$Z$3),"",ReferenceData!$Z$3),"")</f>
        <v/>
      </c>
      <c r="AA3" t="str">
        <f>IFERROR(IF(0=LEN(ReferenceData!$AA$3),"",ReferenceData!$AA$3),"")</f>
        <v/>
      </c>
      <c r="AB3" t="str">
        <f>IFERROR(IF(0=LEN(ReferenceData!$AB$3),"",ReferenceData!$AB$3),"")</f>
        <v/>
      </c>
      <c r="AC3" t="str">
        <f>IFERROR(IF(0=LEN(ReferenceData!$AC$3),"",ReferenceData!$AC$3),"")</f>
        <v/>
      </c>
      <c r="AD3" t="str">
        <f>IFERROR(IF(0=LEN(ReferenceData!$AD$3),"",ReferenceData!$AD$3),"")</f>
        <v/>
      </c>
      <c r="AE3" t="str">
        <f>IFERROR(IF(0=LEN(ReferenceData!$AE$3),"",ReferenceData!$AE$3),"")</f>
        <v/>
      </c>
      <c r="AF3" t="str">
        <f>IFERROR(IF(0=LEN(ReferenceData!$AF$3),"",ReferenceData!$AF$3),"")</f>
        <v/>
      </c>
      <c r="AG3" t="str">
        <f>IFERROR(IF(0=LEN(ReferenceData!$AG$3),"",ReferenceData!$AG$3),"")</f>
        <v/>
      </c>
      <c r="AH3" t="str">
        <f>IFERROR(IF(0=LEN(ReferenceData!$AH$3),"",ReferenceData!$AH$3),"")</f>
        <v/>
      </c>
      <c r="AI3" t="str">
        <f>IFERROR(IF(0=LEN(ReferenceData!$AI$3),"",ReferenceData!$AI$3),"")</f>
        <v/>
      </c>
      <c r="AJ3" t="str">
        <f>IFERROR(IF(0=LEN(ReferenceData!$AJ$3),"",ReferenceData!$AJ$3),"")</f>
        <v/>
      </c>
      <c r="AK3" t="str">
        <f>IFERROR(IF(0=LEN(ReferenceData!$AK$3),"",ReferenceData!$AK$3),"")</f>
        <v/>
      </c>
      <c r="AL3" t="str">
        <f>IFERROR(IF(0=LEN(ReferenceData!$AL$3),"",ReferenceData!$AL$3),"")</f>
        <v/>
      </c>
      <c r="AM3" t="str">
        <f>IFERROR(IF(0=LEN(ReferenceData!$AM$3),"",ReferenceData!$AM$3),"")</f>
        <v/>
      </c>
      <c r="AN3" t="str">
        <f>IFERROR(IF(0=LEN(ReferenceData!$AN$3),"",ReferenceData!$AN$3),"")</f>
        <v/>
      </c>
      <c r="AO3" t="str">
        <f>IFERROR(IF(0=LEN(ReferenceData!$AO$3),"",ReferenceData!$AO$3),"")</f>
        <v/>
      </c>
      <c r="AP3" t="str">
        <f>IFERROR(IF(0=LEN(ReferenceData!$AP$3),"",ReferenceData!$AP$3),"")</f>
        <v/>
      </c>
      <c r="AQ3" t="str">
        <f>IFERROR(IF(0=LEN(ReferenceData!$AQ$3),"",ReferenceData!$AQ$3),"")</f>
        <v/>
      </c>
      <c r="AR3" t="str">
        <f>IFERROR(IF(0=LEN(ReferenceData!$AR$3),"",ReferenceData!$AR$3),"")</f>
        <v/>
      </c>
      <c r="AS3" t="str">
        <f>IFERROR(IF(0=LEN(ReferenceData!$AS$3),"",ReferenceData!$AS$3),"")</f>
        <v/>
      </c>
      <c r="AT3" t="str">
        <f>IFERROR(IF(0=LEN(ReferenceData!$AT$3),"",ReferenceData!$AT$3),"")</f>
        <v/>
      </c>
      <c r="AU3" t="str">
        <f>IFERROR(IF(0=LEN(ReferenceData!$AU$3),"",ReferenceData!$AU$3),"")</f>
        <v/>
      </c>
      <c r="AV3" t="str">
        <f>IFERROR(IF(0=LEN(ReferenceData!$AV$3),"",ReferenceData!$AV$3),"")</f>
        <v/>
      </c>
      <c r="AW3" t="str">
        <f>IFERROR(IF(0=LEN(ReferenceData!$AW$3),"",ReferenceData!$AW$3),"")</f>
        <v/>
      </c>
      <c r="AX3" t="str">
        <f>IFERROR(IF(0=LEN(ReferenceData!$AX$3),"",ReferenceData!$AX$3),"")</f>
        <v/>
      </c>
      <c r="AY3" t="str">
        <f>IFERROR(IF(0=LEN(ReferenceData!$AY$3),"",ReferenceData!$AY$3),"")</f>
        <v/>
      </c>
      <c r="AZ3" t="str">
        <f>IFERROR(IF(0=LEN(ReferenceData!$AZ$3),"",ReferenceData!$AZ$3),"")</f>
        <v/>
      </c>
      <c r="BA3" t="str">
        <f>IFERROR(IF(0=LEN(ReferenceData!$BA$3),"",ReferenceData!$BA$3),"")</f>
        <v/>
      </c>
      <c r="BB3" t="str">
        <f>IFERROR(IF(0=LEN(ReferenceData!$BB$3),"",ReferenceData!$BB$3),"")</f>
        <v/>
      </c>
      <c r="BC3" t="str">
        <f>IFERROR(IF(0=LEN(ReferenceData!$BC$3),"",ReferenceData!$BC$3),"")</f>
        <v/>
      </c>
      <c r="BD3" t="str">
        <f>IFERROR(IF(0=LEN(ReferenceData!$BD$3),"",ReferenceData!$BD$3),"")</f>
        <v/>
      </c>
      <c r="BE3" t="str">
        <f>IFERROR(IF(0=LEN(ReferenceData!$BE$3),"",ReferenceData!$BE$3),"")</f>
        <v/>
      </c>
      <c r="BF3" t="str">
        <f>IFERROR(IF(0=LEN(ReferenceData!$BF$3),"",ReferenceData!$BF$3),"")</f>
        <v/>
      </c>
      <c r="BG3" t="str">
        <f>IFERROR(IF(0=LEN(ReferenceData!$BG$3),"",ReferenceData!$BG$3),"")</f>
        <v/>
      </c>
      <c r="BH3" t="str">
        <f>IFERROR(IF(0=LEN(ReferenceData!$BH$3),"",ReferenceData!$BH$3),"")</f>
        <v/>
      </c>
      <c r="BI3" t="str">
        <f>IFERROR(IF(0=LEN(ReferenceData!$BI$3),"",ReferenceData!$BI$3),"")</f>
        <v/>
      </c>
      <c r="BJ3" t="str">
        <f>IFERROR(IF(0=LEN(ReferenceData!$BJ$3),"",ReferenceData!$BJ$3),"")</f>
        <v/>
      </c>
      <c r="BK3" t="str">
        <f>IFERROR(IF(0=LEN(ReferenceData!$BK$3),"",ReferenceData!$BK$3),"")</f>
        <v/>
      </c>
      <c r="BL3" t="str">
        <f>IFERROR(IF(0=LEN(ReferenceData!$BL$3),"",ReferenceData!$BL$3),"")</f>
        <v/>
      </c>
      <c r="BM3" t="str">
        <f>IFERROR(IF(0=LEN(ReferenceData!$BM$3),"",ReferenceData!$BM$3),"")</f>
        <v/>
      </c>
      <c r="BN3" t="str">
        <f>IFERROR(IF(0=LEN(ReferenceData!$BN$3),"",ReferenceData!$BN$3),"")</f>
        <v/>
      </c>
      <c r="BO3" t="str">
        <f>IFERROR(IF(0=LEN(ReferenceData!$BO$3),"",ReferenceData!$BO$3),"")</f>
        <v/>
      </c>
      <c r="BP3" t="str">
        <f>IFERROR(IF(0=LEN(ReferenceData!$BP$3),"",ReferenceData!$BP$3),"")</f>
        <v/>
      </c>
      <c r="BQ3" t="str">
        <f>IFERROR(IF(0=LEN(ReferenceData!$BQ$3),"",ReferenceData!$BQ$3),"")</f>
        <v/>
      </c>
      <c r="BR3" t="str">
        <f>IFERROR(IF(0=LEN(ReferenceData!$BR$3),"",ReferenceData!$BR$3),"")</f>
        <v/>
      </c>
      <c r="BS3" t="str">
        <f>IFERROR(IF(0=LEN(ReferenceData!$BS$3),"",ReferenceData!$BS$3),"")</f>
        <v/>
      </c>
      <c r="BT3" t="str">
        <f>IFERROR(IF(0=LEN(ReferenceData!$BT$3),"",ReferenceData!$BT$3),"")</f>
        <v/>
      </c>
      <c r="BU3" t="str">
        <f>IFERROR(IF(0=LEN(ReferenceData!$BU$3),"",ReferenceData!$BU$3),"")</f>
        <v/>
      </c>
      <c r="BV3" t="str">
        <f>IFERROR(IF(0=LEN(ReferenceData!$BV$3),"",ReferenceData!$BV$3),"")</f>
        <v/>
      </c>
      <c r="BW3" t="str">
        <f>IFERROR(IF(0=LEN(ReferenceData!$BW$3),"",ReferenceData!$BW$3),"")</f>
        <v/>
      </c>
      <c r="BX3" t="str">
        <f>IFERROR(IF(0=LEN(ReferenceData!$BX$3),"",ReferenceData!$BX$3),"")</f>
        <v/>
      </c>
      <c r="BY3" t="str">
        <f>IFERROR(IF(0=LEN(ReferenceData!$BY$3),"",ReferenceData!$BY$3),"")</f>
        <v/>
      </c>
      <c r="BZ3" t="str">
        <f>IFERROR(IF(0=LEN(ReferenceData!$BZ$3),"",ReferenceData!$BZ$3),"")</f>
        <v/>
      </c>
      <c r="CA3" t="str">
        <f>IFERROR(IF(0=LEN(ReferenceData!$CA$3),"",ReferenceData!$CA$3),"")</f>
        <v/>
      </c>
      <c r="CB3" t="str">
        <f>IFERROR(IF(0=LEN(ReferenceData!$CB$3),"",ReferenceData!$CB$3),"")</f>
        <v/>
      </c>
      <c r="CC3" t="str">
        <f>IFERROR(IF(0=LEN(ReferenceData!$CC$3),"",ReferenceData!$CC$3),"")</f>
        <v/>
      </c>
      <c r="CD3" t="str">
        <f>IFERROR(IF(0=LEN(ReferenceData!$CD$3),"",ReferenceData!$CD$3),"")</f>
        <v/>
      </c>
      <c r="CE3" t="str">
        <f>IFERROR(IF(0=LEN(ReferenceData!$CE$3),"",ReferenceData!$CE$3),"")</f>
        <v/>
      </c>
      <c r="CF3" t="str">
        <f>IFERROR(IF(0=LEN(ReferenceData!$CF$3),"",ReferenceData!$CF$3),"")</f>
        <v/>
      </c>
      <c r="CG3" t="str">
        <f>IFERROR(IF(0=LEN(ReferenceData!$CG$3),"",ReferenceData!$CG$3),"")</f>
        <v/>
      </c>
      <c r="CH3" t="str">
        <f>IFERROR(IF(0=LEN(ReferenceData!$CH$3),"",ReferenceData!$CH$3),"")</f>
        <v/>
      </c>
      <c r="CI3" t="str">
        <f>IFERROR(IF(0=LEN(ReferenceData!$CI$3),"",ReferenceData!$CI$3),"")</f>
        <v/>
      </c>
      <c r="CJ3" t="str">
        <f>IFERROR(IF(0=LEN(ReferenceData!$CJ$3),"",ReferenceData!$CJ$3),"")</f>
        <v/>
      </c>
      <c r="CK3" t="str">
        <f>IFERROR(IF(0=LEN(ReferenceData!$CK$3),"",ReferenceData!$CK$3),"")</f>
        <v/>
      </c>
    </row>
    <row r="4" spans="1:89" x14ac:dyDescent="0.25">
      <c r="A4" t="str">
        <f>IFERROR(IF(0=LEN(ReferenceData!$A$4),"",ReferenceData!$A$4),"")</f>
        <v xml:space="preserve">    Singapore Port Container Throughput (000 TEU)</v>
      </c>
      <c r="B4" t="str">
        <f>IFERROR(IF(0=LEN(ReferenceData!$B$4),"",ReferenceData!$B$4),"")</f>
        <v>SICTTOTL Index</v>
      </c>
      <c r="C4" t="str">
        <f>IFERROR(IF(0=LEN(ReferenceData!$C$4),"",ReferenceData!$C$4),"")</f>
        <v>PX385</v>
      </c>
      <c r="D4" t="str">
        <f>IFERROR(IF(0=LEN(ReferenceData!$D$4),"",ReferenceData!$D$4),"")</f>
        <v>INTERVAL_SUM</v>
      </c>
      <c r="E4" t="str">
        <f>IFERROR(IF(0=LEN(ReferenceData!$E$4),"",ReferenceData!$E$4),"")</f>
        <v>Dynamic</v>
      </c>
      <c r="F4" t="str">
        <f ca="1">IFERROR(IF(0=LEN(ReferenceData!$F$4),"",ReferenceData!$F$4),"")</f>
        <v/>
      </c>
      <c r="G4">
        <f ca="1">IFERROR(IF(0=LEN(ReferenceData!$G$4),"",ReferenceData!$G$4),"")</f>
        <v>3206.65</v>
      </c>
      <c r="H4">
        <f ca="1">IFERROR(IF(0=LEN(ReferenceData!$H$4),"",ReferenceData!$H$4),"")</f>
        <v>3328.44</v>
      </c>
      <c r="I4">
        <f ca="1">IFERROR(IF(0=LEN(ReferenceData!$I$4),"",ReferenceData!$I$4),"")</f>
        <v>3431.27</v>
      </c>
      <c r="J4">
        <f ca="1">IFERROR(IF(0=LEN(ReferenceData!$J$4),"",ReferenceData!$J$4),"")</f>
        <v>3345.55</v>
      </c>
      <c r="K4">
        <f ca="1">IFERROR(IF(0=LEN(ReferenceData!$K$4),"",ReferenceData!$K$4),"")</f>
        <v>3409.7</v>
      </c>
      <c r="L4">
        <f ca="1">IFERROR(IF(0=LEN(ReferenceData!$L$4),"",ReferenceData!$L$4),"")</f>
        <v>3264.67</v>
      </c>
      <c r="M4">
        <f ca="1">IFERROR(IF(0=LEN(ReferenceData!$M$4),"",ReferenceData!$M$4),"")</f>
        <v>3335.46</v>
      </c>
      <c r="N4">
        <f ca="1">IFERROR(IF(0=LEN(ReferenceData!$N$4),"",ReferenceData!$N$4),"")</f>
        <v>2684.43</v>
      </c>
      <c r="O4">
        <f ca="1">IFERROR(IF(0=LEN(ReferenceData!$O$4),"",ReferenceData!$O$4),"")</f>
        <v>2989.5</v>
      </c>
      <c r="P4">
        <f ca="1">IFERROR(IF(0=LEN(ReferenceData!$P$4),"",ReferenceData!$P$4),"")</f>
        <v>3252.9</v>
      </c>
      <c r="Q4">
        <f ca="1">IFERROR(IF(0=LEN(ReferenceData!$Q$4),"",ReferenceData!$Q$4),"")</f>
        <v>2955.47</v>
      </c>
      <c r="R4">
        <f ca="1">IFERROR(IF(0=LEN(ReferenceData!$R$4),"",ReferenceData!$R$4),"")</f>
        <v>3061.84</v>
      </c>
      <c r="S4">
        <f ca="1">IFERROR(IF(0=LEN(ReferenceData!$S$4),"",ReferenceData!$S$4),"")</f>
        <v>3063.77</v>
      </c>
      <c r="T4">
        <f ca="1">IFERROR(IF(0=LEN(ReferenceData!$T$4),"",ReferenceData!$T$4),"")</f>
        <v>3262.31</v>
      </c>
      <c r="U4">
        <f ca="1">IFERROR(IF(0=LEN(ReferenceData!$U$4),"",ReferenceData!$U$4),"")</f>
        <v>3286.33</v>
      </c>
      <c r="V4">
        <f ca="1">IFERROR(IF(0=LEN(ReferenceData!$V$4),"",ReferenceData!$V$4),"")</f>
        <v>3166.22975</v>
      </c>
      <c r="W4">
        <f ca="1">IFERROR(IF(0=LEN(ReferenceData!$W$4),"",ReferenceData!$W$4),"")</f>
        <v>3122.0102499999998</v>
      </c>
      <c r="X4">
        <f ca="1">IFERROR(IF(0=LEN(ReferenceData!$X$4),"",ReferenceData!$X$4),"")</f>
        <v>3042.01</v>
      </c>
      <c r="Y4">
        <f ca="1">IFERROR(IF(0=LEN(ReferenceData!$Y$4),"",ReferenceData!$Y$4),"")</f>
        <v>3089.48</v>
      </c>
      <c r="Z4">
        <f ca="1">IFERROR(IF(0=LEN(ReferenceData!$Z$4),"",ReferenceData!$Z$4),"")</f>
        <v>2843.53</v>
      </c>
      <c r="AA4">
        <f ca="1">IFERROR(IF(0=LEN(ReferenceData!$AA$4),"",ReferenceData!$AA$4),"")</f>
        <v>3143.71</v>
      </c>
      <c r="AB4">
        <f ca="1">IFERROR(IF(0=LEN(ReferenceData!$AB$4),"",ReferenceData!$AB$4),"")</f>
        <v>3292.21875</v>
      </c>
      <c r="AC4">
        <f ca="1">IFERROR(IF(0=LEN(ReferenceData!$AC$4),"",ReferenceData!$AC$4),"")</f>
        <v>3149.9814999999999</v>
      </c>
      <c r="AD4">
        <f ca="1">IFERROR(IF(0=LEN(ReferenceData!$AD$4),"",ReferenceData!$AD$4),"")</f>
        <v>2974.931</v>
      </c>
      <c r="AE4">
        <f ca="1">IFERROR(IF(0=LEN(ReferenceData!$AE$4),"",ReferenceData!$AE$4),"")</f>
        <v>3117.3595</v>
      </c>
      <c r="AF4">
        <f ca="1">IFERROR(IF(0=LEN(ReferenceData!$AF$4),"",ReferenceData!$AF$4),"")</f>
        <v>3182.2809999999999</v>
      </c>
      <c r="AG4">
        <f ca="1">IFERROR(IF(0=LEN(ReferenceData!$AG$4),"",ReferenceData!$AG$4),"")</f>
        <v>3123.5594999999998</v>
      </c>
      <c r="AH4">
        <f ca="1">IFERROR(IF(0=LEN(ReferenceData!$AH$4),"",ReferenceData!$AH$4),"")</f>
        <v>3114.5065</v>
      </c>
      <c r="AI4">
        <f ca="1">IFERROR(IF(0=LEN(ReferenceData!$AI$4),"",ReferenceData!$AI$4),"")</f>
        <v>3216.90425</v>
      </c>
      <c r="AJ4">
        <f ca="1">IFERROR(IF(0=LEN(ReferenceData!$AJ$4),"",ReferenceData!$AJ$4),"")</f>
        <v>3091.2807499999999</v>
      </c>
      <c r="AK4">
        <f ca="1">IFERROR(IF(0=LEN(ReferenceData!$AK$4),"",ReferenceData!$AK$4),"")</f>
        <v>3270.5747500000002</v>
      </c>
      <c r="AL4">
        <f ca="1">IFERROR(IF(0=LEN(ReferenceData!$AL$4),"",ReferenceData!$AL$4),"")</f>
        <v>2881.5867499999999</v>
      </c>
      <c r="AM4">
        <f ca="1">IFERROR(IF(0=LEN(ReferenceData!$AM$4),"",ReferenceData!$AM$4),"")</f>
        <v>3156.0217499999999</v>
      </c>
      <c r="AN4">
        <f ca="1">IFERROR(IF(0=LEN(ReferenceData!$AN$4),"",ReferenceData!$AN$4),"")</f>
        <v>3261.8344999999999</v>
      </c>
      <c r="AO4">
        <f ca="1">IFERROR(IF(0=LEN(ReferenceData!$AO$4),"",ReferenceData!$AO$4),"")</f>
        <v>3134.6464999999998</v>
      </c>
      <c r="AP4">
        <f ca="1">IFERROR(IF(0=LEN(ReferenceData!$AP$4),"",ReferenceData!$AP$4),"")</f>
        <v>3238.6937499999999</v>
      </c>
      <c r="AQ4">
        <f ca="1">IFERROR(IF(0=LEN(ReferenceData!$AQ$4),"",ReferenceData!$AQ$4),"")</f>
        <v>3207.67175</v>
      </c>
      <c r="AR4">
        <f ca="1">IFERROR(IF(0=LEN(ReferenceData!$AR$4),"",ReferenceData!$AR$4),"")</f>
        <v>3174.6954999999998</v>
      </c>
      <c r="AS4">
        <f ca="1">IFERROR(IF(0=LEN(ReferenceData!$AS$4),"",ReferenceData!$AS$4),"")</f>
        <v>3016.32</v>
      </c>
      <c r="AT4">
        <f ca="1">IFERROR(IF(0=LEN(ReferenceData!$AT$4),"",ReferenceData!$AT$4),"")</f>
        <v>2907.67175</v>
      </c>
      <c r="AU4">
        <f ca="1">IFERROR(IF(0=LEN(ReferenceData!$AU$4),"",ReferenceData!$AU$4),"")</f>
        <v>2806.7204999999999</v>
      </c>
      <c r="AV4">
        <f ca="1">IFERROR(IF(0=LEN(ReferenceData!$AV$4),"",ReferenceData!$AV$4),"")</f>
        <v>2843.48425</v>
      </c>
      <c r="AW4">
        <f ca="1">IFERROR(IF(0=LEN(ReferenceData!$AW$4),"",ReferenceData!$AW$4),"")</f>
        <v>3197.87925</v>
      </c>
      <c r="AX4">
        <f ca="1">IFERROR(IF(0=LEN(ReferenceData!$AX$4),"",ReferenceData!$AX$4),"")</f>
        <v>2898.6867499999998</v>
      </c>
      <c r="AY4">
        <f ca="1">IFERROR(IF(0=LEN(ReferenceData!$AY$4),"",ReferenceData!$AY$4),"")</f>
        <v>3182.5992500000002</v>
      </c>
      <c r="AZ4">
        <f ca="1">IFERROR(IF(0=LEN(ReferenceData!$AZ$4),"",ReferenceData!$AZ$4),"")</f>
        <v>3200.1662500000002</v>
      </c>
      <c r="BA4">
        <f ca="1">IFERROR(IF(0=LEN(ReferenceData!$BA$4),"",ReferenceData!$BA$4),"")</f>
        <v>3267.6979999999999</v>
      </c>
      <c r="BB4">
        <f ca="1">IFERROR(IF(0=LEN(ReferenceData!$BB$4),"",ReferenceData!$BB$4),"")</f>
        <v>3234.3984999999998</v>
      </c>
      <c r="BC4">
        <f ca="1">IFERROR(IF(0=LEN(ReferenceData!$BC$4),"",ReferenceData!$BC$4),"")</f>
        <v>3093.8562499999998</v>
      </c>
      <c r="BD4">
        <f ca="1">IFERROR(IF(0=LEN(ReferenceData!$BD$4),"",ReferenceData!$BD$4),"")</f>
        <v>3133.7402499999998</v>
      </c>
      <c r="BE4">
        <f ca="1">IFERROR(IF(0=LEN(ReferenceData!$BE$4),"",ReferenceData!$BE$4),"")</f>
        <v>3235.3522499999999</v>
      </c>
      <c r="BF4">
        <f ca="1">IFERROR(IF(0=LEN(ReferenceData!$BF$4),"",ReferenceData!$BF$4),"")</f>
        <v>2996.9879999999998</v>
      </c>
      <c r="BG4">
        <f ca="1">IFERROR(IF(0=LEN(ReferenceData!$BG$4),"",ReferenceData!$BG$4),"")</f>
        <v>3137.7637500000001</v>
      </c>
      <c r="BH4">
        <f ca="1">IFERROR(IF(0=LEN(ReferenceData!$BH$4),"",ReferenceData!$BH$4),"")</f>
        <v>2992.1289999999999</v>
      </c>
      <c r="BI4">
        <f ca="1">IFERROR(IF(0=LEN(ReferenceData!$BI$4),"",ReferenceData!$BI$4),"")</f>
        <v>3163.9034999999999</v>
      </c>
      <c r="BJ4">
        <f ca="1">IFERROR(IF(0=LEN(ReferenceData!$BJ$4),"",ReferenceData!$BJ$4),"")</f>
        <v>2740.5304999999998</v>
      </c>
      <c r="BK4">
        <f ca="1">IFERROR(IF(0=LEN(ReferenceData!$BK$4),"",ReferenceData!$BK$4),"")</f>
        <v>2999.11</v>
      </c>
      <c r="BL4">
        <f ca="1">IFERROR(IF(0=LEN(ReferenceData!$BL$4),"",ReferenceData!$BL$4),"")</f>
        <v>3131.34575</v>
      </c>
      <c r="BM4">
        <f ca="1">IFERROR(IF(0=LEN(ReferenceData!$BM$4),"",ReferenceData!$BM$4),"")</f>
        <v>3014.70975</v>
      </c>
      <c r="BN4">
        <f ca="1">IFERROR(IF(0=LEN(ReferenceData!$BN$4),"",ReferenceData!$BN$4),"")</f>
        <v>3153.0627500000001</v>
      </c>
      <c r="BO4">
        <f ca="1">IFERROR(IF(0=LEN(ReferenceData!$BO$4),"",ReferenceData!$BO$4),"")</f>
        <v>2988.9324999999999</v>
      </c>
      <c r="BP4">
        <f ca="1">IFERROR(IF(0=LEN(ReferenceData!$BP$4),"",ReferenceData!$BP$4),"")</f>
        <v>3156.3420000000001</v>
      </c>
      <c r="BQ4">
        <f ca="1">IFERROR(IF(0=LEN(ReferenceData!$BQ$4),"",ReferenceData!$BQ$4),"")</f>
        <v>3133.5387500000002</v>
      </c>
      <c r="BR4">
        <f ca="1">IFERROR(IF(0=LEN(ReferenceData!$BR$4),"",ReferenceData!$BR$4),"")</f>
        <v>3058.6529999999998</v>
      </c>
      <c r="BS4">
        <f ca="1">IFERROR(IF(0=LEN(ReferenceData!$BS$4),"",ReferenceData!$BS$4),"")</f>
        <v>3182.8115499999999</v>
      </c>
      <c r="BT4">
        <f ca="1">IFERROR(IF(0=LEN(ReferenceData!$BT$4),"",ReferenceData!$BT$4),"")</f>
        <v>2915.2597999999998</v>
      </c>
      <c r="BU4">
        <f ca="1">IFERROR(IF(0=LEN(ReferenceData!$BU$4),"",ReferenceData!$BU$4),"")</f>
        <v>3048.8145</v>
      </c>
      <c r="BV4">
        <f ca="1">IFERROR(IF(0=LEN(ReferenceData!$BV$4),"",ReferenceData!$BV$4),"")</f>
        <v>2822.93</v>
      </c>
      <c r="BW4">
        <f ca="1">IFERROR(IF(0=LEN(ReferenceData!$BW$4),"",ReferenceData!$BW$4),"")</f>
        <v>2992.8809999999999</v>
      </c>
      <c r="BX4">
        <f ca="1">IFERROR(IF(0=LEN(ReferenceData!$BX$4),"",ReferenceData!$BX$4),"")</f>
        <v>2958.1412500000001</v>
      </c>
      <c r="BY4">
        <f ca="1">IFERROR(IF(0=LEN(ReferenceData!$BY$4),"",ReferenceData!$BY$4),"")</f>
        <v>2977.0702500000002</v>
      </c>
      <c r="BZ4">
        <f ca="1">IFERROR(IF(0=LEN(ReferenceData!$BZ$4),"",ReferenceData!$BZ$4),"")</f>
        <v>2957.1462499999998</v>
      </c>
      <c r="CA4">
        <f ca="1">IFERROR(IF(0=LEN(ReferenceData!$CA$4),"",ReferenceData!$CA$4),"")</f>
        <v>2800.0115000000001</v>
      </c>
      <c r="CB4">
        <f ca="1">IFERROR(IF(0=LEN(ReferenceData!$CB$4),"",ReferenceData!$CB$4),"")</f>
        <v>2947.3722499999999</v>
      </c>
      <c r="CC4">
        <f ca="1">IFERROR(IF(0=LEN(ReferenceData!$CC$4),"",ReferenceData!$CC$4),"")</f>
        <v>2876.9760000000001</v>
      </c>
      <c r="CD4">
        <f ca="1">IFERROR(IF(0=LEN(ReferenceData!$CD$4),"",ReferenceData!$CD$4),"")</f>
        <v>2822.4290000000001</v>
      </c>
      <c r="CE4">
        <f ca="1">IFERROR(IF(0=LEN(ReferenceData!$CE$4),"",ReferenceData!$CE$4),"")</f>
        <v>2990.915</v>
      </c>
      <c r="CF4">
        <f ca="1">IFERROR(IF(0=LEN(ReferenceData!$CF$4),"",ReferenceData!$CF$4),"")</f>
        <v>2724.4180000000001</v>
      </c>
      <c r="CG4">
        <f ca="1">IFERROR(IF(0=LEN(ReferenceData!$CG$4),"",ReferenceData!$CG$4),"")</f>
        <v>2691.61375</v>
      </c>
      <c r="CH4">
        <f ca="1">IFERROR(IF(0=LEN(ReferenceData!$CH$4),"",ReferenceData!$CH$4),"")</f>
        <v>2297.1932499999998</v>
      </c>
      <c r="CI4">
        <f ca="1">IFERROR(IF(0=LEN(ReferenceData!$CI$4),"",ReferenceData!$CI$4),"")</f>
        <v>2623.2694999999999</v>
      </c>
      <c r="CJ4">
        <f ca="1">IFERROR(IF(0=LEN(ReferenceData!$CJ$4),"",ReferenceData!$CJ$4),"")</f>
        <v>2765.4637499999999</v>
      </c>
      <c r="CK4">
        <f ca="1">IFERROR(IF(0=LEN(ReferenceData!$CK$4),"",ReferenceData!$CK$4),"")</f>
        <v>2573.0637499999998</v>
      </c>
    </row>
    <row r="5" spans="1:89" x14ac:dyDescent="0.25">
      <c r="A5" t="str">
        <f>IFERROR(IF(0=LEN(ReferenceData!$A$5),"",ReferenceData!$A$5),"")</f>
        <v xml:space="preserve">    Total Cargo (000 tonnes)</v>
      </c>
      <c r="B5" t="str">
        <f>IFERROR(IF(0=LEN(ReferenceData!$B$5),"",ReferenceData!$B$5),"")</f>
        <v>SIVSCRGO Index</v>
      </c>
      <c r="C5" t="str">
        <f>IFERROR(IF(0=LEN(ReferenceData!$C$5),"",ReferenceData!$C$5),"")</f>
        <v>PR005</v>
      </c>
      <c r="D5" t="str">
        <f>IFERROR(IF(0=LEN(ReferenceData!$D$5),"",ReferenceData!$D$5),"")</f>
        <v>PX_LAST</v>
      </c>
      <c r="E5" t="str">
        <f>IFERROR(IF(0=LEN(ReferenceData!$E$5),"",ReferenceData!$E$5),"")</f>
        <v>Dynamic</v>
      </c>
      <c r="F5" t="str">
        <f ca="1">IFERROR(IF(0=LEN(ReferenceData!$F$5),"",ReferenceData!$F$5),"")</f>
        <v/>
      </c>
      <c r="G5">
        <f ca="1">IFERROR(IF(0=LEN(ReferenceData!$G$5),"",ReferenceData!$G$5),"")</f>
        <v>47652.45</v>
      </c>
      <c r="H5">
        <f ca="1">IFERROR(IF(0=LEN(ReferenceData!$H$5),"",ReferenceData!$H$5),"")</f>
        <v>50068.4</v>
      </c>
      <c r="I5">
        <f ca="1">IFERROR(IF(0=LEN(ReferenceData!$I$5),"",ReferenceData!$I$5),"")</f>
        <v>51556.34</v>
      </c>
      <c r="J5">
        <f ca="1">IFERROR(IF(0=LEN(ReferenceData!$J$5),"",ReferenceData!$J$5),"")</f>
        <v>49414.52</v>
      </c>
      <c r="K5">
        <f ca="1">IFERROR(IF(0=LEN(ReferenceData!$K$5),"",ReferenceData!$K$5),"")</f>
        <v>48185.599999999999</v>
      </c>
      <c r="L5">
        <f ca="1">IFERROR(IF(0=LEN(ReferenceData!$L$5),"",ReferenceData!$L$5),"")</f>
        <v>49521.82372</v>
      </c>
      <c r="M5">
        <f ca="1">IFERROR(IF(0=LEN(ReferenceData!$M$5),"",ReferenceData!$M$5),"")</f>
        <v>50523.256399999998</v>
      </c>
      <c r="N5">
        <f ca="1">IFERROR(IF(0=LEN(ReferenceData!$N$5),"",ReferenceData!$N$5),"")</f>
        <v>45592.91</v>
      </c>
      <c r="O5">
        <f ca="1">IFERROR(IF(0=LEN(ReferenceData!$O$5),"",ReferenceData!$O$5),"")</f>
        <v>47812.407529999997</v>
      </c>
      <c r="P5">
        <f ca="1">IFERROR(IF(0=LEN(ReferenceData!$P$5),"",ReferenceData!$P$5),"")</f>
        <v>49057.031759999998</v>
      </c>
      <c r="Q5">
        <f ca="1">IFERROR(IF(0=LEN(ReferenceData!$Q$5),"",ReferenceData!$Q$5),"")</f>
        <v>46726.81798</v>
      </c>
      <c r="R5">
        <f ca="1">IFERROR(IF(0=LEN(ReferenceData!$R$5),"",ReferenceData!$R$5),"")</f>
        <v>47054.740989999998</v>
      </c>
      <c r="S5">
        <f ca="1">IFERROR(IF(0=LEN(ReferenceData!$S$5),"",ReferenceData!$S$5),"")</f>
        <v>46599.248200000002</v>
      </c>
      <c r="T5">
        <f ca="1">IFERROR(IF(0=LEN(ReferenceData!$T$5),"",ReferenceData!$T$5),"")</f>
        <v>49200.519679999998</v>
      </c>
      <c r="U5">
        <f ca="1">IFERROR(IF(0=LEN(ReferenceData!$U$5),"",ReferenceData!$U$5),"")</f>
        <v>50927.326059999999</v>
      </c>
      <c r="V5">
        <f ca="1">IFERROR(IF(0=LEN(ReferenceData!$V$5),"",ReferenceData!$V$5),"")</f>
        <v>48278.747519999997</v>
      </c>
      <c r="W5">
        <f ca="1">IFERROR(IF(0=LEN(ReferenceData!$W$5),"",ReferenceData!$W$5),"")</f>
        <v>47283.1</v>
      </c>
      <c r="X5">
        <f ca="1">IFERROR(IF(0=LEN(ReferenceData!$X$5),"",ReferenceData!$X$5),"")</f>
        <v>47132.138550000003</v>
      </c>
      <c r="Y5">
        <f ca="1">IFERROR(IF(0=LEN(ReferenceData!$Y$5),"",ReferenceData!$Y$5),"")</f>
        <v>48660.106939999998</v>
      </c>
      <c r="Z5">
        <f ca="1">IFERROR(IF(0=LEN(ReferenceData!$Z$5),"",ReferenceData!$Z$5),"")</f>
        <v>45204.98083</v>
      </c>
      <c r="AA5">
        <f ca="1">IFERROR(IF(0=LEN(ReferenceData!$AA$5),"",ReferenceData!$AA$5),"")</f>
        <v>52095.99</v>
      </c>
      <c r="AB5">
        <f ca="1">IFERROR(IF(0=LEN(ReferenceData!$AB$5),"",ReferenceData!$AB$5),"")</f>
        <v>48682.486599999997</v>
      </c>
      <c r="AC5">
        <f ca="1">IFERROR(IF(0=LEN(ReferenceData!$AC$5),"",ReferenceData!$AC$5),"")</f>
        <v>52126.287349999999</v>
      </c>
      <c r="AD5">
        <f ca="1">IFERROR(IF(0=LEN(ReferenceData!$AD$5),"",ReferenceData!$AD$5),"")</f>
        <v>48764.376380000002</v>
      </c>
      <c r="AE5">
        <f ca="1">IFERROR(IF(0=LEN(ReferenceData!$AE$5),"",ReferenceData!$AE$5),"")</f>
        <v>48263.52908</v>
      </c>
      <c r="AF5">
        <f ca="1">IFERROR(IF(0=LEN(ReferenceData!$AF$5),"",ReferenceData!$AF$5),"")</f>
        <v>49773.360820000002</v>
      </c>
      <c r="AG5">
        <f ca="1">IFERROR(IF(0=LEN(ReferenceData!$AG$5),"",ReferenceData!$AG$5),"")</f>
        <v>50446.904970000003</v>
      </c>
      <c r="AH5">
        <f ca="1">IFERROR(IF(0=LEN(ReferenceData!$AH$5),"",ReferenceData!$AH$5),"")</f>
        <v>48768.762190000001</v>
      </c>
      <c r="AI5">
        <f ca="1">IFERROR(IF(0=LEN(ReferenceData!$AI$5),"",ReferenceData!$AI$5),"")</f>
        <v>51385.096640000003</v>
      </c>
      <c r="AJ5">
        <f ca="1">IFERROR(IF(0=LEN(ReferenceData!$AJ$5),"",ReferenceData!$AJ$5),"")</f>
        <v>50261.30702</v>
      </c>
      <c r="AK5">
        <f ca="1">IFERROR(IF(0=LEN(ReferenceData!$AK$5),"",ReferenceData!$AK$5),"")</f>
        <v>52683.367030000001</v>
      </c>
      <c r="AL5">
        <f ca="1">IFERROR(IF(0=LEN(ReferenceData!$AL$5),"",ReferenceData!$AL$5),"")</f>
        <v>47445.234700000001</v>
      </c>
      <c r="AM5">
        <f ca="1">IFERROR(IF(0=LEN(ReferenceData!$AM$5),"",ReferenceData!$AM$5),"")</f>
        <v>51041.986969999998</v>
      </c>
      <c r="AN5">
        <f ca="1">IFERROR(IF(0=LEN(ReferenceData!$AN$5),"",ReferenceData!$AN$5),"")</f>
        <v>49976.493920000001</v>
      </c>
      <c r="AO5">
        <f ca="1">IFERROR(IF(0=LEN(ReferenceData!$AO$5),"",ReferenceData!$AO$5),"")</f>
        <v>49760.119639999997</v>
      </c>
      <c r="AP5">
        <f ca="1">IFERROR(IF(0=LEN(ReferenceData!$AP$5),"",ReferenceData!$AP$5),"")</f>
        <v>50058.542459999997</v>
      </c>
      <c r="AQ5">
        <f ca="1">IFERROR(IF(0=LEN(ReferenceData!$AQ$5),"",ReferenceData!$AQ$5),"")</f>
        <v>49197.255929999999</v>
      </c>
      <c r="AR5">
        <f ca="1">IFERROR(IF(0=LEN(ReferenceData!$AR$5),"",ReferenceData!$AR$5),"")</f>
        <v>50448.108030000003</v>
      </c>
      <c r="AS5">
        <f ca="1">IFERROR(IF(0=LEN(ReferenceData!$AS$5),"",ReferenceData!$AS$5),"")</f>
        <v>48752.143029999999</v>
      </c>
      <c r="AT5">
        <f ca="1">IFERROR(IF(0=LEN(ReferenceData!$AT$5),"",ReferenceData!$AT$5),"")</f>
        <v>48163.700210000003</v>
      </c>
      <c r="AU5">
        <f ca="1">IFERROR(IF(0=LEN(ReferenceData!$AU$5),"",ReferenceData!$AU$5),"")</f>
        <v>44620.530980000003</v>
      </c>
      <c r="AV5">
        <f ca="1">IFERROR(IF(0=LEN(ReferenceData!$AV$5),"",ReferenceData!$AV$5),"")</f>
        <v>47611.050260000004</v>
      </c>
      <c r="AW5">
        <f ca="1">IFERROR(IF(0=LEN(ReferenceData!$AW$5),"",ReferenceData!$AW$5),"")</f>
        <v>53344.501109999997</v>
      </c>
      <c r="AX5">
        <f ca="1">IFERROR(IF(0=LEN(ReferenceData!$AX$5),"",ReferenceData!$AX$5),"")</f>
        <v>47761.082009999998</v>
      </c>
      <c r="AY5">
        <f ca="1">IFERROR(IF(0=LEN(ReferenceData!$AY$5),"",ReferenceData!$AY$5),"")</f>
        <v>51044.72795</v>
      </c>
      <c r="AZ5">
        <f ca="1">IFERROR(IF(0=LEN(ReferenceData!$AZ$5),"",ReferenceData!$AZ$5),"")</f>
        <v>53177.933120000002</v>
      </c>
      <c r="BA5">
        <f ca="1">IFERROR(IF(0=LEN(ReferenceData!$BA$5),"",ReferenceData!$BA$5),"")</f>
        <v>52378.800179999998</v>
      </c>
      <c r="BB5">
        <f ca="1">IFERROR(IF(0=LEN(ReferenceData!$BB$5),"",ReferenceData!$BB$5),"")</f>
        <v>52557.720099999999</v>
      </c>
      <c r="BC5">
        <f ca="1">IFERROR(IF(0=LEN(ReferenceData!$BC$5),"",ReferenceData!$BC$5),"")</f>
        <v>49785.191780000001</v>
      </c>
      <c r="BD5">
        <f ca="1">IFERROR(IF(0=LEN(ReferenceData!$BD$5),"",ReferenceData!$BD$5),"")</f>
        <v>51066.407550000004</v>
      </c>
      <c r="BE5">
        <f ca="1">IFERROR(IF(0=LEN(ReferenceData!$BE$5),"",ReferenceData!$BE$5),"")</f>
        <v>52124.607989999997</v>
      </c>
      <c r="BF5">
        <f ca="1">IFERROR(IF(0=LEN(ReferenceData!$BF$5),"",ReferenceData!$BF$5),"")</f>
        <v>53341.029829999999</v>
      </c>
      <c r="BG5">
        <f ca="1">IFERROR(IF(0=LEN(ReferenceData!$BG$5),"",ReferenceData!$BG$5),"")</f>
        <v>55848.525719999998</v>
      </c>
      <c r="BH5">
        <f ca="1">IFERROR(IF(0=LEN(ReferenceData!$BH$5),"",ReferenceData!$BH$5),"")</f>
        <v>54329.106639999998</v>
      </c>
      <c r="BI5">
        <f ca="1">IFERROR(IF(0=LEN(ReferenceData!$BI$5),"",ReferenceData!$BI$5),"")</f>
        <v>52019.685429999998</v>
      </c>
      <c r="BJ5">
        <f ca="1">IFERROR(IF(0=LEN(ReferenceData!$BJ$5),"",ReferenceData!$BJ$5),"")</f>
        <v>47962.136899999998</v>
      </c>
      <c r="BK5">
        <f ca="1">IFERROR(IF(0=LEN(ReferenceData!$BK$5),"",ReferenceData!$BK$5),"")</f>
        <v>51930.017249999997</v>
      </c>
      <c r="BL5">
        <f ca="1">IFERROR(IF(0=LEN(ReferenceData!$BL$5),"",ReferenceData!$BL$5),"")</f>
        <v>54278.837319999999</v>
      </c>
      <c r="BM5">
        <f ca="1">IFERROR(IF(0=LEN(ReferenceData!$BM$5),"",ReferenceData!$BM$5),"")</f>
        <v>51785.264770000002</v>
      </c>
      <c r="BN5">
        <f ca="1">IFERROR(IF(0=LEN(ReferenceData!$BN$5),"",ReferenceData!$BN$5),"")</f>
        <v>53547.046060000001</v>
      </c>
      <c r="BO5">
        <f ca="1">IFERROR(IF(0=LEN(ReferenceData!$BO$5),"",ReferenceData!$BO$5),"")</f>
        <v>50349.814290000002</v>
      </c>
      <c r="BP5">
        <f ca="1">IFERROR(IF(0=LEN(ReferenceData!$BP$5),"",ReferenceData!$BP$5),"")</f>
        <v>54838.209990000003</v>
      </c>
      <c r="BQ5">
        <f ca="1">IFERROR(IF(0=LEN(ReferenceData!$BQ$5),"",ReferenceData!$BQ$5),"")</f>
        <v>52268.76945</v>
      </c>
      <c r="BR5">
        <f ca="1">IFERROR(IF(0=LEN(ReferenceData!$BR$5),"",ReferenceData!$BR$5),"")</f>
        <v>51768.089399999997</v>
      </c>
      <c r="BS5">
        <f ca="1">IFERROR(IF(0=LEN(ReferenceData!$BS$5),"",ReferenceData!$BS$5),"")</f>
        <v>53372.096389999999</v>
      </c>
      <c r="BT5">
        <f ca="1">IFERROR(IF(0=LEN(ReferenceData!$BT$5),"",ReferenceData!$BT$5),"")</f>
        <v>51969.934450000001</v>
      </c>
      <c r="BU5">
        <f ca="1">IFERROR(IF(0=LEN(ReferenceData!$BU$5),"",ReferenceData!$BU$5),"")</f>
        <v>53776.580869999998</v>
      </c>
      <c r="BV5">
        <f ca="1">IFERROR(IF(0=LEN(ReferenceData!$BV$5),"",ReferenceData!$BV$5),"")</f>
        <v>48984.082840000003</v>
      </c>
      <c r="BW5">
        <f ca="1">IFERROR(IF(0=LEN(ReferenceData!$BW$5),"",ReferenceData!$BW$5),"")</f>
        <v>53186.54664</v>
      </c>
      <c r="BX5">
        <f ca="1">IFERROR(IF(0=LEN(ReferenceData!$BX$5),"",ReferenceData!$BX$5),"")</f>
        <v>54458.902719999998</v>
      </c>
      <c r="BY5">
        <f ca="1">IFERROR(IF(0=LEN(ReferenceData!$BY$5),"",ReferenceData!$BY$5),"")</f>
        <v>53120.225960000003</v>
      </c>
      <c r="BZ5">
        <f ca="1">IFERROR(IF(0=LEN(ReferenceData!$BZ$5),"",ReferenceData!$BZ$5),"")</f>
        <v>53877.098740000001</v>
      </c>
      <c r="CA5">
        <f ca="1">IFERROR(IF(0=LEN(ReferenceData!$CA$5),"",ReferenceData!$CA$5),"")</f>
        <v>52833.161410000001</v>
      </c>
      <c r="CB5">
        <f ca="1">IFERROR(IF(0=LEN(ReferenceData!$CB$5),"",ReferenceData!$CB$5),"")</f>
        <v>52963.492899999997</v>
      </c>
      <c r="CC5">
        <f ca="1">IFERROR(IF(0=LEN(ReferenceData!$CC$5),"",ReferenceData!$CC$5),"")</f>
        <v>50115.54696</v>
      </c>
      <c r="CD5">
        <f ca="1">IFERROR(IF(0=LEN(ReferenceData!$CD$5),"",ReferenceData!$CD$5),"")</f>
        <v>50979.439230000004</v>
      </c>
      <c r="CE5">
        <f ca="1">IFERROR(IF(0=LEN(ReferenceData!$CE$5),"",ReferenceData!$CE$5),"")</f>
        <v>53920.121919999998</v>
      </c>
      <c r="CF5">
        <f ca="1">IFERROR(IF(0=LEN(ReferenceData!$CF$5),"",ReferenceData!$CF$5),"")</f>
        <v>52936.953710000002</v>
      </c>
      <c r="CG5">
        <f ca="1">IFERROR(IF(0=LEN(ReferenceData!$CG$5),"",ReferenceData!$CG$5),"")</f>
        <v>53068.255980000002</v>
      </c>
      <c r="CH5">
        <f ca="1">IFERROR(IF(0=LEN(ReferenceData!$CH$5),"",ReferenceData!$CH$5),"")</f>
        <v>48370.091229999998</v>
      </c>
      <c r="CI5">
        <f ca="1">IFERROR(IF(0=LEN(ReferenceData!$CI$5),"",ReferenceData!$CI$5),"")</f>
        <v>51044.764289999999</v>
      </c>
      <c r="CJ5">
        <f ca="1">IFERROR(IF(0=LEN(ReferenceData!$CJ$5),"",ReferenceData!$CJ$5),"")</f>
        <v>52635.6</v>
      </c>
      <c r="CK5">
        <f ca="1">IFERROR(IF(0=LEN(ReferenceData!$CK$5),"",ReferenceData!$CK$5),"")</f>
        <v>50101.4303</v>
      </c>
    </row>
    <row r="6" spans="1:89" x14ac:dyDescent="0.25">
      <c r="A6" t="str">
        <f>IFERROR(IF(0=LEN(ReferenceData!$A$6),"",ReferenceData!$A$6),"")</f>
        <v xml:space="preserve">        General Cargo (000 tonnes)</v>
      </c>
      <c r="B6" t="str">
        <f>IFERROR(IF(0=LEN(ReferenceData!$B$6),"",ReferenceData!$B$6),"")</f>
        <v/>
      </c>
      <c r="C6" t="str">
        <f>IFERROR(IF(0=LEN(ReferenceData!$C$6),"",ReferenceData!$C$6),"")</f>
        <v/>
      </c>
      <c r="D6" t="str">
        <f>IFERROR(IF(0=LEN(ReferenceData!$D$6),"",ReferenceData!$D$6),"")</f>
        <v/>
      </c>
      <c r="E6" t="str">
        <f>IFERROR(IF(0=LEN(ReferenceData!$E$6),"",ReferenceData!$E$6),"")</f>
        <v>Sum</v>
      </c>
      <c r="F6" t="str">
        <f ca="1">IFERROR(IF(0=LEN(ReferenceData!$F$6),"",ReferenceData!$F$6),"")</f>
        <v/>
      </c>
      <c r="G6">
        <f ca="1">IFERROR(IF(0=LEN(ReferenceData!$G$6),"",ReferenceData!$G$6),"")</f>
        <v>31190.240000000002</v>
      </c>
      <c r="H6">
        <f ca="1">IFERROR(IF(0=LEN(ReferenceData!$H$6),"",ReferenceData!$H$6),"")</f>
        <v>32158.74</v>
      </c>
      <c r="I6">
        <f ca="1">IFERROR(IF(0=LEN(ReferenceData!$I$6),"",ReferenceData!$I$6),"")</f>
        <v>32991.629999999997</v>
      </c>
      <c r="J6">
        <f ca="1">IFERROR(IF(0=LEN(ReferenceData!$J$6),"",ReferenceData!$J$6),"")</f>
        <v>31114.710000000003</v>
      </c>
      <c r="K6">
        <f ca="1">IFERROR(IF(0=LEN(ReferenceData!$K$6),"",ReferenceData!$K$6),"")</f>
        <v>32048.280120000003</v>
      </c>
      <c r="L6">
        <f ca="1">IFERROR(IF(0=LEN(ReferenceData!$L$6),"",ReferenceData!$L$6),"")</f>
        <v>32119.077740000001</v>
      </c>
      <c r="M6">
        <f ca="1">IFERROR(IF(0=LEN(ReferenceData!$M$6),"",ReferenceData!$M$6),"")</f>
        <v>33132.29</v>
      </c>
      <c r="N6">
        <f ca="1">IFERROR(IF(0=LEN(ReferenceData!$N$6),"",ReferenceData!$N$6),"")</f>
        <v>27119.129999999997</v>
      </c>
      <c r="O6">
        <f ca="1">IFERROR(IF(0=LEN(ReferenceData!$O$6),"",ReferenceData!$O$6),"")</f>
        <v>29192.36</v>
      </c>
      <c r="P6">
        <f ca="1">IFERROR(IF(0=LEN(ReferenceData!$P$6),"",ReferenceData!$P$6),"")</f>
        <v>30215.1407</v>
      </c>
      <c r="Q6">
        <f ca="1">IFERROR(IF(0=LEN(ReferenceData!$Q$6),"",ReferenceData!$Q$6),"")</f>
        <v>29071.861830000002</v>
      </c>
      <c r="R6">
        <f ca="1">IFERROR(IF(0=LEN(ReferenceData!$R$6),"",ReferenceData!$R$6),"")</f>
        <v>29338.181558</v>
      </c>
      <c r="S6">
        <f ca="1">IFERROR(IF(0=LEN(ReferenceData!$S$6),"",ReferenceData!$S$6),"")</f>
        <v>28875.8688</v>
      </c>
      <c r="T6">
        <f ca="1">IFERROR(IF(0=LEN(ReferenceData!$T$6),"",ReferenceData!$T$6),"")</f>
        <v>31125.590640000002</v>
      </c>
      <c r="U6">
        <f ca="1">IFERROR(IF(0=LEN(ReferenceData!$U$6),"",ReferenceData!$U$6),"")</f>
        <v>32504.8469</v>
      </c>
      <c r="V6">
        <f ca="1">IFERROR(IF(0=LEN(ReferenceData!$V$6),"",ReferenceData!$V$6),"")</f>
        <v>30919.40021</v>
      </c>
      <c r="W6">
        <f ca="1">IFERROR(IF(0=LEN(ReferenceData!$W$6),"",ReferenceData!$W$6),"")</f>
        <v>30781.76065</v>
      </c>
      <c r="X6">
        <f ca="1">IFERROR(IF(0=LEN(ReferenceData!$X$6),"",ReferenceData!$X$6),"")</f>
        <v>30720.197700000001</v>
      </c>
      <c r="Y6">
        <f ca="1">IFERROR(IF(0=LEN(ReferenceData!$Y$6),"",ReferenceData!$Y$6),"")</f>
        <v>31738.39748</v>
      </c>
      <c r="Z6">
        <f ca="1">IFERROR(IF(0=LEN(ReferenceData!$Z$6),"",ReferenceData!$Z$6),"")</f>
        <v>29511.600000000002</v>
      </c>
      <c r="AA6">
        <f ca="1">IFERROR(IF(0=LEN(ReferenceData!$AA$6),"",ReferenceData!$AA$6),"")</f>
        <v>32301.980000000003</v>
      </c>
      <c r="AB6">
        <f ca="1">IFERROR(IF(0=LEN(ReferenceData!$AB$6),"",ReferenceData!$AB$6),"")</f>
        <v>33320.646004000002</v>
      </c>
      <c r="AC6">
        <f ca="1">IFERROR(IF(0=LEN(ReferenceData!$AC$6),"",ReferenceData!$AC$6),"")</f>
        <v>32336.209996999998</v>
      </c>
      <c r="AD6">
        <f ca="1">IFERROR(IF(0=LEN(ReferenceData!$AD$6),"",ReferenceData!$AD$6),"")</f>
        <v>30971.799412</v>
      </c>
      <c r="AE6">
        <f ca="1">IFERROR(IF(0=LEN(ReferenceData!$AE$6),"",ReferenceData!$AE$6),"")</f>
        <v>30896.308714000003</v>
      </c>
      <c r="AF6">
        <f ca="1">IFERROR(IF(0=LEN(ReferenceData!$AF$6),"",ReferenceData!$AF$6),"")</f>
        <v>32069.313994</v>
      </c>
      <c r="AG6">
        <f ca="1">IFERROR(IF(0=LEN(ReferenceData!$AG$6),"",ReferenceData!$AG$6),"")</f>
        <v>32357.103776</v>
      </c>
      <c r="AH6">
        <f ca="1">IFERROR(IF(0=LEN(ReferenceData!$AH$6),"",ReferenceData!$AH$6),"")</f>
        <v>31798.464265999999</v>
      </c>
      <c r="AI6">
        <f ca="1">IFERROR(IF(0=LEN(ReferenceData!$AI$6),"",ReferenceData!$AI$6),"")</f>
        <v>33274.9611</v>
      </c>
      <c r="AJ6">
        <f ca="1">IFERROR(IF(0=LEN(ReferenceData!$AJ$6),"",ReferenceData!$AJ$6),"")</f>
        <v>31936.440616</v>
      </c>
      <c r="AK6">
        <f ca="1">IFERROR(IF(0=LEN(ReferenceData!$AK$6),"",ReferenceData!$AK$6),"")</f>
        <v>33725.320814999999</v>
      </c>
      <c r="AL6">
        <f ca="1">IFERROR(IF(0=LEN(ReferenceData!$AL$6),"",ReferenceData!$AL$6),"")</f>
        <v>30217.290202</v>
      </c>
      <c r="AM6">
        <f ca="1">IFERROR(IF(0=LEN(ReferenceData!$AM$6),"",ReferenceData!$AM$6),"")</f>
        <v>32413.286547</v>
      </c>
      <c r="AN6">
        <f ca="1">IFERROR(IF(0=LEN(ReferenceData!$AN$6),"",ReferenceData!$AN$6),"")</f>
        <v>33296.296560000003</v>
      </c>
      <c r="AO6">
        <f ca="1">IFERROR(IF(0=LEN(ReferenceData!$AO$6),"",ReferenceData!$AO$6),"")</f>
        <v>32195.809499999999</v>
      </c>
      <c r="AP6">
        <f ca="1">IFERROR(IF(0=LEN(ReferenceData!$AP$6),"",ReferenceData!$AP$6),"")</f>
        <v>32670.771220000002</v>
      </c>
      <c r="AQ6">
        <f ca="1">IFERROR(IF(0=LEN(ReferenceData!$AQ$6),"",ReferenceData!$AQ$6),"")</f>
        <v>31731.33006</v>
      </c>
      <c r="AR6">
        <f ca="1">IFERROR(IF(0=LEN(ReferenceData!$AR$6),"",ReferenceData!$AR$6),"")</f>
        <v>32165.525900000001</v>
      </c>
      <c r="AS6">
        <f ca="1">IFERROR(IF(0=LEN(ReferenceData!$AS$6),"",ReferenceData!$AS$6),"")</f>
        <v>30393.241999999998</v>
      </c>
      <c r="AT6">
        <f ca="1">IFERROR(IF(0=LEN(ReferenceData!$AT$6),"",ReferenceData!$AT$6),"")</f>
        <v>29261.263070000001</v>
      </c>
      <c r="AU6">
        <f ca="1">IFERROR(IF(0=LEN(ReferenceData!$AU$6),"",ReferenceData!$AU$6),"")</f>
        <v>27737.916749999997</v>
      </c>
      <c r="AV6">
        <f ca="1">IFERROR(IF(0=LEN(ReferenceData!$AV$6),"",ReferenceData!$AV$6),"")</f>
        <v>30340.307190000003</v>
      </c>
      <c r="AW6">
        <f ca="1">IFERROR(IF(0=LEN(ReferenceData!$AW$6),"",ReferenceData!$AW$6),"")</f>
        <v>34576.727010000002</v>
      </c>
      <c r="AX6">
        <f ca="1">IFERROR(IF(0=LEN(ReferenceData!$AX$6),"",ReferenceData!$AX$6),"")</f>
        <v>29848.194659999997</v>
      </c>
      <c r="AY6">
        <f ca="1">IFERROR(IF(0=LEN(ReferenceData!$AY$6),"",ReferenceData!$AY$6),"")</f>
        <v>32152.919620000001</v>
      </c>
      <c r="AZ6">
        <f ca="1">IFERROR(IF(0=LEN(ReferenceData!$AZ$6),"",ReferenceData!$AZ$6),"")</f>
        <v>33526.252609999996</v>
      </c>
      <c r="BA6">
        <f ca="1">IFERROR(IF(0=LEN(ReferenceData!$BA$6),"",ReferenceData!$BA$6),"")</f>
        <v>33828.202099999995</v>
      </c>
      <c r="BB6">
        <f ca="1">IFERROR(IF(0=LEN(ReferenceData!$BB$6),"",ReferenceData!$BB$6),"")</f>
        <v>32972.327089999999</v>
      </c>
      <c r="BC6">
        <f ca="1">IFERROR(IF(0=LEN(ReferenceData!$BC$6),"",ReferenceData!$BC$6),"")</f>
        <v>31748.276399999999</v>
      </c>
      <c r="BD6">
        <f ca="1">IFERROR(IF(0=LEN(ReferenceData!$BD$6),"",ReferenceData!$BD$6),"")</f>
        <v>32944.51109</v>
      </c>
      <c r="BE6">
        <f ca="1">IFERROR(IF(0=LEN(ReferenceData!$BE$6),"",ReferenceData!$BE$6),"")</f>
        <v>33889.425499999998</v>
      </c>
      <c r="BF6">
        <f ca="1">IFERROR(IF(0=LEN(ReferenceData!$BF$6),"",ReferenceData!$BF$6),"")</f>
        <v>31278.459930000001</v>
      </c>
      <c r="BG6">
        <f ca="1">IFERROR(IF(0=LEN(ReferenceData!$BG$6),"",ReferenceData!$BG$6),"")</f>
        <v>32880.146009999997</v>
      </c>
      <c r="BH6">
        <f ca="1">IFERROR(IF(0=LEN(ReferenceData!$BH$6),"",ReferenceData!$BH$6),"")</f>
        <v>32229.64572</v>
      </c>
      <c r="BI6">
        <f ca="1">IFERROR(IF(0=LEN(ReferenceData!$BI$6),"",ReferenceData!$BI$6),"")</f>
        <v>34306.748630000002</v>
      </c>
      <c r="BJ6">
        <f ca="1">IFERROR(IF(0=LEN(ReferenceData!$BJ$6),"",ReferenceData!$BJ$6),"")</f>
        <v>28500.234049999999</v>
      </c>
      <c r="BK6">
        <f ca="1">IFERROR(IF(0=LEN(ReferenceData!$BK$6),"",ReferenceData!$BK$6),"")</f>
        <v>31331.40569</v>
      </c>
      <c r="BL6">
        <f ca="1">IFERROR(IF(0=LEN(ReferenceData!$BL$6),"",ReferenceData!$BL$6),"")</f>
        <v>33304.035210000002</v>
      </c>
      <c r="BM6">
        <f ca="1">IFERROR(IF(0=LEN(ReferenceData!$BM$6),"",ReferenceData!$BM$6),"")</f>
        <v>31884.649409999998</v>
      </c>
      <c r="BN6">
        <f ca="1">IFERROR(IF(0=LEN(ReferenceData!$BN$6),"",ReferenceData!$BN$6),"")</f>
        <v>32493.538840000001</v>
      </c>
      <c r="BO6">
        <f ca="1">IFERROR(IF(0=LEN(ReferenceData!$BO$6),"",ReferenceData!$BO$6),"")</f>
        <v>31679.871009999999</v>
      </c>
      <c r="BP6">
        <f ca="1">IFERROR(IF(0=LEN(ReferenceData!$BP$6),"",ReferenceData!$BP$6),"")</f>
        <v>33273.454449999997</v>
      </c>
      <c r="BQ6">
        <f ca="1">IFERROR(IF(0=LEN(ReferenceData!$BQ$6),"",ReferenceData!$BQ$6),"")</f>
        <v>33846.0458</v>
      </c>
      <c r="BR6">
        <f ca="1">IFERROR(IF(0=LEN(ReferenceData!$BR$6),"",ReferenceData!$BR$6),"")</f>
        <v>32891.741549999999</v>
      </c>
      <c r="BS6">
        <f ca="1">IFERROR(IF(0=LEN(ReferenceData!$BS$6),"",ReferenceData!$BS$6),"")</f>
        <v>34345.321750000003</v>
      </c>
      <c r="BT6">
        <f ca="1">IFERROR(IF(0=LEN(ReferenceData!$BT$6),"",ReferenceData!$BT$6),"")</f>
        <v>32134.46889</v>
      </c>
      <c r="BU6">
        <f ca="1">IFERROR(IF(0=LEN(ReferenceData!$BU$6),"",ReferenceData!$BU$6),"")</f>
        <v>34172.338040000002</v>
      </c>
      <c r="BV6">
        <f ca="1">IFERROR(IF(0=LEN(ReferenceData!$BV$6),"",ReferenceData!$BV$6),"")</f>
        <v>29635.307520000002</v>
      </c>
      <c r="BW6">
        <f ca="1">IFERROR(IF(0=LEN(ReferenceData!$BW$6),"",ReferenceData!$BW$6),"")</f>
        <v>32084.455880000001</v>
      </c>
      <c r="BX6">
        <f ca="1">IFERROR(IF(0=LEN(ReferenceData!$BX$6),"",ReferenceData!$BX$6),"")</f>
        <v>32328.688839999999</v>
      </c>
      <c r="BY6">
        <f ca="1">IFERROR(IF(0=LEN(ReferenceData!$BY$6),"",ReferenceData!$BY$6),"")</f>
        <v>31919.459369999997</v>
      </c>
      <c r="BZ6">
        <f ca="1">IFERROR(IF(0=LEN(ReferenceData!$BZ$6),"",ReferenceData!$BZ$6),"")</f>
        <v>31270.208329999998</v>
      </c>
      <c r="CA6">
        <f ca="1">IFERROR(IF(0=LEN(ReferenceData!$CA$6),"",ReferenceData!$CA$6),"")</f>
        <v>31002.961149999999</v>
      </c>
      <c r="CB6">
        <f ca="1">IFERROR(IF(0=LEN(ReferenceData!$CB$6),"",ReferenceData!$CB$6),"")</f>
        <v>32433.570889999999</v>
      </c>
      <c r="CC6">
        <f ca="1">IFERROR(IF(0=LEN(ReferenceData!$CC$6),"",ReferenceData!$CC$6),"")</f>
        <v>31700.514490000001</v>
      </c>
      <c r="CD6">
        <f ca="1">IFERROR(IF(0=LEN(ReferenceData!$CD$6),"",ReferenceData!$CD$6),"")</f>
        <v>31425.89342</v>
      </c>
      <c r="CE6">
        <f ca="1">IFERROR(IF(0=LEN(ReferenceData!$CE$6),"",ReferenceData!$CE$6),"")</f>
        <v>33454.943420000003</v>
      </c>
      <c r="CF6">
        <f ca="1">IFERROR(IF(0=LEN(ReferenceData!$CF$6),"",ReferenceData!$CF$6),"")</f>
        <v>32614.182280000001</v>
      </c>
      <c r="CG6">
        <f ca="1">IFERROR(IF(0=LEN(ReferenceData!$CG$6),"",ReferenceData!$CG$6),"")</f>
        <v>31876.787990000001</v>
      </c>
      <c r="CH6">
        <f ca="1">IFERROR(IF(0=LEN(ReferenceData!$CH$6),"",ReferenceData!$CH$6),"")</f>
        <v>27186.320330000002</v>
      </c>
      <c r="CI6">
        <f ca="1">IFERROR(IF(0=LEN(ReferenceData!$CI$6),"",ReferenceData!$CI$6),"")</f>
        <v>28832.18561</v>
      </c>
      <c r="CJ6">
        <f ca="1">IFERROR(IF(0=LEN(ReferenceData!$CJ$6),"",ReferenceData!$CJ$6),"")</f>
        <v>30497.28787</v>
      </c>
      <c r="CK6">
        <f ca="1">IFERROR(IF(0=LEN(ReferenceData!$CK$6),"",ReferenceData!$CK$6),"")</f>
        <v>29204.491960000003</v>
      </c>
    </row>
    <row r="7" spans="1:89" x14ac:dyDescent="0.25">
      <c r="A7" t="str">
        <f>IFERROR(IF(0=LEN(ReferenceData!$A$7),"",ReferenceData!$A$7),"")</f>
        <v xml:space="preserve">            Containerized Cargo (000 tonnes)</v>
      </c>
      <c r="B7" t="str">
        <f>IFERROR(IF(0=LEN(ReferenceData!$B$7),"",ReferenceData!$B$7),"")</f>
        <v>SIVSCONT Index</v>
      </c>
      <c r="C7" t="str">
        <f>IFERROR(IF(0=LEN(ReferenceData!$C$7),"",ReferenceData!$C$7),"")</f>
        <v>PR005</v>
      </c>
      <c r="D7" t="str">
        <f>IFERROR(IF(0=LEN(ReferenceData!$D$7),"",ReferenceData!$D$7),"")</f>
        <v>PX_LAST</v>
      </c>
      <c r="E7" t="str">
        <f>IFERROR(IF(0=LEN(ReferenceData!$E$7),"",ReferenceData!$E$7),"")</f>
        <v>Dynamic</v>
      </c>
      <c r="F7" t="str">
        <f ca="1">IFERROR(IF(0=LEN(ReferenceData!$F$7),"",ReferenceData!$F$7),"")</f>
        <v/>
      </c>
      <c r="G7">
        <f ca="1">IFERROR(IF(0=LEN(ReferenceData!$G$7),"",ReferenceData!$G$7),"")</f>
        <v>29188.5</v>
      </c>
      <c r="H7">
        <f ca="1">IFERROR(IF(0=LEN(ReferenceData!$H$7),"",ReferenceData!$H$7),"")</f>
        <v>29935.34</v>
      </c>
      <c r="I7">
        <f ca="1">IFERROR(IF(0=LEN(ReferenceData!$I$7),"",ReferenceData!$I$7),"")</f>
        <v>30836.68</v>
      </c>
      <c r="J7">
        <f ca="1">IFERROR(IF(0=LEN(ReferenceData!$J$7),"",ReferenceData!$J$7),"")</f>
        <v>29050.06</v>
      </c>
      <c r="K7">
        <f ca="1">IFERROR(IF(0=LEN(ReferenceData!$K$7),"",ReferenceData!$K$7),"")</f>
        <v>29928.630120000002</v>
      </c>
      <c r="L7">
        <f ca="1">IFERROR(IF(0=LEN(ReferenceData!$L$7),"",ReferenceData!$L$7),"")</f>
        <v>29702.257740000001</v>
      </c>
      <c r="M7">
        <f ca="1">IFERROR(IF(0=LEN(ReferenceData!$M$7),"",ReferenceData!$M$7),"")</f>
        <v>30723.03</v>
      </c>
      <c r="N7">
        <f ca="1">IFERROR(IF(0=LEN(ReferenceData!$N$7),"",ReferenceData!$N$7),"")</f>
        <v>25153.119999999999</v>
      </c>
      <c r="O7">
        <f ca="1">IFERROR(IF(0=LEN(ReferenceData!$O$7),"",ReferenceData!$O$7),"")</f>
        <v>26912.6</v>
      </c>
      <c r="P7">
        <f ca="1">IFERROR(IF(0=LEN(ReferenceData!$P$7),"",ReferenceData!$P$7),"")</f>
        <v>28051.040700000001</v>
      </c>
      <c r="Q7">
        <f ca="1">IFERROR(IF(0=LEN(ReferenceData!$Q$7),"",ReferenceData!$Q$7),"")</f>
        <v>26980.181830000001</v>
      </c>
      <c r="R7">
        <f ca="1">IFERROR(IF(0=LEN(ReferenceData!$R$7),"",ReferenceData!$R$7),"")</f>
        <v>26924.191330000001</v>
      </c>
      <c r="S7">
        <f ca="1">IFERROR(IF(0=LEN(ReferenceData!$S$7),"",ReferenceData!$S$7),"")</f>
        <v>26667.148799999999</v>
      </c>
      <c r="T7">
        <f ca="1">IFERROR(IF(0=LEN(ReferenceData!$T$7),"",ReferenceData!$T$7),"")</f>
        <v>28890.83064</v>
      </c>
      <c r="U7">
        <f ca="1">IFERROR(IF(0=LEN(ReferenceData!$U$7),"",ReferenceData!$U$7),"")</f>
        <v>30225.8469</v>
      </c>
      <c r="V7">
        <f ca="1">IFERROR(IF(0=LEN(ReferenceData!$V$7),"",ReferenceData!$V$7),"")</f>
        <v>28967.270209999999</v>
      </c>
      <c r="W7">
        <f ca="1">IFERROR(IF(0=LEN(ReferenceData!$W$7),"",ReferenceData!$W$7),"")</f>
        <v>28702.40065</v>
      </c>
      <c r="X7">
        <f ca="1">IFERROR(IF(0=LEN(ReferenceData!$X$7),"",ReferenceData!$X$7),"")</f>
        <v>28852.827700000002</v>
      </c>
      <c r="Y7">
        <f ca="1">IFERROR(IF(0=LEN(ReferenceData!$Y$7),"",ReferenceData!$Y$7),"")</f>
        <v>29776.517479999999</v>
      </c>
      <c r="Z7">
        <f ca="1">IFERROR(IF(0=LEN(ReferenceData!$Z$7),"",ReferenceData!$Z$7),"")</f>
        <v>27540.13</v>
      </c>
      <c r="AA7">
        <f ca="1">IFERROR(IF(0=LEN(ReferenceData!$AA$7),"",ReferenceData!$AA$7),"")</f>
        <v>30480.080000000002</v>
      </c>
      <c r="AB7">
        <f ca="1">IFERROR(IF(0=LEN(ReferenceData!$AB$7),"",ReferenceData!$AB$7),"")</f>
        <v>31475.817360000001</v>
      </c>
      <c r="AC7">
        <f ca="1">IFERROR(IF(0=LEN(ReferenceData!$AC$7),"",ReferenceData!$AC$7),"")</f>
        <v>30571.819049999998</v>
      </c>
      <c r="AD7">
        <f ca="1">IFERROR(IF(0=LEN(ReferenceData!$AD$7),"",ReferenceData!$AD$7),"")</f>
        <v>29357.442159999999</v>
      </c>
      <c r="AE7">
        <f ca="1">IFERROR(IF(0=LEN(ReferenceData!$AE$7),"",ReferenceData!$AE$7),"")</f>
        <v>29367.170160000001</v>
      </c>
      <c r="AF7">
        <f ca="1">IFERROR(IF(0=LEN(ReferenceData!$AF$7),"",ReferenceData!$AF$7),"")</f>
        <v>30394.51154</v>
      </c>
      <c r="AG7">
        <f ca="1">IFERROR(IF(0=LEN(ReferenceData!$AG$7),"",ReferenceData!$AG$7),"")</f>
        <v>30469.623589999999</v>
      </c>
      <c r="AH7">
        <f ca="1">IFERROR(IF(0=LEN(ReferenceData!$AH$7),"",ReferenceData!$AH$7),"")</f>
        <v>30081.208689999999</v>
      </c>
      <c r="AI7">
        <f ca="1">IFERROR(IF(0=LEN(ReferenceData!$AI$7),"",ReferenceData!$AI$7),"")</f>
        <v>31291.900369999999</v>
      </c>
      <c r="AJ7">
        <f ca="1">IFERROR(IF(0=LEN(ReferenceData!$AJ$7),"",ReferenceData!$AJ$7),"")</f>
        <v>29780.717209999999</v>
      </c>
      <c r="AK7">
        <f ca="1">IFERROR(IF(0=LEN(ReferenceData!$AK$7),"",ReferenceData!$AK$7),"")</f>
        <v>31877.251530000001</v>
      </c>
      <c r="AL7">
        <f ca="1">IFERROR(IF(0=LEN(ReferenceData!$AL$7),"",ReferenceData!$AL$7),"")</f>
        <v>28390.06352</v>
      </c>
      <c r="AM7">
        <f ca="1">IFERROR(IF(0=LEN(ReferenceData!$AM$7),"",ReferenceData!$AM$7),"")</f>
        <v>30694.227050000001</v>
      </c>
      <c r="AN7">
        <f ca="1">IFERROR(IF(0=LEN(ReferenceData!$AN$7),"",ReferenceData!$AN$7),"")</f>
        <v>31537.665850000001</v>
      </c>
      <c r="AO7">
        <f ca="1">IFERROR(IF(0=LEN(ReferenceData!$AO$7),"",ReferenceData!$AO$7),"")</f>
        <v>30811.801100000001</v>
      </c>
      <c r="AP7">
        <f ca="1">IFERROR(IF(0=LEN(ReferenceData!$AP$7),"",ReferenceData!$AP$7),"")</f>
        <v>31231.840260000001</v>
      </c>
      <c r="AQ7">
        <f ca="1">IFERROR(IF(0=LEN(ReferenceData!$AQ$7),"",ReferenceData!$AQ$7),"")</f>
        <v>30539.461039999998</v>
      </c>
      <c r="AR7">
        <f ca="1">IFERROR(IF(0=LEN(ReferenceData!$AR$7),"",ReferenceData!$AR$7),"")</f>
        <v>30798.68606</v>
      </c>
      <c r="AS7">
        <f ca="1">IFERROR(IF(0=LEN(ReferenceData!$AS$7),"",ReferenceData!$AS$7),"")</f>
        <v>29065.25302</v>
      </c>
      <c r="AT7">
        <f ca="1">IFERROR(IF(0=LEN(ReferenceData!$AT$7),"",ReferenceData!$AT$7),"")</f>
        <v>28064.751980000001</v>
      </c>
      <c r="AU7">
        <f ca="1">IFERROR(IF(0=LEN(ReferenceData!$AU$7),"",ReferenceData!$AU$7),"")</f>
        <v>26698.691299999999</v>
      </c>
      <c r="AV7">
        <f ca="1">IFERROR(IF(0=LEN(ReferenceData!$AV$7),"",ReferenceData!$AV$7),"")</f>
        <v>28695.093690000002</v>
      </c>
      <c r="AW7">
        <f ca="1">IFERROR(IF(0=LEN(ReferenceData!$AW$7),"",ReferenceData!$AW$7),"")</f>
        <v>32539.882239999999</v>
      </c>
      <c r="AX7">
        <f ca="1">IFERROR(IF(0=LEN(ReferenceData!$AX$7),"",ReferenceData!$AX$7),"")</f>
        <v>27859.034479999998</v>
      </c>
      <c r="AY7">
        <f ca="1">IFERROR(IF(0=LEN(ReferenceData!$AY$7),"",ReferenceData!$AY$7),"")</f>
        <v>30136.59734</v>
      </c>
      <c r="AZ7">
        <f ca="1">IFERROR(IF(0=LEN(ReferenceData!$AZ$7),"",ReferenceData!$AZ$7),"")</f>
        <v>31493.006079999999</v>
      </c>
      <c r="BA7">
        <f ca="1">IFERROR(IF(0=LEN(ReferenceData!$BA$7),"",ReferenceData!$BA$7),"")</f>
        <v>31769.839639999998</v>
      </c>
      <c r="BB7">
        <f ca="1">IFERROR(IF(0=LEN(ReferenceData!$BB$7),"",ReferenceData!$BB$7),"")</f>
        <v>30886.49307</v>
      </c>
      <c r="BC7">
        <f ca="1">IFERROR(IF(0=LEN(ReferenceData!$BC$7),"",ReferenceData!$BC$7),"")</f>
        <v>29759.553479999999</v>
      </c>
      <c r="BD7">
        <f ca="1">IFERROR(IF(0=LEN(ReferenceData!$BD$7),"",ReferenceData!$BD$7),"")</f>
        <v>30887.05329</v>
      </c>
      <c r="BE7">
        <f ca="1">IFERROR(IF(0=LEN(ReferenceData!$BE$7),"",ReferenceData!$BE$7),"")</f>
        <v>31765.523740000001</v>
      </c>
      <c r="BF7">
        <f ca="1">IFERROR(IF(0=LEN(ReferenceData!$BF$7),"",ReferenceData!$BF$7),"")</f>
        <v>29452.00461</v>
      </c>
      <c r="BG7">
        <f ca="1">IFERROR(IF(0=LEN(ReferenceData!$BG$7),"",ReferenceData!$BG$7),"")</f>
        <v>30960.577369999999</v>
      </c>
      <c r="BH7">
        <f ca="1">IFERROR(IF(0=LEN(ReferenceData!$BH$7),"",ReferenceData!$BH$7),"")</f>
        <v>30346.43562</v>
      </c>
      <c r="BI7">
        <f ca="1">IFERROR(IF(0=LEN(ReferenceData!$BI$7),"",ReferenceData!$BI$7),"")</f>
        <v>32068.570110000001</v>
      </c>
      <c r="BJ7">
        <f ca="1">IFERROR(IF(0=LEN(ReferenceData!$BJ$7),"",ReferenceData!$BJ$7),"")</f>
        <v>26627.711729999999</v>
      </c>
      <c r="BK7">
        <f ca="1">IFERROR(IF(0=LEN(ReferenceData!$BK$7),"",ReferenceData!$BK$7),"")</f>
        <v>29217.360489999999</v>
      </c>
      <c r="BL7">
        <f ca="1">IFERROR(IF(0=LEN(ReferenceData!$BL$7),"",ReferenceData!$BL$7),"")</f>
        <v>31160.833999999999</v>
      </c>
      <c r="BM7">
        <f ca="1">IFERROR(IF(0=LEN(ReferenceData!$BM$7),"",ReferenceData!$BM$7),"")</f>
        <v>29934.149679999999</v>
      </c>
      <c r="BN7">
        <f ca="1">IFERROR(IF(0=LEN(ReferenceData!$BN$7),"",ReferenceData!$BN$7),"")</f>
        <v>30563.394960000001</v>
      </c>
      <c r="BO7">
        <f ca="1">IFERROR(IF(0=LEN(ReferenceData!$BO$7),"",ReferenceData!$BO$7),"")</f>
        <v>29678.752349999999</v>
      </c>
      <c r="BP7">
        <f ca="1">IFERROR(IF(0=LEN(ReferenceData!$BP$7),"",ReferenceData!$BP$7),"")</f>
        <v>31528.40941</v>
      </c>
      <c r="BQ7">
        <f ca="1">IFERROR(IF(0=LEN(ReferenceData!$BQ$7),"",ReferenceData!$BQ$7),"")</f>
        <v>31526.155009999999</v>
      </c>
      <c r="BR7">
        <f ca="1">IFERROR(IF(0=LEN(ReferenceData!$BR$7),"",ReferenceData!$BR$7),"")</f>
        <v>30841.840680000001</v>
      </c>
      <c r="BS7">
        <f ca="1">IFERROR(IF(0=LEN(ReferenceData!$BS$7),"",ReferenceData!$BS$7),"")</f>
        <v>32383.46859</v>
      </c>
      <c r="BT7">
        <f ca="1">IFERROR(IF(0=LEN(ReferenceData!$BT$7),"",ReferenceData!$BT$7),"")</f>
        <v>29994.294699999999</v>
      </c>
      <c r="BU7">
        <f ca="1">IFERROR(IF(0=LEN(ReferenceData!$BU$7),"",ReferenceData!$BU$7),"")</f>
        <v>31635.401040000001</v>
      </c>
      <c r="BV7">
        <f ca="1">IFERROR(IF(0=LEN(ReferenceData!$BV$7),"",ReferenceData!$BV$7),"")</f>
        <v>27967.37441</v>
      </c>
      <c r="BW7">
        <f ca="1">IFERROR(IF(0=LEN(ReferenceData!$BW$7),"",ReferenceData!$BW$7),"")</f>
        <v>30207.81612</v>
      </c>
      <c r="BX7">
        <f ca="1">IFERROR(IF(0=LEN(ReferenceData!$BX$7),"",ReferenceData!$BX$7),"")</f>
        <v>30366.542829999999</v>
      </c>
      <c r="BY7">
        <f ca="1">IFERROR(IF(0=LEN(ReferenceData!$BY$7),"",ReferenceData!$BY$7),"")</f>
        <v>29941.736099999998</v>
      </c>
      <c r="BZ7">
        <f ca="1">IFERROR(IF(0=LEN(ReferenceData!$BZ$7),"",ReferenceData!$BZ$7),"")</f>
        <v>29161.781019999999</v>
      </c>
      <c r="CA7">
        <f ca="1">IFERROR(IF(0=LEN(ReferenceData!$CA$7),"",ReferenceData!$CA$7),"")</f>
        <v>28774.62559</v>
      </c>
      <c r="CB7">
        <f ca="1">IFERROR(IF(0=LEN(ReferenceData!$CB$7),"",ReferenceData!$CB$7),"")</f>
        <v>29834.349139999998</v>
      </c>
      <c r="CC7">
        <f ca="1">IFERROR(IF(0=LEN(ReferenceData!$CC$7),"",ReferenceData!$CC$7),"")</f>
        <v>29786.442800000001</v>
      </c>
      <c r="CD7">
        <f ca="1">IFERROR(IF(0=LEN(ReferenceData!$CD$7),"",ReferenceData!$CD$7),"")</f>
        <v>29587.218140000001</v>
      </c>
      <c r="CE7">
        <f ca="1">IFERROR(IF(0=LEN(ReferenceData!$CE$7),"",ReferenceData!$CE$7),"")</f>
        <v>31401.76944</v>
      </c>
      <c r="CF7">
        <f ca="1">IFERROR(IF(0=LEN(ReferenceData!$CF$7),"",ReferenceData!$CF$7),"")</f>
        <v>28739.62515</v>
      </c>
      <c r="CG7">
        <f ca="1">IFERROR(IF(0=LEN(ReferenceData!$CG$7),"",ReferenceData!$CG$7),"")</f>
        <v>29294.03688</v>
      </c>
      <c r="CH7">
        <f ca="1">IFERROR(IF(0=LEN(ReferenceData!$CH$7),"",ReferenceData!$CH$7),"")</f>
        <v>25109.7</v>
      </c>
      <c r="CI7">
        <f ca="1">IFERROR(IF(0=LEN(ReferenceData!$CI$7),"",ReferenceData!$CI$7),"")</f>
        <v>27103.57444</v>
      </c>
      <c r="CJ7">
        <f ca="1">IFERROR(IF(0=LEN(ReferenceData!$CJ$7),"",ReferenceData!$CJ$7),"")</f>
        <v>28750.53701</v>
      </c>
      <c r="CK7">
        <f ca="1">IFERROR(IF(0=LEN(ReferenceData!$CK$7),"",ReferenceData!$CK$7),"")</f>
        <v>27050.817620000002</v>
      </c>
    </row>
    <row r="8" spans="1:89" x14ac:dyDescent="0.25">
      <c r="A8" t="str">
        <f>IFERROR(IF(0=LEN(ReferenceData!$A$8),"",ReferenceData!$A$8),"")</f>
        <v xml:space="preserve">            Conventional Cargo (000 tonnes)</v>
      </c>
      <c r="B8" t="str">
        <f>IFERROR(IF(0=LEN(ReferenceData!$B$8),"",ReferenceData!$B$8),"")</f>
        <v>SIVSCONV Index</v>
      </c>
      <c r="C8" t="str">
        <f>IFERROR(IF(0=LEN(ReferenceData!$C$8),"",ReferenceData!$C$8),"")</f>
        <v>PR005</v>
      </c>
      <c r="D8" t="str">
        <f>IFERROR(IF(0=LEN(ReferenceData!$D$8),"",ReferenceData!$D$8),"")</f>
        <v>PX_LAST</v>
      </c>
      <c r="E8" t="str">
        <f>IFERROR(IF(0=LEN(ReferenceData!$E$8),"",ReferenceData!$E$8),"")</f>
        <v>Dynamic</v>
      </c>
      <c r="F8" t="str">
        <f ca="1">IFERROR(IF(0=LEN(ReferenceData!$F$8),"",ReferenceData!$F$8),"")</f>
        <v/>
      </c>
      <c r="G8">
        <f ca="1">IFERROR(IF(0=LEN(ReferenceData!$G$8),"",ReferenceData!$G$8),"")</f>
        <v>2001.74</v>
      </c>
      <c r="H8">
        <f ca="1">IFERROR(IF(0=LEN(ReferenceData!$H$8),"",ReferenceData!$H$8),"")</f>
        <v>2223.4</v>
      </c>
      <c r="I8">
        <f ca="1">IFERROR(IF(0=LEN(ReferenceData!$I$8),"",ReferenceData!$I$8),"")</f>
        <v>2154.9499999999998</v>
      </c>
      <c r="J8">
        <f ca="1">IFERROR(IF(0=LEN(ReferenceData!$J$8),"",ReferenceData!$J$8),"")</f>
        <v>2064.65</v>
      </c>
      <c r="K8">
        <f ca="1">IFERROR(IF(0=LEN(ReferenceData!$K$8),"",ReferenceData!$K$8),"")</f>
        <v>2119.65</v>
      </c>
      <c r="L8">
        <f ca="1">IFERROR(IF(0=LEN(ReferenceData!$L$8),"",ReferenceData!$L$8),"")</f>
        <v>2416.8200000000002</v>
      </c>
      <c r="M8">
        <f ca="1">IFERROR(IF(0=LEN(ReferenceData!$M$8),"",ReferenceData!$M$8),"")</f>
        <v>2409.2600000000002</v>
      </c>
      <c r="N8">
        <f ca="1">IFERROR(IF(0=LEN(ReferenceData!$N$8),"",ReferenceData!$N$8),"")</f>
        <v>1966.01</v>
      </c>
      <c r="O8">
        <f ca="1">IFERROR(IF(0=LEN(ReferenceData!$O$8),"",ReferenceData!$O$8),"")</f>
        <v>2279.7600000000002</v>
      </c>
      <c r="P8">
        <f ca="1">IFERROR(IF(0=LEN(ReferenceData!$P$8),"",ReferenceData!$P$8),"")</f>
        <v>2164.1</v>
      </c>
      <c r="Q8">
        <f ca="1">IFERROR(IF(0=LEN(ReferenceData!$Q$8),"",ReferenceData!$Q$8),"")</f>
        <v>2091.6799999999998</v>
      </c>
      <c r="R8">
        <f ca="1">IFERROR(IF(0=LEN(ReferenceData!$R$8),"",ReferenceData!$R$8),"")</f>
        <v>2413.9902280000001</v>
      </c>
      <c r="S8">
        <f ca="1">IFERROR(IF(0=LEN(ReferenceData!$S$8),"",ReferenceData!$S$8),"")</f>
        <v>2208.7199999999998</v>
      </c>
      <c r="T8">
        <f ca="1">IFERROR(IF(0=LEN(ReferenceData!$T$8),"",ReferenceData!$T$8),"")</f>
        <v>2234.7600000000002</v>
      </c>
      <c r="U8">
        <f ca="1">IFERROR(IF(0=LEN(ReferenceData!$U$8),"",ReferenceData!$U$8),"")</f>
        <v>2279</v>
      </c>
      <c r="V8">
        <f ca="1">IFERROR(IF(0=LEN(ReferenceData!$V$8),"",ReferenceData!$V$8),"")</f>
        <v>1952.13</v>
      </c>
      <c r="W8">
        <f ca="1">IFERROR(IF(0=LEN(ReferenceData!$W$8),"",ReferenceData!$W$8),"")</f>
        <v>2079.36</v>
      </c>
      <c r="X8">
        <f ca="1">IFERROR(IF(0=LEN(ReferenceData!$X$8),"",ReferenceData!$X$8),"")</f>
        <v>1867.37</v>
      </c>
      <c r="Y8">
        <f ca="1">IFERROR(IF(0=LEN(ReferenceData!$Y$8),"",ReferenceData!$Y$8),"")</f>
        <v>1961.88</v>
      </c>
      <c r="Z8">
        <f ca="1">IFERROR(IF(0=LEN(ReferenceData!$Z$8),"",ReferenceData!$Z$8),"")</f>
        <v>1971.47</v>
      </c>
      <c r="AA8">
        <f ca="1">IFERROR(IF(0=LEN(ReferenceData!$AA$8),"",ReferenceData!$AA$8),"")</f>
        <v>1821.9</v>
      </c>
      <c r="AB8">
        <f ca="1">IFERROR(IF(0=LEN(ReferenceData!$AB$8),"",ReferenceData!$AB$8),"")</f>
        <v>1844.8286439999999</v>
      </c>
      <c r="AC8">
        <f ca="1">IFERROR(IF(0=LEN(ReferenceData!$AC$8),"",ReferenceData!$AC$8),"")</f>
        <v>1764.3909470000001</v>
      </c>
      <c r="AD8">
        <f ca="1">IFERROR(IF(0=LEN(ReferenceData!$AD$8),"",ReferenceData!$AD$8),"")</f>
        <v>1614.357252</v>
      </c>
      <c r="AE8">
        <f ca="1">IFERROR(IF(0=LEN(ReferenceData!$AE$8),"",ReferenceData!$AE$8),"")</f>
        <v>1529.1385540000001</v>
      </c>
      <c r="AF8">
        <f ca="1">IFERROR(IF(0=LEN(ReferenceData!$AF$8),"",ReferenceData!$AF$8),"")</f>
        <v>1674.8024539999999</v>
      </c>
      <c r="AG8">
        <f ca="1">IFERROR(IF(0=LEN(ReferenceData!$AG$8),"",ReferenceData!$AG$8),"")</f>
        <v>1887.480186</v>
      </c>
      <c r="AH8">
        <f ca="1">IFERROR(IF(0=LEN(ReferenceData!$AH$8),"",ReferenceData!$AH$8),"")</f>
        <v>1717.255576</v>
      </c>
      <c r="AI8">
        <f ca="1">IFERROR(IF(0=LEN(ReferenceData!$AI$8),"",ReferenceData!$AI$8),"")</f>
        <v>1983.0607299999999</v>
      </c>
      <c r="AJ8">
        <f ca="1">IFERROR(IF(0=LEN(ReferenceData!$AJ$8),"",ReferenceData!$AJ$8),"")</f>
        <v>2155.7234060000001</v>
      </c>
      <c r="AK8">
        <f ca="1">IFERROR(IF(0=LEN(ReferenceData!$AK$8),"",ReferenceData!$AK$8),"")</f>
        <v>1848.069285</v>
      </c>
      <c r="AL8">
        <f ca="1">IFERROR(IF(0=LEN(ReferenceData!$AL$8),"",ReferenceData!$AL$8),"")</f>
        <v>1827.226682</v>
      </c>
      <c r="AM8">
        <f ca="1">IFERROR(IF(0=LEN(ReferenceData!$AM$8),"",ReferenceData!$AM$8),"")</f>
        <v>1719.059497</v>
      </c>
      <c r="AN8">
        <f ca="1">IFERROR(IF(0=LEN(ReferenceData!$AN$8),"",ReferenceData!$AN$8),"")</f>
        <v>1758.6307099999999</v>
      </c>
      <c r="AO8">
        <f ca="1">IFERROR(IF(0=LEN(ReferenceData!$AO$8),"",ReferenceData!$AO$8),"")</f>
        <v>1384.0083999999999</v>
      </c>
      <c r="AP8">
        <f ca="1">IFERROR(IF(0=LEN(ReferenceData!$AP$8),"",ReferenceData!$AP$8),"")</f>
        <v>1438.9309599999999</v>
      </c>
      <c r="AQ8">
        <f ca="1">IFERROR(IF(0=LEN(ReferenceData!$AQ$8),"",ReferenceData!$AQ$8),"")</f>
        <v>1191.8690200000001</v>
      </c>
      <c r="AR8">
        <f ca="1">IFERROR(IF(0=LEN(ReferenceData!$AR$8),"",ReferenceData!$AR$8),"")</f>
        <v>1366.8398400000001</v>
      </c>
      <c r="AS8">
        <f ca="1">IFERROR(IF(0=LEN(ReferenceData!$AS$8),"",ReferenceData!$AS$8),"")</f>
        <v>1327.9889800000001</v>
      </c>
      <c r="AT8">
        <f ca="1">IFERROR(IF(0=LEN(ReferenceData!$AT$8),"",ReferenceData!$AT$8),"")</f>
        <v>1196.51109</v>
      </c>
      <c r="AU8">
        <f ca="1">IFERROR(IF(0=LEN(ReferenceData!$AU$8),"",ReferenceData!$AU$8),"")</f>
        <v>1039.2254499999999</v>
      </c>
      <c r="AV8">
        <f ca="1">IFERROR(IF(0=LEN(ReferenceData!$AV$8),"",ReferenceData!$AV$8),"")</f>
        <v>1645.2135000000001</v>
      </c>
      <c r="AW8">
        <f ca="1">IFERROR(IF(0=LEN(ReferenceData!$AW$8),"",ReferenceData!$AW$8),"")</f>
        <v>2036.8447699999999</v>
      </c>
      <c r="AX8">
        <f ca="1">IFERROR(IF(0=LEN(ReferenceData!$AX$8),"",ReferenceData!$AX$8),"")</f>
        <v>1989.1601800000001</v>
      </c>
      <c r="AY8">
        <f ca="1">IFERROR(IF(0=LEN(ReferenceData!$AY$8),"",ReferenceData!$AY$8),"")</f>
        <v>2016.3222800000001</v>
      </c>
      <c r="AZ8">
        <f ca="1">IFERROR(IF(0=LEN(ReferenceData!$AZ$8),"",ReferenceData!$AZ$8),"")</f>
        <v>2033.2465299999999</v>
      </c>
      <c r="BA8">
        <f ca="1">IFERROR(IF(0=LEN(ReferenceData!$BA$8),"",ReferenceData!$BA$8),"")</f>
        <v>2058.3624599999998</v>
      </c>
      <c r="BB8">
        <f ca="1">IFERROR(IF(0=LEN(ReferenceData!$BB$8),"",ReferenceData!$BB$8),"")</f>
        <v>2085.8340199999998</v>
      </c>
      <c r="BC8">
        <f ca="1">IFERROR(IF(0=LEN(ReferenceData!$BC$8),"",ReferenceData!$BC$8),"")</f>
        <v>1988.7229199999999</v>
      </c>
      <c r="BD8">
        <f ca="1">IFERROR(IF(0=LEN(ReferenceData!$BD$8),"",ReferenceData!$BD$8),"")</f>
        <v>2057.4578000000001</v>
      </c>
      <c r="BE8">
        <f ca="1">IFERROR(IF(0=LEN(ReferenceData!$BE$8),"",ReferenceData!$BE$8),"")</f>
        <v>2123.9017600000002</v>
      </c>
      <c r="BF8">
        <f ca="1">IFERROR(IF(0=LEN(ReferenceData!$BF$8),"",ReferenceData!$BF$8),"")</f>
        <v>1826.45532</v>
      </c>
      <c r="BG8">
        <f ca="1">IFERROR(IF(0=LEN(ReferenceData!$BG$8),"",ReferenceData!$BG$8),"")</f>
        <v>1919.56864</v>
      </c>
      <c r="BH8">
        <f ca="1">IFERROR(IF(0=LEN(ReferenceData!$BH$8),"",ReferenceData!$BH$8),"")</f>
        <v>1883.2101</v>
      </c>
      <c r="BI8">
        <f ca="1">IFERROR(IF(0=LEN(ReferenceData!$BI$8),"",ReferenceData!$BI$8),"")</f>
        <v>2238.1785199999999</v>
      </c>
      <c r="BJ8">
        <f ca="1">IFERROR(IF(0=LEN(ReferenceData!$BJ$8),"",ReferenceData!$BJ$8),"")</f>
        <v>1872.52232</v>
      </c>
      <c r="BK8">
        <f ca="1">IFERROR(IF(0=LEN(ReferenceData!$BK$8),"",ReferenceData!$BK$8),"")</f>
        <v>2114.0452</v>
      </c>
      <c r="BL8">
        <f ca="1">IFERROR(IF(0=LEN(ReferenceData!$BL$8),"",ReferenceData!$BL$8),"")</f>
        <v>2143.2012100000002</v>
      </c>
      <c r="BM8">
        <f ca="1">IFERROR(IF(0=LEN(ReferenceData!$BM$8),"",ReferenceData!$BM$8),"")</f>
        <v>1950.49973</v>
      </c>
      <c r="BN8">
        <f ca="1">IFERROR(IF(0=LEN(ReferenceData!$BN$8),"",ReferenceData!$BN$8),"")</f>
        <v>1930.1438800000001</v>
      </c>
      <c r="BO8">
        <f ca="1">IFERROR(IF(0=LEN(ReferenceData!$BO$8),"",ReferenceData!$BO$8),"")</f>
        <v>2001.1186600000001</v>
      </c>
      <c r="BP8">
        <f ca="1">IFERROR(IF(0=LEN(ReferenceData!$BP$8),"",ReferenceData!$BP$8),"")</f>
        <v>1745.04504</v>
      </c>
      <c r="BQ8">
        <f ca="1">IFERROR(IF(0=LEN(ReferenceData!$BQ$8),"",ReferenceData!$BQ$8),"")</f>
        <v>2319.8907899999999</v>
      </c>
      <c r="BR8">
        <f ca="1">IFERROR(IF(0=LEN(ReferenceData!$BR$8),"",ReferenceData!$BR$8),"")</f>
        <v>2049.9008699999999</v>
      </c>
      <c r="BS8">
        <f ca="1">IFERROR(IF(0=LEN(ReferenceData!$BS$8),"",ReferenceData!$BS$8),"")</f>
        <v>1961.8531599999999</v>
      </c>
      <c r="BT8">
        <f ca="1">IFERROR(IF(0=LEN(ReferenceData!$BT$8),"",ReferenceData!$BT$8),"")</f>
        <v>2140.1741900000002</v>
      </c>
      <c r="BU8">
        <f ca="1">IFERROR(IF(0=LEN(ReferenceData!$BU$8),"",ReferenceData!$BU$8),"")</f>
        <v>2536.9369999999999</v>
      </c>
      <c r="BV8">
        <f ca="1">IFERROR(IF(0=LEN(ReferenceData!$BV$8),"",ReferenceData!$BV$8),"")</f>
        <v>1667.9331099999999</v>
      </c>
      <c r="BW8">
        <f ca="1">IFERROR(IF(0=LEN(ReferenceData!$BW$8),"",ReferenceData!$BW$8),"")</f>
        <v>1876.63976</v>
      </c>
      <c r="BX8">
        <f ca="1">IFERROR(IF(0=LEN(ReferenceData!$BX$8),"",ReferenceData!$BX$8),"")</f>
        <v>1962.1460099999999</v>
      </c>
      <c r="BY8">
        <f ca="1">IFERROR(IF(0=LEN(ReferenceData!$BY$8),"",ReferenceData!$BY$8),"")</f>
        <v>1977.72327</v>
      </c>
      <c r="BZ8">
        <f ca="1">IFERROR(IF(0=LEN(ReferenceData!$BZ$8),"",ReferenceData!$BZ$8),"")</f>
        <v>2108.42731</v>
      </c>
      <c r="CA8">
        <f ca="1">IFERROR(IF(0=LEN(ReferenceData!$CA$8),"",ReferenceData!$CA$8),"")</f>
        <v>2228.33556</v>
      </c>
      <c r="CB8">
        <f ca="1">IFERROR(IF(0=LEN(ReferenceData!$CB$8),"",ReferenceData!$CB$8),"")</f>
        <v>2599.2217500000002</v>
      </c>
      <c r="CC8">
        <f ca="1">IFERROR(IF(0=LEN(ReferenceData!$CC$8),"",ReferenceData!$CC$8),"")</f>
        <v>1914.07169</v>
      </c>
      <c r="CD8">
        <f ca="1">IFERROR(IF(0=LEN(ReferenceData!$CD$8),"",ReferenceData!$CD$8),"")</f>
        <v>1838.6752799999999</v>
      </c>
      <c r="CE8">
        <f ca="1">IFERROR(IF(0=LEN(ReferenceData!$CE$8),"",ReferenceData!$CE$8),"")</f>
        <v>2053.17398</v>
      </c>
      <c r="CF8">
        <f ca="1">IFERROR(IF(0=LEN(ReferenceData!$CF$8),"",ReferenceData!$CF$8),"")</f>
        <v>3874.5571300000001</v>
      </c>
      <c r="CG8">
        <f ca="1">IFERROR(IF(0=LEN(ReferenceData!$CG$8),"",ReferenceData!$CG$8),"")</f>
        <v>2582.7511100000002</v>
      </c>
      <c r="CH8">
        <f ca="1">IFERROR(IF(0=LEN(ReferenceData!$CH$8),"",ReferenceData!$CH$8),"")</f>
        <v>2076.6203300000002</v>
      </c>
      <c r="CI8">
        <f ca="1">IFERROR(IF(0=LEN(ReferenceData!$CI$8),"",ReferenceData!$CI$8),"")</f>
        <v>1728.6111699999999</v>
      </c>
      <c r="CJ8">
        <f ca="1">IFERROR(IF(0=LEN(ReferenceData!$CJ$8),"",ReferenceData!$CJ$8),"")</f>
        <v>1746.7508600000001</v>
      </c>
      <c r="CK8">
        <f ca="1">IFERROR(IF(0=LEN(ReferenceData!$CK$8),"",ReferenceData!$CK$8),"")</f>
        <v>2153.67434</v>
      </c>
    </row>
    <row r="9" spans="1:89" x14ac:dyDescent="0.25">
      <c r="A9" t="str">
        <f>IFERROR(IF(0=LEN(ReferenceData!$A$9),"",ReferenceData!$A$9),"")</f>
        <v xml:space="preserve">        Bulk Cargo (000 tonnes)</v>
      </c>
      <c r="B9" t="str">
        <f>IFERROR(IF(0=LEN(ReferenceData!$B$9),"",ReferenceData!$B$9),"")</f>
        <v/>
      </c>
      <c r="C9" t="str">
        <f>IFERROR(IF(0=LEN(ReferenceData!$C$9),"",ReferenceData!$C$9),"")</f>
        <v/>
      </c>
      <c r="D9" t="str">
        <f>IFERROR(IF(0=LEN(ReferenceData!$D$9),"",ReferenceData!$D$9),"")</f>
        <v/>
      </c>
      <c r="E9" t="str">
        <f>IFERROR(IF(0=LEN(ReferenceData!$E$9),"",ReferenceData!$E$9),"")</f>
        <v>Sum</v>
      </c>
      <c r="F9" t="str">
        <f ca="1">IFERROR(IF(0=LEN(ReferenceData!$F$9),"",ReferenceData!$F$9),"")</f>
        <v/>
      </c>
      <c r="G9">
        <f ca="1">IFERROR(IF(0=LEN(ReferenceData!$G$9),"",ReferenceData!$G$9),"")</f>
        <v>16462.22</v>
      </c>
      <c r="H9">
        <f ca="1">IFERROR(IF(0=LEN(ReferenceData!$H$9),"",ReferenceData!$H$9),"")</f>
        <v>17909.66</v>
      </c>
      <c r="I9">
        <f ca="1">IFERROR(IF(0=LEN(ReferenceData!$I$9),"",ReferenceData!$I$9),"")</f>
        <v>18564.71</v>
      </c>
      <c r="J9">
        <f ca="1">IFERROR(IF(0=LEN(ReferenceData!$J$9),"",ReferenceData!$J$9),"")</f>
        <v>18299.82</v>
      </c>
      <c r="K9">
        <f ca="1">IFERROR(IF(0=LEN(ReferenceData!$K$9),"",ReferenceData!$K$9),"")</f>
        <v>16137.32</v>
      </c>
      <c r="L9">
        <f ca="1">IFERROR(IF(0=LEN(ReferenceData!$L$9),"",ReferenceData!$L$9),"")</f>
        <v>17402.75</v>
      </c>
      <c r="M9">
        <f ca="1">IFERROR(IF(0=LEN(ReferenceData!$M$9),"",ReferenceData!$M$9),"")</f>
        <v>17390.95896</v>
      </c>
      <c r="N9">
        <f ca="1">IFERROR(IF(0=LEN(ReferenceData!$N$9),"",ReferenceData!$N$9),"")</f>
        <v>18473.78</v>
      </c>
      <c r="O9">
        <f ca="1">IFERROR(IF(0=LEN(ReferenceData!$O$9),"",ReferenceData!$O$9),"")</f>
        <v>18620.039900000003</v>
      </c>
      <c r="P9">
        <f ca="1">IFERROR(IF(0=LEN(ReferenceData!$P$9),"",ReferenceData!$P$9),"")</f>
        <v>18841.89</v>
      </c>
      <c r="Q9">
        <f ca="1">IFERROR(IF(0=LEN(ReferenceData!$Q$9),"",ReferenceData!$Q$9),"")</f>
        <v>17654.950229999999</v>
      </c>
      <c r="R9">
        <f ca="1">IFERROR(IF(0=LEN(ReferenceData!$R$9),"",ReferenceData!$R$9),"")</f>
        <v>17716.560000000001</v>
      </c>
      <c r="S9">
        <f ca="1">IFERROR(IF(0=LEN(ReferenceData!$S$9),"",ReferenceData!$S$9),"")</f>
        <v>17723.37</v>
      </c>
      <c r="T9">
        <f ca="1">IFERROR(IF(0=LEN(ReferenceData!$T$9),"",ReferenceData!$T$9),"")</f>
        <v>18074.93</v>
      </c>
      <c r="U9">
        <f ca="1">IFERROR(IF(0=LEN(ReferenceData!$U$9),"",ReferenceData!$U$9),"")</f>
        <v>18422.48</v>
      </c>
      <c r="V9">
        <f ca="1">IFERROR(IF(0=LEN(ReferenceData!$V$9),"",ReferenceData!$V$9),"")</f>
        <v>17359.34</v>
      </c>
      <c r="W9">
        <f ca="1">IFERROR(IF(0=LEN(ReferenceData!$W$9),"",ReferenceData!$W$9),"")</f>
        <v>16501.330000000002</v>
      </c>
      <c r="X9">
        <f ca="1">IFERROR(IF(0=LEN(ReferenceData!$X$9),"",ReferenceData!$X$9),"")</f>
        <v>16411.939999999999</v>
      </c>
      <c r="Y9">
        <f ca="1">IFERROR(IF(0=LEN(ReferenceData!$Y$9),"",ReferenceData!$Y$9),"")</f>
        <v>16921.71</v>
      </c>
      <c r="Z9">
        <f ca="1">IFERROR(IF(0=LEN(ReferenceData!$Z$9),"",ReferenceData!$Z$9),"")</f>
        <v>15693.37</v>
      </c>
      <c r="AA9">
        <f ca="1">IFERROR(IF(0=LEN(ReferenceData!$AA$9),"",ReferenceData!$AA$9),"")</f>
        <v>19794.02</v>
      </c>
      <c r="AB9">
        <f ca="1">IFERROR(IF(0=LEN(ReferenceData!$AB$9),"",ReferenceData!$AB$9),"")</f>
        <v>15361.8406</v>
      </c>
      <c r="AC9">
        <f ca="1">IFERROR(IF(0=LEN(ReferenceData!$AC$9),"",ReferenceData!$AC$9),"")</f>
        <v>19790.077350000003</v>
      </c>
      <c r="AD9">
        <f ca="1">IFERROR(IF(0=LEN(ReferenceData!$AD$9),"",ReferenceData!$AD$9),"")</f>
        <v>17792.576970000002</v>
      </c>
      <c r="AE9">
        <f ca="1">IFERROR(IF(0=LEN(ReferenceData!$AE$9),"",ReferenceData!$AE$9),"")</f>
        <v>17367.220359999999</v>
      </c>
      <c r="AF9">
        <f ca="1">IFERROR(IF(0=LEN(ReferenceData!$AF$9),"",ReferenceData!$AF$9),"")</f>
        <v>17704.050439999999</v>
      </c>
      <c r="AG9">
        <f ca="1">IFERROR(IF(0=LEN(ReferenceData!$AG$9),"",ReferenceData!$AG$9),"")</f>
        <v>18089.801190000002</v>
      </c>
      <c r="AH9">
        <f ca="1">IFERROR(IF(0=LEN(ReferenceData!$AH$9),"",ReferenceData!$AH$9),"")</f>
        <v>16970.297879999998</v>
      </c>
      <c r="AI9">
        <f ca="1">IFERROR(IF(0=LEN(ReferenceData!$AI$9),"",ReferenceData!$AI$9),"")</f>
        <v>18110.135539999999</v>
      </c>
      <c r="AJ9">
        <f ca="1">IFERROR(IF(0=LEN(ReferenceData!$AJ$9),"",ReferenceData!$AJ$9),"")</f>
        <v>18324.86851</v>
      </c>
      <c r="AK9">
        <f ca="1">IFERROR(IF(0=LEN(ReferenceData!$AK$9),"",ReferenceData!$AK$9),"")</f>
        <v>18958.04609</v>
      </c>
      <c r="AL9">
        <f ca="1">IFERROR(IF(0=LEN(ReferenceData!$AL$9),"",ReferenceData!$AL$9),"")</f>
        <v>17227.944500000001</v>
      </c>
      <c r="AM9">
        <f ca="1">IFERROR(IF(0=LEN(ReferenceData!$AM$9),"",ReferenceData!$AM$9),"")</f>
        <v>18628.700379999998</v>
      </c>
      <c r="AN9">
        <f ca="1">IFERROR(IF(0=LEN(ReferenceData!$AN$9),"",ReferenceData!$AN$9),"")</f>
        <v>16680.197359999998</v>
      </c>
      <c r="AO9">
        <f ca="1">IFERROR(IF(0=LEN(ReferenceData!$AO$9),"",ReferenceData!$AO$9),"")</f>
        <v>17564.310139999998</v>
      </c>
      <c r="AP9">
        <f ca="1">IFERROR(IF(0=LEN(ReferenceData!$AP$9),"",ReferenceData!$AP$9),"")</f>
        <v>17387.771239999998</v>
      </c>
      <c r="AQ9">
        <f ca="1">IFERROR(IF(0=LEN(ReferenceData!$AQ$9),"",ReferenceData!$AQ$9),"")</f>
        <v>17465.925869999999</v>
      </c>
      <c r="AR9">
        <f ca="1">IFERROR(IF(0=LEN(ReferenceData!$AR$9),"",ReferenceData!$AR$9),"")</f>
        <v>18282.582129999999</v>
      </c>
      <c r="AS9">
        <f ca="1">IFERROR(IF(0=LEN(ReferenceData!$AS$9),"",ReferenceData!$AS$9),"")</f>
        <v>18358.901030000001</v>
      </c>
      <c r="AT9">
        <f ca="1">IFERROR(IF(0=LEN(ReferenceData!$AT$9),"",ReferenceData!$AT$9),"")</f>
        <v>18902.437139999998</v>
      </c>
      <c r="AU9">
        <f ca="1">IFERROR(IF(0=LEN(ReferenceData!$AU$9),"",ReferenceData!$AU$9),"")</f>
        <v>16882.614229999999</v>
      </c>
      <c r="AV9">
        <f ca="1">IFERROR(IF(0=LEN(ReferenceData!$AV$9),"",ReferenceData!$AV$9),"")</f>
        <v>17270.74307</v>
      </c>
      <c r="AW9">
        <f ca="1">IFERROR(IF(0=LEN(ReferenceData!$AW$9),"",ReferenceData!$AW$9),"")</f>
        <v>18767.774100000002</v>
      </c>
      <c r="AX9">
        <f ca="1">IFERROR(IF(0=LEN(ReferenceData!$AX$9),"",ReferenceData!$AX$9),"")</f>
        <v>17912.887350000001</v>
      </c>
      <c r="AY9">
        <f ca="1">IFERROR(IF(0=LEN(ReferenceData!$AY$9),"",ReferenceData!$AY$9),"")</f>
        <v>18891.80833</v>
      </c>
      <c r="AZ9">
        <f ca="1">IFERROR(IF(0=LEN(ReferenceData!$AZ$9),"",ReferenceData!$AZ$9),"")</f>
        <v>19651.680510000002</v>
      </c>
      <c r="BA9">
        <f ca="1">IFERROR(IF(0=LEN(ReferenceData!$BA$9),"",ReferenceData!$BA$9),"")</f>
        <v>18550.59808</v>
      </c>
      <c r="BB9">
        <f ca="1">IFERROR(IF(0=LEN(ReferenceData!$BB$9),"",ReferenceData!$BB$9),"")</f>
        <v>19585.39301</v>
      </c>
      <c r="BC9">
        <f ca="1">IFERROR(IF(0=LEN(ReferenceData!$BC$9),"",ReferenceData!$BC$9),"")</f>
        <v>18036.916880000001</v>
      </c>
      <c r="BD9">
        <f ca="1">IFERROR(IF(0=LEN(ReferenceData!$BD$9),"",ReferenceData!$BD$9),"")</f>
        <v>18121.89646</v>
      </c>
      <c r="BE9">
        <f ca="1">IFERROR(IF(0=LEN(ReferenceData!$BE$9),"",ReferenceData!$BE$9),"")</f>
        <v>18235.182489999999</v>
      </c>
      <c r="BF9">
        <f ca="1">IFERROR(IF(0=LEN(ReferenceData!$BF$9),"",ReferenceData!$BF$9),"")</f>
        <v>22062.569899999999</v>
      </c>
      <c r="BG9">
        <f ca="1">IFERROR(IF(0=LEN(ReferenceData!$BG$9),"",ReferenceData!$BG$9),"")</f>
        <v>22968.379710000001</v>
      </c>
      <c r="BH9">
        <f ca="1">IFERROR(IF(0=LEN(ReferenceData!$BH$9),"",ReferenceData!$BH$9),"")</f>
        <v>22099.460920000001</v>
      </c>
      <c r="BI9">
        <f ca="1">IFERROR(IF(0=LEN(ReferenceData!$BI$9),"",ReferenceData!$BI$9),"")</f>
        <v>17712.936799999999</v>
      </c>
      <c r="BJ9">
        <f ca="1">IFERROR(IF(0=LEN(ReferenceData!$BJ$9),"",ReferenceData!$BJ$9),"")</f>
        <v>19461.902850000002</v>
      </c>
      <c r="BK9">
        <f ca="1">IFERROR(IF(0=LEN(ReferenceData!$BK$9),"",ReferenceData!$BK$9),"")</f>
        <v>20598.611559999998</v>
      </c>
      <c r="BL9">
        <f ca="1">IFERROR(IF(0=LEN(ReferenceData!$BL$9),"",ReferenceData!$BL$9),"")</f>
        <v>20974.802110000001</v>
      </c>
      <c r="BM9">
        <f ca="1">IFERROR(IF(0=LEN(ReferenceData!$BM$9),"",ReferenceData!$BM$9),"")</f>
        <v>19900.61536</v>
      </c>
      <c r="BN9">
        <f ca="1">IFERROR(IF(0=LEN(ReferenceData!$BN$9),"",ReferenceData!$BN$9),"")</f>
        <v>21053.50722</v>
      </c>
      <c r="BO9">
        <f ca="1">IFERROR(IF(0=LEN(ReferenceData!$BO$9),"",ReferenceData!$BO$9),"")</f>
        <v>18669.94328</v>
      </c>
      <c r="BP9">
        <f ca="1">IFERROR(IF(0=LEN(ReferenceData!$BP$9),"",ReferenceData!$BP$9),"")</f>
        <v>21564.755539999998</v>
      </c>
      <c r="BQ9">
        <f ca="1">IFERROR(IF(0=LEN(ReferenceData!$BQ$9),"",ReferenceData!$BQ$9),"")</f>
        <v>18422.722139999998</v>
      </c>
      <c r="BR9">
        <f ca="1">IFERROR(IF(0=LEN(ReferenceData!$BR$9),"",ReferenceData!$BR$9),"")</f>
        <v>18876.347849999998</v>
      </c>
      <c r="BS9">
        <f ca="1">IFERROR(IF(0=LEN(ReferenceData!$BS$9),"",ReferenceData!$BS$9),"")</f>
        <v>19026.77464</v>
      </c>
      <c r="BT9">
        <f ca="1">IFERROR(IF(0=LEN(ReferenceData!$BT$9),"",ReferenceData!$BT$9),"")</f>
        <v>19835.465560000001</v>
      </c>
      <c r="BU9">
        <f ca="1">IFERROR(IF(0=LEN(ReferenceData!$BU$9),"",ReferenceData!$BU$9),"")</f>
        <v>19604.242829999999</v>
      </c>
      <c r="BV9">
        <f ca="1">IFERROR(IF(0=LEN(ReferenceData!$BV$9),"",ReferenceData!$BV$9),"")</f>
        <v>19348.775320000001</v>
      </c>
      <c r="BW9">
        <f ca="1">IFERROR(IF(0=LEN(ReferenceData!$BW$9),"",ReferenceData!$BW$9),"")</f>
        <v>21102.086759999998</v>
      </c>
      <c r="BX9">
        <f ca="1">IFERROR(IF(0=LEN(ReferenceData!$BX$9),"",ReferenceData!$BX$9),"")</f>
        <v>22130.213879999999</v>
      </c>
      <c r="BY9">
        <f ca="1">IFERROR(IF(0=LEN(ReferenceData!$BY$9),"",ReferenceData!$BY$9),"")</f>
        <v>21200.766589999999</v>
      </c>
      <c r="BZ9">
        <f ca="1">IFERROR(IF(0=LEN(ReferenceData!$BZ$9),"",ReferenceData!$BZ$9),"")</f>
        <v>22606.88941</v>
      </c>
      <c r="CA9">
        <f ca="1">IFERROR(IF(0=LEN(ReferenceData!$CA$9),"",ReferenceData!$CA$9),"")</f>
        <v>21830.200260000001</v>
      </c>
      <c r="CB9">
        <f ca="1">IFERROR(IF(0=LEN(ReferenceData!$CB$9),"",ReferenceData!$CB$9),"")</f>
        <v>20529.922009999998</v>
      </c>
      <c r="CC9">
        <f ca="1">IFERROR(IF(0=LEN(ReferenceData!$CC$9),"",ReferenceData!$CC$9),"")</f>
        <v>18415.032469999998</v>
      </c>
      <c r="CD9">
        <f ca="1">IFERROR(IF(0=LEN(ReferenceData!$CD$9),"",ReferenceData!$CD$9),"")</f>
        <v>19553.54581</v>
      </c>
      <c r="CE9">
        <f ca="1">IFERROR(IF(0=LEN(ReferenceData!$CE$9),"",ReferenceData!$CE$9),"")</f>
        <v>20465.178500000002</v>
      </c>
      <c r="CF9">
        <f ca="1">IFERROR(IF(0=LEN(ReferenceData!$CF$9),"",ReferenceData!$CF$9),"")</f>
        <v>20322.771429999997</v>
      </c>
      <c r="CG9">
        <f ca="1">IFERROR(IF(0=LEN(ReferenceData!$CG$9),"",ReferenceData!$CG$9),"")</f>
        <v>21191.467989999997</v>
      </c>
      <c r="CH9">
        <f ca="1">IFERROR(IF(0=LEN(ReferenceData!$CH$9),"",ReferenceData!$CH$9),"")</f>
        <v>21183.7709</v>
      </c>
      <c r="CI9">
        <f ca="1">IFERROR(IF(0=LEN(ReferenceData!$CI$9),"",ReferenceData!$CI$9),"")</f>
        <v>22212.578679999999</v>
      </c>
      <c r="CJ9">
        <f ca="1">IFERROR(IF(0=LEN(ReferenceData!$CJ$9),"",ReferenceData!$CJ$9),"")</f>
        <v>22138.3145</v>
      </c>
      <c r="CK9">
        <f ca="1">IFERROR(IF(0=LEN(ReferenceData!$CK$9),"",ReferenceData!$CK$9),"")</f>
        <v>20896.938340000001</v>
      </c>
    </row>
    <row r="10" spans="1:89" x14ac:dyDescent="0.25">
      <c r="A10" t="str">
        <f>IFERROR(IF(0=LEN(ReferenceData!$A$10),"",ReferenceData!$A$10),"")</f>
        <v xml:space="preserve">            Oil (000 tonnes)</v>
      </c>
      <c r="B10" t="str">
        <f>IFERROR(IF(0=LEN(ReferenceData!$B$10),"",ReferenceData!$B$10),"")</f>
        <v>SIVSOIL Index</v>
      </c>
      <c r="C10" t="str">
        <f>IFERROR(IF(0=LEN(ReferenceData!$C$10),"",ReferenceData!$C$10),"")</f>
        <v>PR005</v>
      </c>
      <c r="D10" t="str">
        <f>IFERROR(IF(0=LEN(ReferenceData!$D$10),"",ReferenceData!$D$10),"")</f>
        <v>PX_LAST</v>
      </c>
      <c r="E10" t="str">
        <f>IFERROR(IF(0=LEN(ReferenceData!$E$10),"",ReferenceData!$E$10),"")</f>
        <v>Dynamic</v>
      </c>
      <c r="F10" t="str">
        <f ca="1">IFERROR(IF(0=LEN(ReferenceData!$F$10),"",ReferenceData!$F$10),"")</f>
        <v/>
      </c>
      <c r="G10">
        <f ca="1">IFERROR(IF(0=LEN(ReferenceData!$G$10),"",ReferenceData!$G$10),"")</f>
        <v>14688.28</v>
      </c>
      <c r="H10">
        <f ca="1">IFERROR(IF(0=LEN(ReferenceData!$H$10),"",ReferenceData!$H$10),"")</f>
        <v>16366.02</v>
      </c>
      <c r="I10">
        <f ca="1">IFERROR(IF(0=LEN(ReferenceData!$I$10),"",ReferenceData!$I$10),"")</f>
        <v>16861.7</v>
      </c>
      <c r="J10">
        <f ca="1">IFERROR(IF(0=LEN(ReferenceData!$J$10),"",ReferenceData!$J$10),"")</f>
        <v>16406.599999999999</v>
      </c>
      <c r="K10">
        <f ca="1">IFERROR(IF(0=LEN(ReferenceData!$K$10),"",ReferenceData!$K$10),"")</f>
        <v>14205.23</v>
      </c>
      <c r="L10">
        <f ca="1">IFERROR(IF(0=LEN(ReferenceData!$L$10),"",ReferenceData!$L$10),"")</f>
        <v>15821.44</v>
      </c>
      <c r="M10">
        <f ca="1">IFERROR(IF(0=LEN(ReferenceData!$M$10),"",ReferenceData!$M$10),"")</f>
        <v>15358.678959999999</v>
      </c>
      <c r="N10">
        <f ca="1">IFERROR(IF(0=LEN(ReferenceData!$N$10),"",ReferenceData!$N$10),"")</f>
        <v>17008.419999999998</v>
      </c>
      <c r="O10">
        <f ca="1">IFERROR(IF(0=LEN(ReferenceData!$O$10),"",ReferenceData!$O$10),"")</f>
        <v>16384.549900000002</v>
      </c>
      <c r="P10">
        <f ca="1">IFERROR(IF(0=LEN(ReferenceData!$P$10),"",ReferenceData!$P$10),"")</f>
        <v>16244.2</v>
      </c>
      <c r="Q10">
        <f ca="1">IFERROR(IF(0=LEN(ReferenceData!$Q$10),"",ReferenceData!$Q$10),"")</f>
        <v>16122.94023</v>
      </c>
      <c r="R10">
        <f ca="1">IFERROR(IF(0=LEN(ReferenceData!$R$10),"",ReferenceData!$R$10),"")</f>
        <v>15917.49</v>
      </c>
      <c r="S10">
        <f ca="1">IFERROR(IF(0=LEN(ReferenceData!$S$10),"",ReferenceData!$S$10),"")</f>
        <v>15915.8</v>
      </c>
      <c r="T10">
        <f ca="1">IFERROR(IF(0=LEN(ReferenceData!$T$10),"",ReferenceData!$T$10),"")</f>
        <v>16550.61</v>
      </c>
      <c r="U10">
        <f ca="1">IFERROR(IF(0=LEN(ReferenceData!$U$10),"",ReferenceData!$U$10),"")</f>
        <v>16522.52</v>
      </c>
      <c r="V10">
        <f ca="1">IFERROR(IF(0=LEN(ReferenceData!$V$10),"",ReferenceData!$V$10),"")</f>
        <v>15933.28</v>
      </c>
      <c r="W10">
        <f ca="1">IFERROR(IF(0=LEN(ReferenceData!$W$10),"",ReferenceData!$W$10),"")</f>
        <v>14760.1</v>
      </c>
      <c r="X10">
        <f ca="1">IFERROR(IF(0=LEN(ReferenceData!$X$10),"",ReferenceData!$X$10),"")</f>
        <v>14994.1</v>
      </c>
      <c r="Y10">
        <f ca="1">IFERROR(IF(0=LEN(ReferenceData!$Y$10),"",ReferenceData!$Y$10),"")</f>
        <v>15133.1</v>
      </c>
      <c r="Z10">
        <f ca="1">IFERROR(IF(0=LEN(ReferenceData!$Z$10),"",ReferenceData!$Z$10),"")</f>
        <v>14215.03</v>
      </c>
      <c r="AA10">
        <f ca="1">IFERROR(IF(0=LEN(ReferenceData!$AA$10),"",ReferenceData!$AA$10),"")</f>
        <v>18046.82</v>
      </c>
      <c r="AB10">
        <f ca="1">IFERROR(IF(0=LEN(ReferenceData!$AB$10),"",ReferenceData!$AB$10),"")</f>
        <v>13684.437</v>
      </c>
      <c r="AC10">
        <f ca="1">IFERROR(IF(0=LEN(ReferenceData!$AC$10),"",ReferenceData!$AC$10),"")</f>
        <v>17777.097000000002</v>
      </c>
      <c r="AD10">
        <f ca="1">IFERROR(IF(0=LEN(ReferenceData!$AD$10),"",ReferenceData!$AD$10),"")</f>
        <v>16409.505000000001</v>
      </c>
      <c r="AE10">
        <f ca="1">IFERROR(IF(0=LEN(ReferenceData!$AE$10),"",ReferenceData!$AE$10),"")</f>
        <v>15619.388000000001</v>
      </c>
      <c r="AF10">
        <f ca="1">IFERROR(IF(0=LEN(ReferenceData!$AF$10),"",ReferenceData!$AF$10),"")</f>
        <v>15965.427</v>
      </c>
      <c r="AG10">
        <f ca="1">IFERROR(IF(0=LEN(ReferenceData!$AG$10),"",ReferenceData!$AG$10),"")</f>
        <v>16091.297</v>
      </c>
      <c r="AH10">
        <f ca="1">IFERROR(IF(0=LEN(ReferenceData!$AH$10),"",ReferenceData!$AH$10),"")</f>
        <v>15284.91</v>
      </c>
      <c r="AI10">
        <f ca="1">IFERROR(IF(0=LEN(ReferenceData!$AI$10),"",ReferenceData!$AI$10),"")</f>
        <v>15937.161</v>
      </c>
      <c r="AJ10">
        <f ca="1">IFERROR(IF(0=LEN(ReferenceData!$AJ$10),"",ReferenceData!$AJ$10),"")</f>
        <v>16361.102999999999</v>
      </c>
      <c r="AK10">
        <f ca="1">IFERROR(IF(0=LEN(ReferenceData!$AK$10),"",ReferenceData!$AK$10),"")</f>
        <v>17101.742999999999</v>
      </c>
      <c r="AL10">
        <f ca="1">IFERROR(IF(0=LEN(ReferenceData!$AL$10),"",ReferenceData!$AL$10),"")</f>
        <v>14980.808000000001</v>
      </c>
      <c r="AM10">
        <f ca="1">IFERROR(IF(0=LEN(ReferenceData!$AM$10),"",ReferenceData!$AM$10),"")</f>
        <v>16391.848999999998</v>
      </c>
      <c r="AN10">
        <f ca="1">IFERROR(IF(0=LEN(ReferenceData!$AN$10),"",ReferenceData!$AN$10),"")</f>
        <v>14684.215</v>
      </c>
      <c r="AO10">
        <f ca="1">IFERROR(IF(0=LEN(ReferenceData!$AO$10),"",ReferenceData!$AO$10),"")</f>
        <v>16039.441999999999</v>
      </c>
      <c r="AP10">
        <f ca="1">IFERROR(IF(0=LEN(ReferenceData!$AP$10),"",ReferenceData!$AP$10),"")</f>
        <v>15303.764999999999</v>
      </c>
      <c r="AQ10">
        <f ca="1">IFERROR(IF(0=LEN(ReferenceData!$AQ$10),"",ReferenceData!$AQ$10),"")</f>
        <v>15845.503000000001</v>
      </c>
      <c r="AR10">
        <f ca="1">IFERROR(IF(0=LEN(ReferenceData!$AR$10),"",ReferenceData!$AR$10),"")</f>
        <v>16410.314999999999</v>
      </c>
      <c r="AS10">
        <f ca="1">IFERROR(IF(0=LEN(ReferenceData!$AS$10),"",ReferenceData!$AS$10),"")</f>
        <v>16994.061000000002</v>
      </c>
      <c r="AT10">
        <f ca="1">IFERROR(IF(0=LEN(ReferenceData!$AT$10),"",ReferenceData!$AT$10),"")</f>
        <v>17321.462</v>
      </c>
      <c r="AU10">
        <f ca="1">IFERROR(IF(0=LEN(ReferenceData!$AU$10),"",ReferenceData!$AU$10),"")</f>
        <v>15504.239</v>
      </c>
      <c r="AV10">
        <f ca="1">IFERROR(IF(0=LEN(ReferenceData!$AV$10),"",ReferenceData!$AV$10),"")</f>
        <v>15589.296</v>
      </c>
      <c r="AW10">
        <f ca="1">IFERROR(IF(0=LEN(ReferenceData!$AW$10),"",ReferenceData!$AW$10),"")</f>
        <v>17106.952000000001</v>
      </c>
      <c r="AX10">
        <f ca="1">IFERROR(IF(0=LEN(ReferenceData!$AX$10),"",ReferenceData!$AX$10),"")</f>
        <v>16285.841</v>
      </c>
      <c r="AY10">
        <f ca="1">IFERROR(IF(0=LEN(ReferenceData!$AY$10),"",ReferenceData!$AY$10),"")</f>
        <v>17243.555</v>
      </c>
      <c r="AZ10">
        <f ca="1">IFERROR(IF(0=LEN(ReferenceData!$AZ$10),"",ReferenceData!$AZ$10),"")</f>
        <v>18106.026000000002</v>
      </c>
      <c r="BA10">
        <f ca="1">IFERROR(IF(0=LEN(ReferenceData!$BA$10),"",ReferenceData!$BA$10),"")</f>
        <v>17012.256000000001</v>
      </c>
      <c r="BB10">
        <f ca="1">IFERROR(IF(0=LEN(ReferenceData!$BB$10),"",ReferenceData!$BB$10),"")</f>
        <v>18094.833999999999</v>
      </c>
      <c r="BC10">
        <f ca="1">IFERROR(IF(0=LEN(ReferenceData!$BC$10),"",ReferenceData!$BC$10),"")</f>
        <v>16538.512999999999</v>
      </c>
      <c r="BD10">
        <f ca="1">IFERROR(IF(0=LEN(ReferenceData!$BD$10),"",ReferenceData!$BD$10),"")</f>
        <v>16506.652999999998</v>
      </c>
      <c r="BE10">
        <f ca="1">IFERROR(IF(0=LEN(ReferenceData!$BE$10),"",ReferenceData!$BE$10),"")</f>
        <v>16825.09</v>
      </c>
      <c r="BF10">
        <f ca="1">IFERROR(IF(0=LEN(ReferenceData!$BF$10),"",ReferenceData!$BF$10),"")</f>
        <v>20479.974999999999</v>
      </c>
      <c r="BG10">
        <f ca="1">IFERROR(IF(0=LEN(ReferenceData!$BG$10),"",ReferenceData!$BG$10),"")</f>
        <v>21614.192999999999</v>
      </c>
      <c r="BH10">
        <f ca="1">IFERROR(IF(0=LEN(ReferenceData!$BH$10),"",ReferenceData!$BH$10),"")</f>
        <v>20831.094000000001</v>
      </c>
      <c r="BI10">
        <f ca="1">IFERROR(IF(0=LEN(ReferenceData!$BI$10),"",ReferenceData!$BI$10),"")</f>
        <v>16108.416999999999</v>
      </c>
      <c r="BJ10">
        <f ca="1">IFERROR(IF(0=LEN(ReferenceData!$BJ$10),"",ReferenceData!$BJ$10),"")</f>
        <v>18280.132000000001</v>
      </c>
      <c r="BK10">
        <f ca="1">IFERROR(IF(0=LEN(ReferenceData!$BK$10),"",ReferenceData!$BK$10),"")</f>
        <v>19047.532999999999</v>
      </c>
      <c r="BL10">
        <f ca="1">IFERROR(IF(0=LEN(ReferenceData!$BL$10),"",ReferenceData!$BL$10),"")</f>
        <v>19508.078000000001</v>
      </c>
      <c r="BM10">
        <f ca="1">IFERROR(IF(0=LEN(ReferenceData!$BM$10),"",ReferenceData!$BM$10),"")</f>
        <v>18719.798999999999</v>
      </c>
      <c r="BN10">
        <f ca="1">IFERROR(IF(0=LEN(ReferenceData!$BN$10),"",ReferenceData!$BN$10),"")</f>
        <v>19777.396000000001</v>
      </c>
      <c r="BO10">
        <f ca="1">IFERROR(IF(0=LEN(ReferenceData!$BO$10),"",ReferenceData!$BO$10),"")</f>
        <v>17270.541000000001</v>
      </c>
      <c r="BP10">
        <f ca="1">IFERROR(IF(0=LEN(ReferenceData!$BP$10),"",ReferenceData!$BP$10),"")</f>
        <v>20093.675999999999</v>
      </c>
      <c r="BQ10">
        <f ca="1">IFERROR(IF(0=LEN(ReferenceData!$BQ$10),"",ReferenceData!$BQ$10),"")</f>
        <v>16746.535</v>
      </c>
      <c r="BR10">
        <f ca="1">IFERROR(IF(0=LEN(ReferenceData!$BR$10),"",ReferenceData!$BR$10),"")</f>
        <v>17565.493999999999</v>
      </c>
      <c r="BS10">
        <f ca="1">IFERROR(IF(0=LEN(ReferenceData!$BS$10),"",ReferenceData!$BS$10),"")</f>
        <v>17643.295999999998</v>
      </c>
      <c r="BT10">
        <f ca="1">IFERROR(IF(0=LEN(ReferenceData!$BT$10),"",ReferenceData!$BT$10),"")</f>
        <v>18366.060000000001</v>
      </c>
      <c r="BU10">
        <f ca="1">IFERROR(IF(0=LEN(ReferenceData!$BU$10),"",ReferenceData!$BU$10),"")</f>
        <v>18204.091</v>
      </c>
      <c r="BV10">
        <f ca="1">IFERROR(IF(0=LEN(ReferenceData!$BV$10),"",ReferenceData!$BV$10),"")</f>
        <v>17962.267</v>
      </c>
      <c r="BW10">
        <f ca="1">IFERROR(IF(0=LEN(ReferenceData!$BW$10),"",ReferenceData!$BW$10),"")</f>
        <v>19668.190999999999</v>
      </c>
      <c r="BX10">
        <f ca="1">IFERROR(IF(0=LEN(ReferenceData!$BX$10),"",ReferenceData!$BX$10),"")</f>
        <v>20208.155999999999</v>
      </c>
      <c r="BY10">
        <f ca="1">IFERROR(IF(0=LEN(ReferenceData!$BY$10),"",ReferenceData!$BY$10),"")</f>
        <v>19673.517</v>
      </c>
      <c r="BZ10">
        <f ca="1">IFERROR(IF(0=LEN(ReferenceData!$BZ$10),"",ReferenceData!$BZ$10),"")</f>
        <v>21178.799999999999</v>
      </c>
      <c r="CA10">
        <f ca="1">IFERROR(IF(0=LEN(ReferenceData!$CA$10),"",ReferenceData!$CA$10),"")</f>
        <v>20589.838</v>
      </c>
      <c r="CB10">
        <f ca="1">IFERROR(IF(0=LEN(ReferenceData!$CB$10),"",ReferenceData!$CB$10),"")</f>
        <v>18932.904999999999</v>
      </c>
      <c r="CC10">
        <f ca="1">IFERROR(IF(0=LEN(ReferenceData!$CC$10),"",ReferenceData!$CC$10),"")</f>
        <v>16874.008999999998</v>
      </c>
      <c r="CD10">
        <f ca="1">IFERROR(IF(0=LEN(ReferenceData!$CD$10),"",ReferenceData!$CD$10),"")</f>
        <v>17891.928</v>
      </c>
      <c r="CE10">
        <f ca="1">IFERROR(IF(0=LEN(ReferenceData!$CE$10),"",ReferenceData!$CE$10),"")</f>
        <v>18882.13</v>
      </c>
      <c r="CF10">
        <f ca="1">IFERROR(IF(0=LEN(ReferenceData!$CF$10),"",ReferenceData!$CF$10),"")</f>
        <v>18617.633999999998</v>
      </c>
      <c r="CG10">
        <f ca="1">IFERROR(IF(0=LEN(ReferenceData!$CG$10),"",ReferenceData!$CG$10),"")</f>
        <v>19702.922999999999</v>
      </c>
      <c r="CH10">
        <f ca="1">IFERROR(IF(0=LEN(ReferenceData!$CH$10),"",ReferenceData!$CH$10),"")</f>
        <v>19853.763999999999</v>
      </c>
      <c r="CI10">
        <f ca="1">IFERROR(IF(0=LEN(ReferenceData!$CI$10),"",ReferenceData!$CI$10),"")</f>
        <v>20633.152999999998</v>
      </c>
      <c r="CJ10">
        <f ca="1">IFERROR(IF(0=LEN(ReferenceData!$CJ$10),"",ReferenceData!$CJ$10),"")</f>
        <v>20081.096000000001</v>
      </c>
      <c r="CK10">
        <f ca="1">IFERROR(IF(0=LEN(ReferenceData!$CK$10),"",ReferenceData!$CK$10),"")</f>
        <v>19452.893</v>
      </c>
    </row>
    <row r="11" spans="1:89" x14ac:dyDescent="0.25">
      <c r="A11" t="str">
        <f>IFERROR(IF(0=LEN(ReferenceData!$A$11),"",ReferenceData!$A$11),"")</f>
        <v xml:space="preserve">            Non-Oil Bulk (000 tonnes)</v>
      </c>
      <c r="B11" t="str">
        <f>IFERROR(IF(0=LEN(ReferenceData!$B$11),"",ReferenceData!$B$11),"")</f>
        <v>SIVSNOIL Index</v>
      </c>
      <c r="C11" t="str">
        <f>IFERROR(IF(0=LEN(ReferenceData!$C$11),"",ReferenceData!$C$11),"")</f>
        <v>PR005</v>
      </c>
      <c r="D11" t="str">
        <f>IFERROR(IF(0=LEN(ReferenceData!$D$11),"",ReferenceData!$D$11),"")</f>
        <v>PX_LAST</v>
      </c>
      <c r="E11" t="str">
        <f>IFERROR(IF(0=LEN(ReferenceData!$E$11),"",ReferenceData!$E$11),"")</f>
        <v>Dynamic</v>
      </c>
      <c r="F11" t="str">
        <f ca="1">IFERROR(IF(0=LEN(ReferenceData!$F$11),"",ReferenceData!$F$11),"")</f>
        <v/>
      </c>
      <c r="G11">
        <f ca="1">IFERROR(IF(0=LEN(ReferenceData!$G$11),"",ReferenceData!$G$11),"")</f>
        <v>1773.94</v>
      </c>
      <c r="H11">
        <f ca="1">IFERROR(IF(0=LEN(ReferenceData!$H$11),"",ReferenceData!$H$11),"")</f>
        <v>1543.64</v>
      </c>
      <c r="I11">
        <f ca="1">IFERROR(IF(0=LEN(ReferenceData!$I$11),"",ReferenceData!$I$11),"")</f>
        <v>1703.01</v>
      </c>
      <c r="J11">
        <f ca="1">IFERROR(IF(0=LEN(ReferenceData!$J$11),"",ReferenceData!$J$11),"")</f>
        <v>1893.22</v>
      </c>
      <c r="K11">
        <f ca="1">IFERROR(IF(0=LEN(ReferenceData!$K$11),"",ReferenceData!$K$11),"")</f>
        <v>1932.09</v>
      </c>
      <c r="L11">
        <f ca="1">IFERROR(IF(0=LEN(ReferenceData!$L$11),"",ReferenceData!$L$11),"")</f>
        <v>1581.31</v>
      </c>
      <c r="M11">
        <f ca="1">IFERROR(IF(0=LEN(ReferenceData!$M$11),"",ReferenceData!$M$11),"")</f>
        <v>2032.28</v>
      </c>
      <c r="N11">
        <f ca="1">IFERROR(IF(0=LEN(ReferenceData!$N$11),"",ReferenceData!$N$11),"")</f>
        <v>1465.36</v>
      </c>
      <c r="O11">
        <f ca="1">IFERROR(IF(0=LEN(ReferenceData!$O$11),"",ReferenceData!$O$11),"")</f>
        <v>2235.4899999999998</v>
      </c>
      <c r="P11">
        <f ca="1">IFERROR(IF(0=LEN(ReferenceData!$P$11),"",ReferenceData!$P$11),"")</f>
        <v>2597.69</v>
      </c>
      <c r="Q11">
        <f ca="1">IFERROR(IF(0=LEN(ReferenceData!$Q$11),"",ReferenceData!$Q$11),"")</f>
        <v>1532.01</v>
      </c>
      <c r="R11">
        <f ca="1">IFERROR(IF(0=LEN(ReferenceData!$R$11),"",ReferenceData!$R$11),"")</f>
        <v>1799.07</v>
      </c>
      <c r="S11">
        <f ca="1">IFERROR(IF(0=LEN(ReferenceData!$S$11),"",ReferenceData!$S$11),"")</f>
        <v>1807.57</v>
      </c>
      <c r="T11">
        <f ca="1">IFERROR(IF(0=LEN(ReferenceData!$T$11),"",ReferenceData!$T$11),"")</f>
        <v>1524.32</v>
      </c>
      <c r="U11">
        <f ca="1">IFERROR(IF(0=LEN(ReferenceData!$U$11),"",ReferenceData!$U$11),"")</f>
        <v>1899.96</v>
      </c>
      <c r="V11">
        <f ca="1">IFERROR(IF(0=LEN(ReferenceData!$V$11),"",ReferenceData!$V$11),"")</f>
        <v>1426.06</v>
      </c>
      <c r="W11">
        <f ca="1">IFERROR(IF(0=LEN(ReferenceData!$W$11),"",ReferenceData!$W$11),"")</f>
        <v>1741.23</v>
      </c>
      <c r="X11">
        <f ca="1">IFERROR(IF(0=LEN(ReferenceData!$X$11),"",ReferenceData!$X$11),"")</f>
        <v>1417.84</v>
      </c>
      <c r="Y11">
        <f ca="1">IFERROR(IF(0=LEN(ReferenceData!$Y$11),"",ReferenceData!$Y$11),"")</f>
        <v>1788.61</v>
      </c>
      <c r="Z11">
        <f ca="1">IFERROR(IF(0=LEN(ReferenceData!$Z$11),"",ReferenceData!$Z$11),"")</f>
        <v>1478.34</v>
      </c>
      <c r="AA11">
        <f ca="1">IFERROR(IF(0=LEN(ReferenceData!$AA$11),"",ReferenceData!$AA$11),"")</f>
        <v>1747.2</v>
      </c>
      <c r="AB11">
        <f ca="1">IFERROR(IF(0=LEN(ReferenceData!$AB$11),"",ReferenceData!$AB$11),"")</f>
        <v>1677.4036000000001</v>
      </c>
      <c r="AC11">
        <f ca="1">IFERROR(IF(0=LEN(ReferenceData!$AC$11),"",ReferenceData!$AC$11),"")</f>
        <v>2012.98035</v>
      </c>
      <c r="AD11">
        <f ca="1">IFERROR(IF(0=LEN(ReferenceData!$AD$11),"",ReferenceData!$AD$11),"")</f>
        <v>1383.07197</v>
      </c>
      <c r="AE11">
        <f ca="1">IFERROR(IF(0=LEN(ReferenceData!$AE$11),"",ReferenceData!$AE$11),"")</f>
        <v>1747.8323600000001</v>
      </c>
      <c r="AF11">
        <f ca="1">IFERROR(IF(0=LEN(ReferenceData!$AF$11),"",ReferenceData!$AF$11),"")</f>
        <v>1738.6234400000001</v>
      </c>
      <c r="AG11">
        <f ca="1">IFERROR(IF(0=LEN(ReferenceData!$AG$11),"",ReferenceData!$AG$11),"")</f>
        <v>1998.5041900000001</v>
      </c>
      <c r="AH11">
        <f ca="1">IFERROR(IF(0=LEN(ReferenceData!$AH$11),"",ReferenceData!$AH$11),"")</f>
        <v>1685.38788</v>
      </c>
      <c r="AI11">
        <f ca="1">IFERROR(IF(0=LEN(ReferenceData!$AI$11),"",ReferenceData!$AI$11),"")</f>
        <v>2172.9745400000002</v>
      </c>
      <c r="AJ11">
        <f ca="1">IFERROR(IF(0=LEN(ReferenceData!$AJ$11),"",ReferenceData!$AJ$11),"")</f>
        <v>1963.7655099999999</v>
      </c>
      <c r="AK11">
        <f ca="1">IFERROR(IF(0=LEN(ReferenceData!$AK$11),"",ReferenceData!$AK$11),"")</f>
        <v>1856.3030900000001</v>
      </c>
      <c r="AL11">
        <f ca="1">IFERROR(IF(0=LEN(ReferenceData!$AL$11),"",ReferenceData!$AL$11),"")</f>
        <v>2247.1365000000001</v>
      </c>
      <c r="AM11">
        <f ca="1">IFERROR(IF(0=LEN(ReferenceData!$AM$11),"",ReferenceData!$AM$11),"")</f>
        <v>2236.8513800000001</v>
      </c>
      <c r="AN11">
        <f ca="1">IFERROR(IF(0=LEN(ReferenceData!$AN$11),"",ReferenceData!$AN$11),"")</f>
        <v>1995.98236</v>
      </c>
      <c r="AO11">
        <f ca="1">IFERROR(IF(0=LEN(ReferenceData!$AO$11),"",ReferenceData!$AO$11),"")</f>
        <v>1524.86814</v>
      </c>
      <c r="AP11">
        <f ca="1">IFERROR(IF(0=LEN(ReferenceData!$AP$11),"",ReferenceData!$AP$11),"")</f>
        <v>2084.0062400000002</v>
      </c>
      <c r="AQ11">
        <f ca="1">IFERROR(IF(0=LEN(ReferenceData!$AQ$11),"",ReferenceData!$AQ$11),"")</f>
        <v>1620.4228700000001</v>
      </c>
      <c r="AR11">
        <f ca="1">IFERROR(IF(0=LEN(ReferenceData!$AR$11),"",ReferenceData!$AR$11),"")</f>
        <v>1872.26713</v>
      </c>
      <c r="AS11">
        <f ca="1">IFERROR(IF(0=LEN(ReferenceData!$AS$11),"",ReferenceData!$AS$11),"")</f>
        <v>1364.8400300000001</v>
      </c>
      <c r="AT11">
        <f ca="1">IFERROR(IF(0=LEN(ReferenceData!$AT$11),"",ReferenceData!$AT$11),"")</f>
        <v>1580.97514</v>
      </c>
      <c r="AU11">
        <f ca="1">IFERROR(IF(0=LEN(ReferenceData!$AU$11),"",ReferenceData!$AU$11),"")</f>
        <v>1378.3752300000001</v>
      </c>
      <c r="AV11">
        <f ca="1">IFERROR(IF(0=LEN(ReferenceData!$AV$11),"",ReferenceData!$AV$11),"")</f>
        <v>1681.4470699999999</v>
      </c>
      <c r="AW11">
        <f ca="1">IFERROR(IF(0=LEN(ReferenceData!$AW$11),"",ReferenceData!$AW$11),"")</f>
        <v>1660.8221000000001</v>
      </c>
      <c r="AX11">
        <f ca="1">IFERROR(IF(0=LEN(ReferenceData!$AX$11),"",ReferenceData!$AX$11),"")</f>
        <v>1627.0463500000001</v>
      </c>
      <c r="AY11">
        <f ca="1">IFERROR(IF(0=LEN(ReferenceData!$AY$11),"",ReferenceData!$AY$11),"")</f>
        <v>1648.25333</v>
      </c>
      <c r="AZ11">
        <f ca="1">IFERROR(IF(0=LEN(ReferenceData!$AZ$11),"",ReferenceData!$AZ$11),"")</f>
        <v>1545.6545100000001</v>
      </c>
      <c r="BA11">
        <f ca="1">IFERROR(IF(0=LEN(ReferenceData!$BA$11),"",ReferenceData!$BA$11),"")</f>
        <v>1538.3420799999999</v>
      </c>
      <c r="BB11">
        <f ca="1">IFERROR(IF(0=LEN(ReferenceData!$BB$11),"",ReferenceData!$BB$11),"")</f>
        <v>1490.5590099999999</v>
      </c>
      <c r="BC11">
        <f ca="1">IFERROR(IF(0=LEN(ReferenceData!$BC$11),"",ReferenceData!$BC$11),"")</f>
        <v>1498.4038800000001</v>
      </c>
      <c r="BD11">
        <f ca="1">IFERROR(IF(0=LEN(ReferenceData!$BD$11),"",ReferenceData!$BD$11),"")</f>
        <v>1615.2434599999999</v>
      </c>
      <c r="BE11">
        <f ca="1">IFERROR(IF(0=LEN(ReferenceData!$BE$11),"",ReferenceData!$BE$11),"")</f>
        <v>1410.09249</v>
      </c>
      <c r="BF11">
        <f ca="1">IFERROR(IF(0=LEN(ReferenceData!$BF$11),"",ReferenceData!$BF$11),"")</f>
        <v>1582.5949000000001</v>
      </c>
      <c r="BG11">
        <f ca="1">IFERROR(IF(0=LEN(ReferenceData!$BG$11),"",ReferenceData!$BG$11),"")</f>
        <v>1354.1867099999999</v>
      </c>
      <c r="BH11">
        <f ca="1">IFERROR(IF(0=LEN(ReferenceData!$BH$11),"",ReferenceData!$BH$11),"")</f>
        <v>1268.3669199999999</v>
      </c>
      <c r="BI11">
        <f ca="1">IFERROR(IF(0=LEN(ReferenceData!$BI$11),"",ReferenceData!$BI$11),"")</f>
        <v>1604.5198</v>
      </c>
      <c r="BJ11">
        <f ca="1">IFERROR(IF(0=LEN(ReferenceData!$BJ$11),"",ReferenceData!$BJ$11),"")</f>
        <v>1181.7708500000001</v>
      </c>
      <c r="BK11">
        <f ca="1">IFERROR(IF(0=LEN(ReferenceData!$BK$11),"",ReferenceData!$BK$11),"")</f>
        <v>1551.0785599999999</v>
      </c>
      <c r="BL11">
        <f ca="1">IFERROR(IF(0=LEN(ReferenceData!$BL$11),"",ReferenceData!$BL$11),"")</f>
        <v>1466.7241100000001</v>
      </c>
      <c r="BM11">
        <f ca="1">IFERROR(IF(0=LEN(ReferenceData!$BM$11),"",ReferenceData!$BM$11),"")</f>
        <v>1180.81636</v>
      </c>
      <c r="BN11">
        <f ca="1">IFERROR(IF(0=LEN(ReferenceData!$BN$11),"",ReferenceData!$BN$11),"")</f>
        <v>1276.11122</v>
      </c>
      <c r="BO11">
        <f ca="1">IFERROR(IF(0=LEN(ReferenceData!$BO$11),"",ReferenceData!$BO$11),"")</f>
        <v>1399.40228</v>
      </c>
      <c r="BP11">
        <f ca="1">IFERROR(IF(0=LEN(ReferenceData!$BP$11),"",ReferenceData!$BP$11),"")</f>
        <v>1471.07954</v>
      </c>
      <c r="BQ11">
        <f ca="1">IFERROR(IF(0=LEN(ReferenceData!$BQ$11),"",ReferenceData!$BQ$11),"")</f>
        <v>1676.18714</v>
      </c>
      <c r="BR11">
        <f ca="1">IFERROR(IF(0=LEN(ReferenceData!$BR$11),"",ReferenceData!$BR$11),"")</f>
        <v>1310.85385</v>
      </c>
      <c r="BS11">
        <f ca="1">IFERROR(IF(0=LEN(ReferenceData!$BS$11),"",ReferenceData!$BS$11),"")</f>
        <v>1383.47864</v>
      </c>
      <c r="BT11">
        <f ca="1">IFERROR(IF(0=LEN(ReferenceData!$BT$11),"",ReferenceData!$BT$11),"")</f>
        <v>1469.4055599999999</v>
      </c>
      <c r="BU11">
        <f ca="1">IFERROR(IF(0=LEN(ReferenceData!$BU$11),"",ReferenceData!$BU$11),"")</f>
        <v>1400.15183</v>
      </c>
      <c r="BV11">
        <f ca="1">IFERROR(IF(0=LEN(ReferenceData!$BV$11),"",ReferenceData!$BV$11),"")</f>
        <v>1386.5083199999999</v>
      </c>
      <c r="BW11">
        <f ca="1">IFERROR(IF(0=LEN(ReferenceData!$BW$11),"",ReferenceData!$BW$11),"")</f>
        <v>1433.8957600000001</v>
      </c>
      <c r="BX11">
        <f ca="1">IFERROR(IF(0=LEN(ReferenceData!$BX$11),"",ReferenceData!$BX$11),"")</f>
        <v>1922.0578800000001</v>
      </c>
      <c r="BY11">
        <f ca="1">IFERROR(IF(0=LEN(ReferenceData!$BY$11),"",ReferenceData!$BY$11),"")</f>
        <v>1527.2495899999999</v>
      </c>
      <c r="BZ11">
        <f ca="1">IFERROR(IF(0=LEN(ReferenceData!$BZ$11),"",ReferenceData!$BZ$11),"")</f>
        <v>1428.08941</v>
      </c>
      <c r="CA11">
        <f ca="1">IFERROR(IF(0=LEN(ReferenceData!$CA$11),"",ReferenceData!$CA$11),"")</f>
        <v>1240.3622600000001</v>
      </c>
      <c r="CB11">
        <f ca="1">IFERROR(IF(0=LEN(ReferenceData!$CB$11),"",ReferenceData!$CB$11),"")</f>
        <v>1597.01701</v>
      </c>
      <c r="CC11">
        <f ca="1">IFERROR(IF(0=LEN(ReferenceData!$CC$11),"",ReferenceData!$CC$11),"")</f>
        <v>1541.0234700000001</v>
      </c>
      <c r="CD11">
        <f ca="1">IFERROR(IF(0=LEN(ReferenceData!$CD$11),"",ReferenceData!$CD$11),"")</f>
        <v>1661.61781</v>
      </c>
      <c r="CE11">
        <f ca="1">IFERROR(IF(0=LEN(ReferenceData!$CE$11),"",ReferenceData!$CE$11),"")</f>
        <v>1583.0485000000001</v>
      </c>
      <c r="CF11">
        <f ca="1">IFERROR(IF(0=LEN(ReferenceData!$CF$11),"",ReferenceData!$CF$11),"")</f>
        <v>1705.13743</v>
      </c>
      <c r="CG11">
        <f ca="1">IFERROR(IF(0=LEN(ReferenceData!$CG$11),"",ReferenceData!$CG$11),"")</f>
        <v>1488.5449900000001</v>
      </c>
      <c r="CH11">
        <f ca="1">IFERROR(IF(0=LEN(ReferenceData!$CH$11),"",ReferenceData!$CH$11),"")</f>
        <v>1330.0069000000001</v>
      </c>
      <c r="CI11">
        <f ca="1">IFERROR(IF(0=LEN(ReferenceData!$CI$11),"",ReferenceData!$CI$11),"")</f>
        <v>1579.4256800000001</v>
      </c>
      <c r="CJ11">
        <f ca="1">IFERROR(IF(0=LEN(ReferenceData!$CJ$11),"",ReferenceData!$CJ$11),"")</f>
        <v>2057.2184999999999</v>
      </c>
      <c r="CK11">
        <f ca="1">IFERROR(IF(0=LEN(ReferenceData!$CK$11),"",ReferenceData!$CK$11),"")</f>
        <v>1444.0453399999999</v>
      </c>
    </row>
    <row r="12" spans="1:89" x14ac:dyDescent="0.25">
      <c r="A12" t="str">
        <f>IFERROR(IF(0=LEN(ReferenceData!$A$12),"",ReferenceData!$A$12),"")</f>
        <v xml:space="preserve">    Vessel Arrival Gross Tonnage (000s)</v>
      </c>
      <c r="B12" t="str">
        <f>IFERROR(IF(0=LEN(ReferenceData!$B$12),"",ReferenceData!$B$12),"")</f>
        <v>SIVSA Index</v>
      </c>
      <c r="C12" t="str">
        <f>IFERROR(IF(0=LEN(ReferenceData!$C$12),"",ReferenceData!$C$12),"")</f>
        <v>PR005</v>
      </c>
      <c r="D12" t="str">
        <f>IFERROR(IF(0=LEN(ReferenceData!$D$12),"",ReferenceData!$D$12),"")</f>
        <v>PX_LAST</v>
      </c>
      <c r="E12" t="str">
        <f>IFERROR(IF(0=LEN(ReferenceData!$E$12),"",ReferenceData!$E$12),"")</f>
        <v>Dynamic</v>
      </c>
      <c r="F12" t="str">
        <f ca="1">IFERROR(IF(0=LEN(ReferenceData!$F$12),"",ReferenceData!$F$12),"")</f>
        <v/>
      </c>
      <c r="G12">
        <f ca="1">IFERROR(IF(0=LEN(ReferenceData!$G$12),"",ReferenceData!$G$12),"")</f>
        <v>260668.79</v>
      </c>
      <c r="H12">
        <f ca="1">IFERROR(IF(0=LEN(ReferenceData!$H$12),"",ReferenceData!$H$12),"")</f>
        <v>263675.55</v>
      </c>
      <c r="I12">
        <f ca="1">IFERROR(IF(0=LEN(ReferenceData!$I$12),"",ReferenceData!$I$12),"")</f>
        <v>260278.92</v>
      </c>
      <c r="J12">
        <f ca="1">IFERROR(IF(0=LEN(ReferenceData!$J$12),"",ReferenceData!$J$12),"")</f>
        <v>250042.75</v>
      </c>
      <c r="K12">
        <f ca="1">IFERROR(IF(0=LEN(ReferenceData!$K$12),"",ReferenceData!$K$12),"")</f>
        <v>266695.473</v>
      </c>
      <c r="L12">
        <f ca="1">IFERROR(IF(0=LEN(ReferenceData!$L$12),"",ReferenceData!$L$12),"")</f>
        <v>259312.17800000001</v>
      </c>
      <c r="M12">
        <f ca="1">IFERROR(IF(0=LEN(ReferenceData!$M$12),"",ReferenceData!$M$12),"")</f>
        <v>254529.62700000001</v>
      </c>
      <c r="N12">
        <f ca="1">IFERROR(IF(0=LEN(ReferenceData!$N$12),"",ReferenceData!$N$12),"")</f>
        <v>226665.742</v>
      </c>
      <c r="O12">
        <f ca="1">IFERROR(IF(0=LEN(ReferenceData!$O$12),"",ReferenceData!$O$12),"")</f>
        <v>257447.53</v>
      </c>
      <c r="P12">
        <f ca="1">IFERROR(IF(0=LEN(ReferenceData!$P$12),"",ReferenceData!$P$12),"")</f>
        <v>245198.258</v>
      </c>
      <c r="Q12">
        <f ca="1">IFERROR(IF(0=LEN(ReferenceData!$Q$12),"",ReferenceData!$Q$12),"")</f>
        <v>248477.97500000001</v>
      </c>
      <c r="R12">
        <f ca="1">IFERROR(IF(0=LEN(ReferenceData!$R$12),"",ReferenceData!$R$12),"")</f>
        <v>251201.12400000001</v>
      </c>
      <c r="S12">
        <f ca="1">IFERROR(IF(0=LEN(ReferenceData!$S$12),"",ReferenceData!$S$12),"")</f>
        <v>231414.26800000001</v>
      </c>
      <c r="T12">
        <f ca="1">IFERROR(IF(0=LEN(ReferenceData!$T$12),"",ReferenceData!$T$12),"")</f>
        <v>244949.856</v>
      </c>
      <c r="U12">
        <f ca="1">IFERROR(IF(0=LEN(ReferenceData!$U$12),"",ReferenceData!$U$12),"")</f>
        <v>246795.372</v>
      </c>
      <c r="V12">
        <f ca="1">IFERROR(IF(0=LEN(ReferenceData!$V$12),"",ReferenceData!$V$12),"")</f>
        <v>230600.13699999999</v>
      </c>
      <c r="W12">
        <f ca="1">IFERROR(IF(0=LEN(ReferenceData!$W$12),"",ReferenceData!$W$12),"")</f>
        <v>239397.63</v>
      </c>
      <c r="X12">
        <f ca="1">IFERROR(IF(0=LEN(ReferenceData!$X$12),"",ReferenceData!$X$12),"")</f>
        <v>225608.61199999999</v>
      </c>
      <c r="Y12">
        <f ca="1">IFERROR(IF(0=LEN(ReferenceData!$Y$12),"",ReferenceData!$Y$12),"")</f>
        <v>223085.29399999999</v>
      </c>
      <c r="Z12">
        <f ca="1">IFERROR(IF(0=LEN(ReferenceData!$Z$12),"",ReferenceData!$Z$12),"")</f>
        <v>207371.796</v>
      </c>
      <c r="AA12">
        <f ca="1">IFERROR(IF(0=LEN(ReferenceData!$AA$12),"",ReferenceData!$AA$12),"")</f>
        <v>234263.478</v>
      </c>
      <c r="AB12">
        <f ca="1">IFERROR(IF(0=LEN(ReferenceData!$AB$12),"",ReferenceData!$AB$12),"")</f>
        <v>229814.75099999999</v>
      </c>
      <c r="AC12">
        <f ca="1">IFERROR(IF(0=LEN(ReferenceData!$AC$12),"",ReferenceData!$AC$12),"")</f>
        <v>230994.76</v>
      </c>
      <c r="AD12">
        <f ca="1">IFERROR(IF(0=LEN(ReferenceData!$AD$12),"",ReferenceData!$AD$12),"")</f>
        <v>230041.87599999999</v>
      </c>
      <c r="AE12">
        <f ca="1">IFERROR(IF(0=LEN(ReferenceData!$AE$12),"",ReferenceData!$AE$12),"")</f>
        <v>221138.038</v>
      </c>
      <c r="AF12">
        <f ca="1">IFERROR(IF(0=LEN(ReferenceData!$AF$12),"",ReferenceData!$AF$12),"")</f>
        <v>226134.52</v>
      </c>
      <c r="AG12">
        <f ca="1">IFERROR(IF(0=LEN(ReferenceData!$AG$12),"",ReferenceData!$AG$12),"")</f>
        <v>229192.217</v>
      </c>
      <c r="AH12">
        <f ca="1">IFERROR(IF(0=LEN(ReferenceData!$AH$12),"",ReferenceData!$AH$12),"")</f>
        <v>231443.51500000001</v>
      </c>
      <c r="AI12">
        <f ca="1">IFERROR(IF(0=LEN(ReferenceData!$AI$12),"",ReferenceData!$AI$12),"")</f>
        <v>238117.00200000001</v>
      </c>
      <c r="AJ12">
        <f ca="1">IFERROR(IF(0=LEN(ReferenceData!$AJ$12),"",ReferenceData!$AJ$12),"")</f>
        <v>239954.80300000001</v>
      </c>
      <c r="AK12">
        <f ca="1">IFERROR(IF(0=LEN(ReferenceData!$AK$12),"",ReferenceData!$AK$12),"")</f>
        <v>245081.70499999999</v>
      </c>
      <c r="AL12">
        <f ca="1">IFERROR(IF(0=LEN(ReferenceData!$AL$12),"",ReferenceData!$AL$12),"")</f>
        <v>236520.86600000001</v>
      </c>
      <c r="AM12">
        <f ca="1">IFERROR(IF(0=LEN(ReferenceData!$AM$12),"",ReferenceData!$AM$12),"")</f>
        <v>255333.359</v>
      </c>
      <c r="AN12">
        <f ca="1">IFERROR(IF(0=LEN(ReferenceData!$AN$12),"",ReferenceData!$AN$12),"")</f>
        <v>245140.174</v>
      </c>
      <c r="AO12">
        <f ca="1">IFERROR(IF(0=LEN(ReferenceData!$AO$12),"",ReferenceData!$AO$12),"")</f>
        <v>246267.647</v>
      </c>
      <c r="AP12">
        <f ca="1">IFERROR(IF(0=LEN(ReferenceData!$AP$12),"",ReferenceData!$AP$12),"")</f>
        <v>243803.20499999999</v>
      </c>
      <c r="AQ12">
        <f ca="1">IFERROR(IF(0=LEN(ReferenceData!$AQ$12),"",ReferenceData!$AQ$12),"")</f>
        <v>240460.26</v>
      </c>
      <c r="AR12">
        <f ca="1">IFERROR(IF(0=LEN(ReferenceData!$AR$12),"",ReferenceData!$AR$12),"")</f>
        <v>244006.65100000001</v>
      </c>
      <c r="AS12">
        <f ca="1">IFERROR(IF(0=LEN(ReferenceData!$AS$12),"",ReferenceData!$AS$12),"")</f>
        <v>252004.76800000001</v>
      </c>
      <c r="AT12">
        <f ca="1">IFERROR(IF(0=LEN(ReferenceData!$AT$12),"",ReferenceData!$AT$12),"")</f>
        <v>227328.174</v>
      </c>
      <c r="AU12">
        <f ca="1">IFERROR(IF(0=LEN(ReferenceData!$AU$12),"",ReferenceData!$AU$12),"")</f>
        <v>223323.10200000001</v>
      </c>
      <c r="AV12">
        <f ca="1">IFERROR(IF(0=LEN(ReferenceData!$AV$12),"",ReferenceData!$AV$12),"")</f>
        <v>230354.32500000001</v>
      </c>
      <c r="AW12">
        <f ca="1">IFERROR(IF(0=LEN(ReferenceData!$AW$12),"",ReferenceData!$AW$12),"")</f>
        <v>251387.54300000001</v>
      </c>
      <c r="AX12">
        <f ca="1">IFERROR(IF(0=LEN(ReferenceData!$AX$12),"",ReferenceData!$AX$12),"")</f>
        <v>234656.389</v>
      </c>
      <c r="AY12">
        <f ca="1">IFERROR(IF(0=LEN(ReferenceData!$AY$12),"",ReferenceData!$AY$12),"")</f>
        <v>263882.76199999999</v>
      </c>
      <c r="AZ12">
        <f ca="1">IFERROR(IF(0=LEN(ReferenceData!$AZ$12),"",ReferenceData!$AZ$12),"")</f>
        <v>258663.57399999999</v>
      </c>
      <c r="BA12">
        <f ca="1">IFERROR(IF(0=LEN(ReferenceData!$BA$12),"",ReferenceData!$BA$12),"")</f>
        <v>244544.15900000001</v>
      </c>
      <c r="BB12">
        <f ca="1">IFERROR(IF(0=LEN(ReferenceData!$BB$12),"",ReferenceData!$BB$12),"")</f>
        <v>250282.19899999999</v>
      </c>
      <c r="BC12">
        <f ca="1">IFERROR(IF(0=LEN(ReferenceData!$BC$12),"",ReferenceData!$BC$12),"")</f>
        <v>244461.997</v>
      </c>
      <c r="BD12">
        <f ca="1">IFERROR(IF(0=LEN(ReferenceData!$BD$12),"",ReferenceData!$BD$12),"")</f>
        <v>236773.68799999999</v>
      </c>
      <c r="BE12">
        <f ca="1">IFERROR(IF(0=LEN(ReferenceData!$BE$12),"",ReferenceData!$BE$12),"")</f>
        <v>238850.886</v>
      </c>
      <c r="BF12">
        <f ca="1">IFERROR(IF(0=LEN(ReferenceData!$BF$12),"",ReferenceData!$BF$12),"")</f>
        <v>227456.84099999999</v>
      </c>
      <c r="BG12">
        <f ca="1">IFERROR(IF(0=LEN(ReferenceData!$BG$12),"",ReferenceData!$BG$12),"")</f>
        <v>235453.73300000001</v>
      </c>
      <c r="BH12">
        <f ca="1">IFERROR(IF(0=LEN(ReferenceData!$BH$12),"",ReferenceData!$BH$12),"")</f>
        <v>226031.66200000001</v>
      </c>
      <c r="BI12">
        <f ca="1">IFERROR(IF(0=LEN(ReferenceData!$BI$12),"",ReferenceData!$BI$12),"")</f>
        <v>229405.24799999999</v>
      </c>
      <c r="BJ12">
        <f ca="1">IFERROR(IF(0=LEN(ReferenceData!$BJ$12),"",ReferenceData!$BJ$12),"")</f>
        <v>214560.33199999999</v>
      </c>
      <c r="BK12">
        <f ca="1">IFERROR(IF(0=LEN(ReferenceData!$BK$12),"",ReferenceData!$BK$12),"")</f>
        <v>248250.095</v>
      </c>
      <c r="BL12">
        <f ca="1">IFERROR(IF(0=LEN(ReferenceData!$BL$12),"",ReferenceData!$BL$12),"")</f>
        <v>235007.18</v>
      </c>
      <c r="BM12">
        <f ca="1">IFERROR(IF(0=LEN(ReferenceData!$BM$12),"",ReferenceData!$BM$12),"")</f>
        <v>228495.253</v>
      </c>
      <c r="BN12">
        <f ca="1">IFERROR(IF(0=LEN(ReferenceData!$BN$12),"",ReferenceData!$BN$12),"")</f>
        <v>233085.14499999999</v>
      </c>
      <c r="BO12">
        <f ca="1">IFERROR(IF(0=LEN(ReferenceData!$BO$12),"",ReferenceData!$BO$12),"")</f>
        <v>230532.87599999999</v>
      </c>
      <c r="BP12">
        <f ca="1">IFERROR(IF(0=LEN(ReferenceData!$BP$12),"",ReferenceData!$BP$12),"")</f>
        <v>222035.003</v>
      </c>
      <c r="BQ12">
        <f ca="1">IFERROR(IF(0=LEN(ReferenceData!$BQ$12),"",ReferenceData!$BQ$12),"")</f>
        <v>226025.236</v>
      </c>
      <c r="BR12">
        <f ca="1">IFERROR(IF(0=LEN(ReferenceData!$BR$12),"",ReferenceData!$BR$12),"")</f>
        <v>226588.068</v>
      </c>
      <c r="BS12">
        <f ca="1">IFERROR(IF(0=LEN(ReferenceData!$BS$12),"",ReferenceData!$BS$12),"")</f>
        <v>236607.11600000001</v>
      </c>
      <c r="BT12">
        <f ca="1">IFERROR(IF(0=LEN(ReferenceData!$BT$12),"",ReferenceData!$BT$12),"")</f>
        <v>241008.67600000001</v>
      </c>
      <c r="BU12">
        <f ca="1">IFERROR(IF(0=LEN(ReferenceData!$BU$12),"",ReferenceData!$BU$12),"")</f>
        <v>238689.486</v>
      </c>
      <c r="BV12">
        <f ca="1">IFERROR(IF(0=LEN(ReferenceData!$BV$12),"",ReferenceData!$BV$12),"")</f>
        <v>224247.60399999999</v>
      </c>
      <c r="BW12">
        <f ca="1">IFERROR(IF(0=LEN(ReferenceData!$BW$12),"",ReferenceData!$BW$12),"")</f>
        <v>249644.255</v>
      </c>
      <c r="BX12">
        <f ca="1">IFERROR(IF(0=LEN(ReferenceData!$BX$12),"",ReferenceData!$BX$12),"")</f>
        <v>244686.18299999999</v>
      </c>
      <c r="BY12">
        <f ca="1">IFERROR(IF(0=LEN(ReferenceData!$BY$12),"",ReferenceData!$BY$12),"")</f>
        <v>236194.057</v>
      </c>
      <c r="BZ12">
        <f ca="1">IFERROR(IF(0=LEN(ReferenceData!$BZ$12),"",ReferenceData!$BZ$12),"")</f>
        <v>234494.21799999999</v>
      </c>
      <c r="CA12">
        <f ca="1">IFERROR(IF(0=LEN(ReferenceData!$CA$12),"",ReferenceData!$CA$12),"")</f>
        <v>231419.21100000001</v>
      </c>
      <c r="CB12">
        <f ca="1">IFERROR(IF(0=LEN(ReferenceData!$CB$12),"",ReferenceData!$CB$12),"")</f>
        <v>234389.535</v>
      </c>
      <c r="CC12">
        <f ca="1">IFERROR(IF(0=LEN(ReferenceData!$CC$12),"",ReferenceData!$CC$12),"")</f>
        <v>232044.64799999999</v>
      </c>
      <c r="CD12">
        <f ca="1">IFERROR(IF(0=LEN(ReferenceData!$CD$12),"",ReferenceData!$CD$12),"")</f>
        <v>235488.302</v>
      </c>
      <c r="CE12">
        <f ca="1">IFERROR(IF(0=LEN(ReferenceData!$CE$12),"",ReferenceData!$CE$12),"")</f>
        <v>243798.141</v>
      </c>
      <c r="CF12">
        <f ca="1">IFERROR(IF(0=LEN(ReferenceData!$CF$12),"",ReferenceData!$CF$12),"")</f>
        <v>229464.856</v>
      </c>
      <c r="CG12">
        <f ca="1">IFERROR(IF(0=LEN(ReferenceData!$CG$12),"",ReferenceData!$CG$12),"")</f>
        <v>234466.89300000001</v>
      </c>
      <c r="CH12">
        <f ca="1">IFERROR(IF(0=LEN(ReferenceData!$CH$12),"",ReferenceData!$CH$12),"")</f>
        <v>207820.10699999999</v>
      </c>
      <c r="CI12">
        <f ca="1">IFERROR(IF(0=LEN(ReferenceData!$CI$12),"",ReferenceData!$CI$12),"")</f>
        <v>235318.823</v>
      </c>
      <c r="CJ12">
        <f ca="1">IFERROR(IF(0=LEN(ReferenceData!$CJ$12),"",ReferenceData!$CJ$12),"")</f>
        <v>219798.902</v>
      </c>
      <c r="CK12">
        <f ca="1">IFERROR(IF(0=LEN(ReferenceData!$CK$12),"",ReferenceData!$CK$12),"")</f>
        <v>221311.82</v>
      </c>
    </row>
    <row r="13" spans="1:89" x14ac:dyDescent="0.25">
      <c r="A13" t="str">
        <f>IFERROR(IF(0=LEN(ReferenceData!$A$13),"",ReferenceData!$A$13),"")</f>
        <v xml:space="preserve">    Number of Vessel Arrivals</v>
      </c>
      <c r="B13" t="str">
        <f>IFERROR(IF(0=LEN(ReferenceData!$B$13),"",ReferenceData!$B$13),"")</f>
        <v>SIVSTOT Index</v>
      </c>
      <c r="C13" t="str">
        <f>IFERROR(IF(0=LEN(ReferenceData!$C$13),"",ReferenceData!$C$13),"")</f>
        <v>PR005</v>
      </c>
      <c r="D13" t="str">
        <f>IFERROR(IF(0=LEN(ReferenceData!$D$13),"",ReferenceData!$D$13),"")</f>
        <v>PX_LAST</v>
      </c>
      <c r="E13" t="str">
        <f>IFERROR(IF(0=LEN(ReferenceData!$E$13),"",ReferenceData!$E$13),"")</f>
        <v>Dynamic</v>
      </c>
      <c r="F13" t="str">
        <f ca="1">IFERROR(IF(0=LEN(ReferenceData!$F$13),"",ReferenceData!$F$13),"")</f>
        <v/>
      </c>
      <c r="G13">
        <f ca="1">IFERROR(IF(0=LEN(ReferenceData!$G$13),"",ReferenceData!$G$13),"")</f>
        <v>10044</v>
      </c>
      <c r="H13">
        <f ca="1">IFERROR(IF(0=LEN(ReferenceData!$H$13),"",ReferenceData!$H$13),"")</f>
        <v>10070</v>
      </c>
      <c r="I13">
        <f ca="1">IFERROR(IF(0=LEN(ReferenceData!$I$13),"",ReferenceData!$I$13),"")</f>
        <v>10196</v>
      </c>
      <c r="J13">
        <f ca="1">IFERROR(IF(0=LEN(ReferenceData!$J$13),"",ReferenceData!$J$13),"")</f>
        <v>9845</v>
      </c>
      <c r="K13">
        <f ca="1">IFERROR(IF(0=LEN(ReferenceData!$K$13),"",ReferenceData!$K$13),"")</f>
        <v>10324</v>
      </c>
      <c r="L13">
        <f ca="1">IFERROR(IF(0=LEN(ReferenceData!$L$13),"",ReferenceData!$L$13),"")</f>
        <v>9987</v>
      </c>
      <c r="M13">
        <f ca="1">IFERROR(IF(0=LEN(ReferenceData!$M$13),"",ReferenceData!$M$13),"")</f>
        <v>10270</v>
      </c>
      <c r="N13">
        <f ca="1">IFERROR(IF(0=LEN(ReferenceData!$N$13),"",ReferenceData!$N$13),"")</f>
        <v>9202</v>
      </c>
      <c r="O13">
        <f ca="1">IFERROR(IF(0=LEN(ReferenceData!$O$13),"",ReferenceData!$O$13),"")</f>
        <v>10035</v>
      </c>
      <c r="P13">
        <f ca="1">IFERROR(IF(0=LEN(ReferenceData!$P$13),"",ReferenceData!$P$13),"")</f>
        <v>10081</v>
      </c>
      <c r="Q13">
        <f ca="1">IFERROR(IF(0=LEN(ReferenceData!$Q$13),"",ReferenceData!$Q$13),"")</f>
        <v>9442</v>
      </c>
      <c r="R13">
        <f ca="1">IFERROR(IF(0=LEN(ReferenceData!$R$13),"",ReferenceData!$R$13),"")</f>
        <v>9451</v>
      </c>
      <c r="S13">
        <f ca="1">IFERROR(IF(0=LEN(ReferenceData!$S$13),"",ReferenceData!$S$13),"")</f>
        <v>8976</v>
      </c>
      <c r="T13">
        <f ca="1">IFERROR(IF(0=LEN(ReferenceData!$T$13),"",ReferenceData!$T$13),"")</f>
        <v>9129</v>
      </c>
      <c r="U13">
        <f ca="1">IFERROR(IF(0=LEN(ReferenceData!$U$13),"",ReferenceData!$U$13),"")</f>
        <v>9044</v>
      </c>
      <c r="V13">
        <f ca="1">IFERROR(IF(0=LEN(ReferenceData!$V$13),"",ReferenceData!$V$13),"")</f>
        <v>8301</v>
      </c>
      <c r="W13">
        <f ca="1">IFERROR(IF(0=LEN(ReferenceData!$W$13),"",ReferenceData!$W$13),"")</f>
        <v>7815</v>
      </c>
      <c r="X13">
        <f ca="1">IFERROR(IF(0=LEN(ReferenceData!$X$13),"",ReferenceData!$X$13),"")</f>
        <v>7608</v>
      </c>
      <c r="Y13">
        <f ca="1">IFERROR(IF(0=LEN(ReferenceData!$Y$13),"",ReferenceData!$Y$13),"")</f>
        <v>7307</v>
      </c>
      <c r="Z13">
        <f ca="1">IFERROR(IF(0=LEN(ReferenceData!$Z$13),"",ReferenceData!$Z$13),"")</f>
        <v>6440</v>
      </c>
      <c r="AA13">
        <f ca="1">IFERROR(IF(0=LEN(ReferenceData!$AA$13),"",ReferenceData!$AA$13),"")</f>
        <v>7213</v>
      </c>
      <c r="AB13">
        <f ca="1">IFERROR(IF(0=LEN(ReferenceData!$AB$13),"",ReferenceData!$AB$13),"")</f>
        <v>7286</v>
      </c>
      <c r="AC13">
        <f ca="1">IFERROR(IF(0=LEN(ReferenceData!$AC$13),"",ReferenceData!$AC$13),"")</f>
        <v>7130</v>
      </c>
      <c r="AD13">
        <f ca="1">IFERROR(IF(0=LEN(ReferenceData!$AD$13),"",ReferenceData!$AD$13),"")</f>
        <v>7098</v>
      </c>
      <c r="AE13">
        <f ca="1">IFERROR(IF(0=LEN(ReferenceData!$AE$13),"",ReferenceData!$AE$13),"")</f>
        <v>6918</v>
      </c>
      <c r="AF13">
        <f ca="1">IFERROR(IF(0=LEN(ReferenceData!$AF$13),"",ReferenceData!$AF$13),"")</f>
        <v>7178</v>
      </c>
      <c r="AG13">
        <f ca="1">IFERROR(IF(0=LEN(ReferenceData!$AG$13),"",ReferenceData!$AG$13),"")</f>
        <v>7246</v>
      </c>
      <c r="AH13">
        <f ca="1">IFERROR(IF(0=LEN(ReferenceData!$AH$13),"",ReferenceData!$AH$13),"")</f>
        <v>7247</v>
      </c>
      <c r="AI13">
        <f ca="1">IFERROR(IF(0=LEN(ReferenceData!$AI$13),"",ReferenceData!$AI$13),"")</f>
        <v>7211</v>
      </c>
      <c r="AJ13">
        <f ca="1">IFERROR(IF(0=LEN(ReferenceData!$AJ$13),"",ReferenceData!$AJ$13),"")</f>
        <v>7500</v>
      </c>
      <c r="AK13">
        <f ca="1">IFERROR(IF(0=LEN(ReferenceData!$AK$13),"",ReferenceData!$AK$13),"")</f>
        <v>7788</v>
      </c>
      <c r="AL13">
        <f ca="1">IFERROR(IF(0=LEN(ReferenceData!$AL$13),"",ReferenceData!$AL$13),"")</f>
        <v>6990</v>
      </c>
      <c r="AM13">
        <f ca="1">IFERROR(IF(0=LEN(ReferenceData!$AM$13),"",ReferenceData!$AM$13),"")</f>
        <v>7641</v>
      </c>
      <c r="AN13">
        <f ca="1">IFERROR(IF(0=LEN(ReferenceData!$AN$13),"",ReferenceData!$AN$13),"")</f>
        <v>7479</v>
      </c>
      <c r="AO13">
        <f ca="1">IFERROR(IF(0=LEN(ReferenceData!$AO$13),"",ReferenceData!$AO$13),"")</f>
        <v>7347</v>
      </c>
      <c r="AP13">
        <f ca="1">IFERROR(IF(0=LEN(ReferenceData!$AP$13),"",ReferenceData!$AP$13),"")</f>
        <v>7502</v>
      </c>
      <c r="AQ13">
        <f ca="1">IFERROR(IF(0=LEN(ReferenceData!$AQ$13),"",ReferenceData!$AQ$13),"")</f>
        <v>7255</v>
      </c>
      <c r="AR13">
        <f ca="1">IFERROR(IF(0=LEN(ReferenceData!$AR$13),"",ReferenceData!$AR$13),"")</f>
        <v>6958</v>
      </c>
      <c r="AS13">
        <f ca="1">IFERROR(IF(0=LEN(ReferenceData!$AS$13),"",ReferenceData!$AS$13),"")</f>
        <v>7178</v>
      </c>
      <c r="AT13">
        <f ca="1">IFERROR(IF(0=LEN(ReferenceData!$AT$13),"",ReferenceData!$AT$13),"")</f>
        <v>6701</v>
      </c>
      <c r="AU13">
        <f ca="1">IFERROR(IF(0=LEN(ReferenceData!$AU$13),"",ReferenceData!$AU$13),"")</f>
        <v>6582</v>
      </c>
      <c r="AV13">
        <f ca="1">IFERROR(IF(0=LEN(ReferenceData!$AV$13),"",ReferenceData!$AV$13),"")</f>
        <v>7015</v>
      </c>
      <c r="AW13">
        <f ca="1">IFERROR(IF(0=LEN(ReferenceData!$AW$13),"",ReferenceData!$AW$13),"")</f>
        <v>9827</v>
      </c>
      <c r="AX13">
        <f ca="1">IFERROR(IF(0=LEN(ReferenceData!$AX$13),"",ReferenceData!$AX$13),"")</f>
        <v>10879</v>
      </c>
      <c r="AY13">
        <f ca="1">IFERROR(IF(0=LEN(ReferenceData!$AY$13),"",ReferenceData!$AY$13),"")</f>
        <v>12134</v>
      </c>
      <c r="AZ13">
        <f ca="1">IFERROR(IF(0=LEN(ReferenceData!$AZ$13),"",ReferenceData!$AZ$13),"")</f>
        <v>12148</v>
      </c>
      <c r="BA13">
        <f ca="1">IFERROR(IF(0=LEN(ReferenceData!$BA$13),"",ReferenceData!$BA$13),"")</f>
        <v>11743</v>
      </c>
      <c r="BB13">
        <f ca="1">IFERROR(IF(0=LEN(ReferenceData!$BB$13),"",ReferenceData!$BB$13),"")</f>
        <v>12026</v>
      </c>
      <c r="BC13">
        <f ca="1">IFERROR(IF(0=LEN(ReferenceData!$BC$13),"",ReferenceData!$BC$13),"")</f>
        <v>11547</v>
      </c>
      <c r="BD13">
        <f ca="1">IFERROR(IF(0=LEN(ReferenceData!$BD$13),"",ReferenceData!$BD$13),"")</f>
        <v>11739</v>
      </c>
      <c r="BE13">
        <f ca="1">IFERROR(IF(0=LEN(ReferenceData!$BE$13),"",ReferenceData!$BE$13),"")</f>
        <v>11554</v>
      </c>
      <c r="BF13">
        <f ca="1">IFERROR(IF(0=LEN(ReferenceData!$BF$13),"",ReferenceData!$BF$13),"")</f>
        <v>11138</v>
      </c>
      <c r="BG13">
        <f ca="1">IFERROR(IF(0=LEN(ReferenceData!$BG$13),"",ReferenceData!$BG$13),"")</f>
        <v>11697</v>
      </c>
      <c r="BH13">
        <f ca="1">IFERROR(IF(0=LEN(ReferenceData!$BH$13),"",ReferenceData!$BH$13),"")</f>
        <v>11243</v>
      </c>
      <c r="BI13">
        <f ca="1">IFERROR(IF(0=LEN(ReferenceData!$BI$13),"",ReferenceData!$BI$13),"")</f>
        <v>11509</v>
      </c>
      <c r="BJ13">
        <f ca="1">IFERROR(IF(0=LEN(ReferenceData!$BJ$13),"",ReferenceData!$BJ$13),"")</f>
        <v>10275</v>
      </c>
      <c r="BK13">
        <f ca="1">IFERROR(IF(0=LEN(ReferenceData!$BK$13),"",ReferenceData!$BK$13),"")</f>
        <v>11678</v>
      </c>
      <c r="BL13">
        <f ca="1">IFERROR(IF(0=LEN(ReferenceData!$BL$13),"",ReferenceData!$BL$13),"")</f>
        <v>11723</v>
      </c>
      <c r="BM13">
        <f ca="1">IFERROR(IF(0=LEN(ReferenceData!$BM$13),"",ReferenceData!$BM$13),"")</f>
        <v>11187</v>
      </c>
      <c r="BN13">
        <f ca="1">IFERROR(IF(0=LEN(ReferenceData!$BN$13),"",ReferenceData!$BN$13),"")</f>
        <v>11629</v>
      </c>
      <c r="BO13">
        <f ca="1">IFERROR(IF(0=LEN(ReferenceData!$BO$13),"",ReferenceData!$BO$13),"")</f>
        <v>11367</v>
      </c>
      <c r="BP13">
        <f ca="1">IFERROR(IF(0=LEN(ReferenceData!$BP$13),"",ReferenceData!$BP$13),"")</f>
        <v>11389</v>
      </c>
      <c r="BQ13">
        <f ca="1">IFERROR(IF(0=LEN(ReferenceData!$BQ$13),"",ReferenceData!$BQ$13),"")</f>
        <v>11605</v>
      </c>
      <c r="BR13">
        <f ca="1">IFERROR(IF(0=LEN(ReferenceData!$BR$13),"",ReferenceData!$BR$13),"")</f>
        <v>11192</v>
      </c>
      <c r="BS13">
        <f ca="1">IFERROR(IF(0=LEN(ReferenceData!$BS$13),"",ReferenceData!$BS$13),"")</f>
        <v>12225</v>
      </c>
      <c r="BT13">
        <f ca="1">IFERROR(IF(0=LEN(ReferenceData!$BT$13),"",ReferenceData!$BT$13),"")</f>
        <v>12133</v>
      </c>
      <c r="BU13">
        <f ca="1">IFERROR(IF(0=LEN(ReferenceData!$BU$13),"",ReferenceData!$BU$13),"")</f>
        <v>12546</v>
      </c>
      <c r="BV13">
        <f ca="1">IFERROR(IF(0=LEN(ReferenceData!$BV$13),"",ReferenceData!$BV$13),"")</f>
        <v>11130</v>
      </c>
      <c r="BW13">
        <f ca="1">IFERROR(IF(0=LEN(ReferenceData!$BW$13),"",ReferenceData!$BW$13),"")</f>
        <v>12642</v>
      </c>
      <c r="BX13">
        <f ca="1">IFERROR(IF(0=LEN(ReferenceData!$BX$13),"",ReferenceData!$BX$13),"")</f>
        <v>12806</v>
      </c>
      <c r="BY13">
        <f ca="1">IFERROR(IF(0=LEN(ReferenceData!$BY$13),"",ReferenceData!$BY$13),"")</f>
        <v>12347</v>
      </c>
      <c r="BZ13">
        <f ca="1">IFERROR(IF(0=LEN(ReferenceData!$BZ$13),"",ReferenceData!$BZ$13),"")</f>
        <v>12549</v>
      </c>
      <c r="CA13">
        <f ca="1">IFERROR(IF(0=LEN(ReferenceData!$CA$13),"",ReferenceData!$CA$13),"")</f>
        <v>11619</v>
      </c>
      <c r="CB13">
        <f ca="1">IFERROR(IF(0=LEN(ReferenceData!$CB$13),"",ReferenceData!$CB$13),"")</f>
        <v>11916</v>
      </c>
      <c r="CC13">
        <f ca="1">IFERROR(IF(0=LEN(ReferenceData!$CC$13),"",ReferenceData!$CC$13),"")</f>
        <v>11811</v>
      </c>
      <c r="CD13">
        <f ca="1">IFERROR(IF(0=LEN(ReferenceData!$CD$13),"",ReferenceData!$CD$13),"")</f>
        <v>12275</v>
      </c>
      <c r="CE13">
        <f ca="1">IFERROR(IF(0=LEN(ReferenceData!$CE$13),"",ReferenceData!$CE$13),"")</f>
        <v>12655</v>
      </c>
      <c r="CF13">
        <f ca="1">IFERROR(IF(0=LEN(ReferenceData!$CF$13),"",ReferenceData!$CF$13),"")</f>
        <v>12260</v>
      </c>
      <c r="CG13">
        <f ca="1">IFERROR(IF(0=LEN(ReferenceData!$CG$13),"",ReferenceData!$CG$13),"")</f>
        <v>12318</v>
      </c>
      <c r="CH13">
        <f ca="1">IFERROR(IF(0=LEN(ReferenceData!$CH$13),"",ReferenceData!$CH$13),"")</f>
        <v>10666</v>
      </c>
      <c r="CI13">
        <f ca="1">IFERROR(IF(0=LEN(ReferenceData!$CI$13),"",ReferenceData!$CI$13),"")</f>
        <v>11925</v>
      </c>
      <c r="CJ13">
        <f ca="1">IFERROR(IF(0=LEN(ReferenceData!$CJ$13),"",ReferenceData!$CJ$13),"")</f>
        <v>12131</v>
      </c>
      <c r="CK13">
        <f ca="1">IFERROR(IF(0=LEN(ReferenceData!$CK$13),"",ReferenceData!$CK$13),"")</f>
        <v>11713</v>
      </c>
    </row>
    <row r="14" spans="1:89" x14ac:dyDescent="0.25">
      <c r="A14" t="str">
        <f>IFERROR(IF(0=LEN(ReferenceData!$A$14),"",ReferenceData!$A$14),"")</f>
        <v>Hong Kong Port Container Throughput (000 TEU)</v>
      </c>
      <c r="B14" t="str">
        <f>IFERROR(IF(0=LEN(ReferenceData!$B$14),"",ReferenceData!$B$14),"")</f>
        <v>HKCCTTL Index</v>
      </c>
      <c r="C14" t="str">
        <f>IFERROR(IF(0=LEN(ReferenceData!$C$14),"",ReferenceData!$C$14),"")</f>
        <v>PX385</v>
      </c>
      <c r="D14" t="str">
        <f>IFERROR(IF(0=LEN(ReferenceData!$D$14),"",ReferenceData!$D$14),"")</f>
        <v>INTERVAL_SUM</v>
      </c>
      <c r="E14" t="str">
        <f>IFERROR(IF(0=LEN(ReferenceData!$E$14),"",ReferenceData!$E$14),"")</f>
        <v>Dynamic</v>
      </c>
      <c r="F14" t="str">
        <f ca="1">IFERROR(IF(0=LEN(ReferenceData!$F$14),"",ReferenceData!$F$14),"")</f>
        <v/>
      </c>
      <c r="G14">
        <f ca="1">IFERROR(IF(0=LEN(ReferenceData!$G$14),"",ReferenceData!$G$14),"")</f>
        <v>1197</v>
      </c>
      <c r="H14">
        <f ca="1">IFERROR(IF(0=LEN(ReferenceData!$H$14),"",ReferenceData!$H$14),"")</f>
        <v>1231</v>
      </c>
      <c r="I14">
        <f ca="1">IFERROR(IF(0=LEN(ReferenceData!$I$14),"",ReferenceData!$I$14),"")</f>
        <v>1217</v>
      </c>
      <c r="J14">
        <f ca="1">IFERROR(IF(0=LEN(ReferenceData!$J$14),"",ReferenceData!$J$14),"")</f>
        <v>1207</v>
      </c>
      <c r="K14">
        <f ca="1">IFERROR(IF(0=LEN(ReferenceData!$K$14),"",ReferenceData!$K$14),"")</f>
        <v>1236</v>
      </c>
      <c r="L14">
        <f ca="1">IFERROR(IF(0=LEN(ReferenceData!$L$14),"",ReferenceData!$L$14),"")</f>
        <v>1246</v>
      </c>
      <c r="M14">
        <f ca="1">IFERROR(IF(0=LEN(ReferenceData!$M$14),"",ReferenceData!$M$14),"")</f>
        <v>1307</v>
      </c>
      <c r="N14">
        <f ca="1">IFERROR(IF(0=LEN(ReferenceData!$N$14),"",ReferenceData!$N$14),"")</f>
        <v>1058</v>
      </c>
      <c r="O14">
        <f ca="1">IFERROR(IF(0=LEN(ReferenceData!$O$14),"",ReferenceData!$O$14),"")</f>
        <v>1067</v>
      </c>
      <c r="P14">
        <f ca="1">IFERROR(IF(0=LEN(ReferenceData!$P$14),"",ReferenceData!$P$14),"")</f>
        <v>1410</v>
      </c>
      <c r="Q14">
        <f ca="1">IFERROR(IF(0=LEN(ReferenceData!$Q$14),"",ReferenceData!$Q$14),"")</f>
        <v>1359</v>
      </c>
      <c r="R14">
        <f ca="1">IFERROR(IF(0=LEN(ReferenceData!$R$14),"",ReferenceData!$R$14),"")</f>
        <v>1280</v>
      </c>
      <c r="S14">
        <f ca="1">IFERROR(IF(0=LEN(ReferenceData!$S$14),"",ReferenceData!$S$14),"")</f>
        <v>1392</v>
      </c>
      <c r="T14">
        <f ca="1">IFERROR(IF(0=LEN(ReferenceData!$T$14),"",ReferenceData!$T$14),"")</f>
        <v>1359</v>
      </c>
      <c r="U14">
        <f ca="1">IFERROR(IF(0=LEN(ReferenceData!$U$14),"",ReferenceData!$U$14),"")</f>
        <v>1458</v>
      </c>
      <c r="V14">
        <f ca="1">IFERROR(IF(0=LEN(ReferenceData!$V$14),"",ReferenceData!$V$14),"")</f>
        <v>1588</v>
      </c>
      <c r="W14">
        <f ca="1">IFERROR(IF(0=LEN(ReferenceData!$W$14),"",ReferenceData!$W$14),"")</f>
        <v>1519</v>
      </c>
      <c r="X14">
        <f ca="1">IFERROR(IF(0=LEN(ReferenceData!$X$14),"",ReferenceData!$X$14),"")</f>
        <v>1616</v>
      </c>
      <c r="Y14">
        <f ca="1">IFERROR(IF(0=LEN(ReferenceData!$Y$14),"",ReferenceData!$Y$14),"")</f>
        <v>1434</v>
      </c>
      <c r="Z14">
        <f ca="1">IFERROR(IF(0=LEN(ReferenceData!$Z$14),"",ReferenceData!$Z$14),"")</f>
        <v>1051</v>
      </c>
      <c r="AA14">
        <f ca="1">IFERROR(IF(0=LEN(ReferenceData!$AA$14),"",ReferenceData!$AA$14),"")</f>
        <v>1221</v>
      </c>
      <c r="AB14">
        <f ca="1">IFERROR(IF(0=LEN(ReferenceData!$AB$14),"",ReferenceData!$AB$14),"")</f>
        <v>1485</v>
      </c>
      <c r="AC14">
        <f ca="1">IFERROR(IF(0=LEN(ReferenceData!$AC$14),"",ReferenceData!$AC$14),"")</f>
        <v>1546</v>
      </c>
      <c r="AD14">
        <f ca="1">IFERROR(IF(0=LEN(ReferenceData!$AD$14),"",ReferenceData!$AD$14),"")</f>
        <v>1420</v>
      </c>
      <c r="AE14">
        <f ca="1">IFERROR(IF(0=LEN(ReferenceData!$AE$14),"",ReferenceData!$AE$14),"")</f>
        <v>1534</v>
      </c>
      <c r="AF14">
        <f ca="1">IFERROR(IF(0=LEN(ReferenceData!$AF$14),"",ReferenceData!$AF$14),"")</f>
        <v>1526</v>
      </c>
      <c r="AG14">
        <f ca="1">IFERROR(IF(0=LEN(ReferenceData!$AG$14),"",ReferenceData!$AG$14),"")</f>
        <v>1581</v>
      </c>
      <c r="AH14">
        <f ca="1">IFERROR(IF(0=LEN(ReferenceData!$AH$14),"",ReferenceData!$AH$14),"")</f>
        <v>1485</v>
      </c>
      <c r="AI14">
        <f ca="1">IFERROR(IF(0=LEN(ReferenceData!$AI$14),"",ReferenceData!$AI$14),"")</f>
        <v>1592</v>
      </c>
      <c r="AJ14">
        <f ca="1">IFERROR(IF(0=LEN(ReferenceData!$AJ$14),"",ReferenceData!$AJ$14),"")</f>
        <v>1517</v>
      </c>
      <c r="AK14">
        <f ca="1">IFERROR(IF(0=LEN(ReferenceData!$AK$14),"",ReferenceData!$AK$14),"")</f>
        <v>1557</v>
      </c>
      <c r="AL14">
        <f ca="1">IFERROR(IF(0=LEN(ReferenceData!$AL$14),"",ReferenceData!$AL$14),"")</f>
        <v>1019</v>
      </c>
      <c r="AM14">
        <f ca="1">IFERROR(IF(0=LEN(ReferenceData!$AM$14),"",ReferenceData!$AM$14),"")</f>
        <v>1538</v>
      </c>
      <c r="AN14">
        <f ca="1">IFERROR(IF(0=LEN(ReferenceData!$AN$14),"",ReferenceData!$AN$14),"")</f>
        <v>1634</v>
      </c>
      <c r="AO14">
        <f ca="1">IFERROR(IF(0=LEN(ReferenceData!$AO$14),"",ReferenceData!$AO$14),"")</f>
        <v>1529</v>
      </c>
      <c r="AP14">
        <f ca="1">IFERROR(IF(0=LEN(ReferenceData!$AP$14),"",ReferenceData!$AP$14),"")</f>
        <v>1499</v>
      </c>
      <c r="AQ14">
        <f ca="1">IFERROR(IF(0=LEN(ReferenceData!$AQ$14),"",ReferenceData!$AQ$14),"")</f>
        <v>1538</v>
      </c>
      <c r="AR14">
        <f ca="1">IFERROR(IF(0=LEN(ReferenceData!$AR$14),"",ReferenceData!$AR$14),"")</f>
        <v>1573</v>
      </c>
      <c r="AS14">
        <f ca="1">IFERROR(IF(0=LEN(ReferenceData!$AS$14),"",ReferenceData!$AS$14),"")</f>
        <v>1588</v>
      </c>
      <c r="AT14">
        <f ca="1">IFERROR(IF(0=LEN(ReferenceData!$AT$14),"",ReferenceData!$AT$14),"")</f>
        <v>1533</v>
      </c>
      <c r="AU14">
        <f ca="1">IFERROR(IF(0=LEN(ReferenceData!$AU$14),"",ReferenceData!$AU$14),"")</f>
        <v>1515</v>
      </c>
      <c r="AV14">
        <f ca="1">IFERROR(IF(0=LEN(ReferenceData!$AV$14),"",ReferenceData!$AV$14),"")</f>
        <v>1462</v>
      </c>
      <c r="AW14">
        <f ca="1">IFERROR(IF(0=LEN(ReferenceData!$AW$14),"",ReferenceData!$AW$14),"")</f>
        <v>1515</v>
      </c>
      <c r="AX14">
        <f ca="1">IFERROR(IF(0=LEN(ReferenceData!$AX$14),"",ReferenceData!$AX$14),"")</f>
        <v>1160</v>
      </c>
      <c r="AY14">
        <f ca="1">IFERROR(IF(0=LEN(ReferenceData!$AY$14),"",ReferenceData!$AY$14),"")</f>
        <v>1425</v>
      </c>
      <c r="AZ14">
        <f ca="1">IFERROR(IF(0=LEN(ReferenceData!$AZ$14),"",ReferenceData!$AZ$14),"")</f>
        <v>1524</v>
      </c>
      <c r="BA14">
        <f ca="1">IFERROR(IF(0=LEN(ReferenceData!$BA$14),"",ReferenceData!$BA$14),"")</f>
        <v>1511</v>
      </c>
      <c r="BB14">
        <f ca="1">IFERROR(IF(0=LEN(ReferenceData!$BB$14),"",ReferenceData!$BB$14),"")</f>
        <v>1553</v>
      </c>
      <c r="BC14">
        <f ca="1">IFERROR(IF(0=LEN(ReferenceData!$BC$14),"",ReferenceData!$BC$14),"")</f>
        <v>1484</v>
      </c>
      <c r="BD14">
        <f ca="1">IFERROR(IF(0=LEN(ReferenceData!$BD$14),"",ReferenceData!$BD$14),"")</f>
        <v>1584</v>
      </c>
      <c r="BE14">
        <f ca="1">IFERROR(IF(0=LEN(ReferenceData!$BE$14),"",ReferenceData!$BE$14),"")</f>
        <v>1549</v>
      </c>
      <c r="BF14">
        <f ca="1">IFERROR(IF(0=LEN(ReferenceData!$BF$14),"",ReferenceData!$BF$14),"")</f>
        <v>1527</v>
      </c>
      <c r="BG14">
        <f ca="1">IFERROR(IF(0=LEN(ReferenceData!$BG$14),"",ReferenceData!$BG$14),"")</f>
        <v>1572</v>
      </c>
      <c r="BH14">
        <f ca="1">IFERROR(IF(0=LEN(ReferenceData!$BH$14),"",ReferenceData!$BH$14),"")</f>
        <v>1574</v>
      </c>
      <c r="BI14">
        <f ca="1">IFERROR(IF(0=LEN(ReferenceData!$BI$14),"",ReferenceData!$BI$14),"")</f>
        <v>1567</v>
      </c>
      <c r="BJ14">
        <f ca="1">IFERROR(IF(0=LEN(ReferenceData!$BJ$14),"",ReferenceData!$BJ$14),"")</f>
        <v>1162</v>
      </c>
      <c r="BK14">
        <f ca="1">IFERROR(IF(0=LEN(ReferenceData!$BK$14),"",ReferenceData!$BK$14),"")</f>
        <v>1695</v>
      </c>
      <c r="BL14">
        <f ca="1">IFERROR(IF(0=LEN(ReferenceData!$BL$14),"",ReferenceData!$BL$14),"")</f>
        <v>1674</v>
      </c>
      <c r="BM14">
        <f ca="1">IFERROR(IF(0=LEN(ReferenceData!$BM$14),"",ReferenceData!$BM$14),"")</f>
        <v>1639</v>
      </c>
      <c r="BN14">
        <f ca="1">IFERROR(IF(0=LEN(ReferenceData!$BN$14),"",ReferenceData!$BN$14),"")</f>
        <v>1646</v>
      </c>
      <c r="BO14">
        <f ca="1">IFERROR(IF(0=LEN(ReferenceData!$BO$14),"",ReferenceData!$BO$14),"")</f>
        <v>1487</v>
      </c>
      <c r="BP14">
        <f ca="1">IFERROR(IF(0=LEN(ReferenceData!$BP$14),"",ReferenceData!$BP$14),"")</f>
        <v>1616</v>
      </c>
      <c r="BQ14">
        <f ca="1">IFERROR(IF(0=LEN(ReferenceData!$BQ$14),"",ReferenceData!$BQ$14),"")</f>
        <v>1666</v>
      </c>
      <c r="BR14">
        <f ca="1">IFERROR(IF(0=LEN(ReferenceData!$BR$14),"",ReferenceData!$BR$14),"")</f>
        <v>1683</v>
      </c>
      <c r="BS14">
        <f ca="1">IFERROR(IF(0=LEN(ReferenceData!$BS$14),"",ReferenceData!$BS$14),"")</f>
        <v>1696</v>
      </c>
      <c r="BT14">
        <f ca="1">IFERROR(IF(0=LEN(ReferenceData!$BT$14),"",ReferenceData!$BT$14),"")</f>
        <v>1601</v>
      </c>
      <c r="BU14">
        <f ca="1">IFERROR(IF(0=LEN(ReferenceData!$BU$14),"",ReferenceData!$BU$14),"")</f>
        <v>1628</v>
      </c>
      <c r="BV14">
        <f ca="1">IFERROR(IF(0=LEN(ReferenceData!$BV$14),"",ReferenceData!$BV$14),"")</f>
        <v>1414</v>
      </c>
      <c r="BW14">
        <f ca="1">IFERROR(IF(0=LEN(ReferenceData!$BW$14),"",ReferenceData!$BW$14),"")</f>
        <v>1846</v>
      </c>
      <c r="BX14">
        <f ca="1">IFERROR(IF(0=LEN(ReferenceData!$BX$14),"",ReferenceData!$BX$14),"")</f>
        <v>1780</v>
      </c>
      <c r="BY14">
        <f ca="1">IFERROR(IF(0=LEN(ReferenceData!$BY$14),"",ReferenceData!$BY$14),"")</f>
        <v>1757</v>
      </c>
      <c r="BZ14">
        <f ca="1">IFERROR(IF(0=LEN(ReferenceData!$BZ$14),"",ReferenceData!$BZ$14),"")</f>
        <v>1676</v>
      </c>
      <c r="CA14">
        <f ca="1">IFERROR(IF(0=LEN(ReferenceData!$CA$14),"",ReferenceData!$CA$14),"")</f>
        <v>1806</v>
      </c>
      <c r="CB14">
        <f ca="1">IFERROR(IF(0=LEN(ReferenceData!$CB$14),"",ReferenceData!$CB$14),"")</f>
        <v>1718</v>
      </c>
      <c r="CC14">
        <f ca="1">IFERROR(IF(0=LEN(ReferenceData!$CC$14),"",ReferenceData!$CC$14),"")</f>
        <v>1782</v>
      </c>
      <c r="CD14">
        <f ca="1">IFERROR(IF(0=LEN(ReferenceData!$CD$14),"",ReferenceData!$CD$14),"")</f>
        <v>1750</v>
      </c>
      <c r="CE14">
        <f ca="1">IFERROR(IF(0=LEN(ReferenceData!$CE$14),"",ReferenceData!$CE$14),"")</f>
        <v>1824</v>
      </c>
      <c r="CF14">
        <f ca="1">IFERROR(IF(0=LEN(ReferenceData!$CF$14),"",ReferenceData!$CF$14),"")</f>
        <v>1799</v>
      </c>
      <c r="CG14">
        <f ca="1">IFERROR(IF(0=LEN(ReferenceData!$CG$14),"",ReferenceData!$CG$14),"")</f>
        <v>1730</v>
      </c>
      <c r="CH14">
        <f ca="1">IFERROR(IF(0=LEN(ReferenceData!$CH$14),"",ReferenceData!$CH$14),"")</f>
        <v>1487</v>
      </c>
      <c r="CI14">
        <f ca="1">IFERROR(IF(0=LEN(ReferenceData!$CI$14),"",ReferenceData!$CI$14),"")</f>
        <v>1661</v>
      </c>
      <c r="CJ14">
        <f ca="1">IFERROR(IF(0=LEN(ReferenceData!$CJ$14),"",ReferenceData!$CJ$14),"")</f>
        <v>1983</v>
      </c>
      <c r="CK14">
        <f ca="1">IFERROR(IF(0=LEN(ReferenceData!$CK$14),"",ReferenceData!$CK$14),"")</f>
        <v>1814</v>
      </c>
    </row>
    <row r="15" spans="1:89" x14ac:dyDescent="0.25">
      <c r="A15" t="str">
        <f>IFERROR(IF(0=LEN(ReferenceData!$A$15),"",ReferenceData!$A$15),"")</f>
        <v>Hong Kong Maritime Industry Council</v>
      </c>
      <c r="B15" t="str">
        <f>IFERROR(IF(0=LEN(ReferenceData!$B$15),"",ReferenceData!$B$15),"")</f>
        <v/>
      </c>
      <c r="C15" t="str">
        <f>IFERROR(IF(0=LEN(ReferenceData!$C$15),"",ReferenceData!$C$15),"")</f>
        <v/>
      </c>
      <c r="D15" t="str">
        <f>IFERROR(IF(0=LEN(ReferenceData!$D$15),"",ReferenceData!$D$15),"")</f>
        <v/>
      </c>
      <c r="E15" t="str">
        <f>IFERROR(IF(0=LEN(ReferenceData!$E$15),"",ReferenceData!$E$15),"")</f>
        <v>Heading</v>
      </c>
      <c r="F15" t="str">
        <f>IFERROR(IF(0=LEN(ReferenceData!$F$15),"",ReferenceData!$F$15),"")</f>
        <v/>
      </c>
      <c r="G15" t="str">
        <f>IFERROR(IF(0=LEN(ReferenceData!$G$15),"",ReferenceData!$G$15),"")</f>
        <v/>
      </c>
      <c r="H15" t="str">
        <f>IFERROR(IF(0=LEN(ReferenceData!$H$15),"",ReferenceData!$H$15),"")</f>
        <v/>
      </c>
      <c r="I15" t="str">
        <f>IFERROR(IF(0=LEN(ReferenceData!$I$15),"",ReferenceData!$I$15),"")</f>
        <v/>
      </c>
      <c r="J15" t="str">
        <f>IFERROR(IF(0=LEN(ReferenceData!$J$15),"",ReferenceData!$J$15),"")</f>
        <v/>
      </c>
      <c r="K15" t="str">
        <f>IFERROR(IF(0=LEN(ReferenceData!$K$15),"",ReferenceData!$K$15),"")</f>
        <v/>
      </c>
      <c r="L15" t="str">
        <f>IFERROR(IF(0=LEN(ReferenceData!$L$15),"",ReferenceData!$L$15),"")</f>
        <v/>
      </c>
      <c r="M15" t="str">
        <f>IFERROR(IF(0=LEN(ReferenceData!$M$15),"",ReferenceData!$M$15),"")</f>
        <v/>
      </c>
      <c r="N15" t="str">
        <f>IFERROR(IF(0=LEN(ReferenceData!$N$15),"",ReferenceData!$N$15),"")</f>
        <v/>
      </c>
      <c r="O15" t="str">
        <f>IFERROR(IF(0=LEN(ReferenceData!$O$15),"",ReferenceData!$O$15),"")</f>
        <v/>
      </c>
      <c r="P15" t="str">
        <f>IFERROR(IF(0=LEN(ReferenceData!$P$15),"",ReferenceData!$P$15),"")</f>
        <v/>
      </c>
      <c r="Q15" t="str">
        <f>IFERROR(IF(0=LEN(ReferenceData!$Q$15),"",ReferenceData!$Q$15),"")</f>
        <v/>
      </c>
      <c r="R15" t="str">
        <f>IFERROR(IF(0=LEN(ReferenceData!$R$15),"",ReferenceData!$R$15),"")</f>
        <v/>
      </c>
      <c r="S15" t="str">
        <f>IFERROR(IF(0=LEN(ReferenceData!$S$15),"",ReferenceData!$S$15),"")</f>
        <v/>
      </c>
      <c r="T15" t="str">
        <f>IFERROR(IF(0=LEN(ReferenceData!$T$15),"",ReferenceData!$T$15),"")</f>
        <v/>
      </c>
      <c r="U15" t="str">
        <f>IFERROR(IF(0=LEN(ReferenceData!$U$15),"",ReferenceData!$U$15),"")</f>
        <v/>
      </c>
      <c r="V15" t="str">
        <f>IFERROR(IF(0=LEN(ReferenceData!$V$15),"",ReferenceData!$V$15),"")</f>
        <v/>
      </c>
      <c r="W15" t="str">
        <f>IFERROR(IF(0=LEN(ReferenceData!$W$15),"",ReferenceData!$W$15),"")</f>
        <v/>
      </c>
      <c r="X15" t="str">
        <f>IFERROR(IF(0=LEN(ReferenceData!$X$15),"",ReferenceData!$X$15),"")</f>
        <v/>
      </c>
      <c r="Y15" t="str">
        <f>IFERROR(IF(0=LEN(ReferenceData!$Y$15),"",ReferenceData!$Y$15),"")</f>
        <v/>
      </c>
      <c r="Z15" t="str">
        <f>IFERROR(IF(0=LEN(ReferenceData!$Z$15),"",ReferenceData!$Z$15),"")</f>
        <v/>
      </c>
      <c r="AA15" t="str">
        <f>IFERROR(IF(0=LEN(ReferenceData!$AA$15),"",ReferenceData!$AA$15),"")</f>
        <v/>
      </c>
      <c r="AB15" t="str">
        <f>IFERROR(IF(0=LEN(ReferenceData!$AB$15),"",ReferenceData!$AB$15),"")</f>
        <v/>
      </c>
      <c r="AC15" t="str">
        <f>IFERROR(IF(0=LEN(ReferenceData!$AC$15),"",ReferenceData!$AC$15),"")</f>
        <v/>
      </c>
      <c r="AD15" t="str">
        <f>IFERROR(IF(0=LEN(ReferenceData!$AD$15),"",ReferenceData!$AD$15),"")</f>
        <v/>
      </c>
      <c r="AE15" t="str">
        <f>IFERROR(IF(0=LEN(ReferenceData!$AE$15),"",ReferenceData!$AE$15),"")</f>
        <v/>
      </c>
      <c r="AF15" t="str">
        <f>IFERROR(IF(0=LEN(ReferenceData!$AF$15),"",ReferenceData!$AF$15),"")</f>
        <v/>
      </c>
      <c r="AG15" t="str">
        <f>IFERROR(IF(0=LEN(ReferenceData!$AG$15),"",ReferenceData!$AG$15),"")</f>
        <v/>
      </c>
      <c r="AH15" t="str">
        <f>IFERROR(IF(0=LEN(ReferenceData!$AH$15),"",ReferenceData!$AH$15),"")</f>
        <v/>
      </c>
      <c r="AI15" t="str">
        <f>IFERROR(IF(0=LEN(ReferenceData!$AI$15),"",ReferenceData!$AI$15),"")</f>
        <v/>
      </c>
      <c r="AJ15" t="str">
        <f>IFERROR(IF(0=LEN(ReferenceData!$AJ$15),"",ReferenceData!$AJ$15),"")</f>
        <v/>
      </c>
      <c r="AK15" t="str">
        <f>IFERROR(IF(0=LEN(ReferenceData!$AK$15),"",ReferenceData!$AK$15),"")</f>
        <v/>
      </c>
      <c r="AL15" t="str">
        <f>IFERROR(IF(0=LEN(ReferenceData!$AL$15),"",ReferenceData!$AL$15),"")</f>
        <v/>
      </c>
      <c r="AM15" t="str">
        <f>IFERROR(IF(0=LEN(ReferenceData!$AM$15),"",ReferenceData!$AM$15),"")</f>
        <v/>
      </c>
      <c r="AN15" t="str">
        <f>IFERROR(IF(0=LEN(ReferenceData!$AN$15),"",ReferenceData!$AN$15),"")</f>
        <v/>
      </c>
      <c r="AO15" t="str">
        <f>IFERROR(IF(0=LEN(ReferenceData!$AO$15),"",ReferenceData!$AO$15),"")</f>
        <v/>
      </c>
      <c r="AP15" t="str">
        <f>IFERROR(IF(0=LEN(ReferenceData!$AP$15),"",ReferenceData!$AP$15),"")</f>
        <v/>
      </c>
      <c r="AQ15" t="str">
        <f>IFERROR(IF(0=LEN(ReferenceData!$AQ$15),"",ReferenceData!$AQ$15),"")</f>
        <v/>
      </c>
      <c r="AR15" t="str">
        <f>IFERROR(IF(0=LEN(ReferenceData!$AR$15),"",ReferenceData!$AR$15),"")</f>
        <v/>
      </c>
      <c r="AS15" t="str">
        <f>IFERROR(IF(0=LEN(ReferenceData!$AS$15),"",ReferenceData!$AS$15),"")</f>
        <v/>
      </c>
      <c r="AT15" t="str">
        <f>IFERROR(IF(0=LEN(ReferenceData!$AT$15),"",ReferenceData!$AT$15),"")</f>
        <v/>
      </c>
      <c r="AU15" t="str">
        <f>IFERROR(IF(0=LEN(ReferenceData!$AU$15),"",ReferenceData!$AU$15),"")</f>
        <v/>
      </c>
      <c r="AV15" t="str">
        <f>IFERROR(IF(0=LEN(ReferenceData!$AV$15),"",ReferenceData!$AV$15),"")</f>
        <v/>
      </c>
      <c r="AW15" t="str">
        <f>IFERROR(IF(0=LEN(ReferenceData!$AW$15),"",ReferenceData!$AW$15),"")</f>
        <v/>
      </c>
      <c r="AX15" t="str">
        <f>IFERROR(IF(0=LEN(ReferenceData!$AX$15),"",ReferenceData!$AX$15),"")</f>
        <v/>
      </c>
      <c r="AY15" t="str">
        <f>IFERROR(IF(0=LEN(ReferenceData!$AY$15),"",ReferenceData!$AY$15),"")</f>
        <v/>
      </c>
      <c r="AZ15" t="str">
        <f>IFERROR(IF(0=LEN(ReferenceData!$AZ$15),"",ReferenceData!$AZ$15),"")</f>
        <v/>
      </c>
      <c r="BA15" t="str">
        <f>IFERROR(IF(0=LEN(ReferenceData!$BA$15),"",ReferenceData!$BA$15),"")</f>
        <v/>
      </c>
      <c r="BB15" t="str">
        <f>IFERROR(IF(0=LEN(ReferenceData!$BB$15),"",ReferenceData!$BB$15),"")</f>
        <v/>
      </c>
      <c r="BC15" t="str">
        <f>IFERROR(IF(0=LEN(ReferenceData!$BC$15),"",ReferenceData!$BC$15),"")</f>
        <v/>
      </c>
      <c r="BD15" t="str">
        <f>IFERROR(IF(0=LEN(ReferenceData!$BD$15),"",ReferenceData!$BD$15),"")</f>
        <v/>
      </c>
      <c r="BE15" t="str">
        <f>IFERROR(IF(0=LEN(ReferenceData!$BE$15),"",ReferenceData!$BE$15),"")</f>
        <v/>
      </c>
      <c r="BF15" t="str">
        <f>IFERROR(IF(0=LEN(ReferenceData!$BF$15),"",ReferenceData!$BF$15),"")</f>
        <v/>
      </c>
      <c r="BG15" t="str">
        <f>IFERROR(IF(0=LEN(ReferenceData!$BG$15),"",ReferenceData!$BG$15),"")</f>
        <v/>
      </c>
      <c r="BH15" t="str">
        <f>IFERROR(IF(0=LEN(ReferenceData!$BH$15),"",ReferenceData!$BH$15),"")</f>
        <v/>
      </c>
      <c r="BI15" t="str">
        <f>IFERROR(IF(0=LEN(ReferenceData!$BI$15),"",ReferenceData!$BI$15),"")</f>
        <v/>
      </c>
      <c r="BJ15" t="str">
        <f>IFERROR(IF(0=LEN(ReferenceData!$BJ$15),"",ReferenceData!$BJ$15),"")</f>
        <v/>
      </c>
      <c r="BK15" t="str">
        <f>IFERROR(IF(0=LEN(ReferenceData!$BK$15),"",ReferenceData!$BK$15),"")</f>
        <v/>
      </c>
      <c r="BL15" t="str">
        <f>IFERROR(IF(0=LEN(ReferenceData!$BL$15),"",ReferenceData!$BL$15),"")</f>
        <v/>
      </c>
      <c r="BM15" t="str">
        <f>IFERROR(IF(0=LEN(ReferenceData!$BM$15),"",ReferenceData!$BM$15),"")</f>
        <v/>
      </c>
      <c r="BN15" t="str">
        <f>IFERROR(IF(0=LEN(ReferenceData!$BN$15),"",ReferenceData!$BN$15),"")</f>
        <v/>
      </c>
      <c r="BO15" t="str">
        <f>IFERROR(IF(0=LEN(ReferenceData!$BO$15),"",ReferenceData!$BO$15),"")</f>
        <v/>
      </c>
      <c r="BP15" t="str">
        <f>IFERROR(IF(0=LEN(ReferenceData!$BP$15),"",ReferenceData!$BP$15),"")</f>
        <v/>
      </c>
      <c r="BQ15" t="str">
        <f>IFERROR(IF(0=LEN(ReferenceData!$BQ$15),"",ReferenceData!$BQ$15),"")</f>
        <v/>
      </c>
      <c r="BR15" t="str">
        <f>IFERROR(IF(0=LEN(ReferenceData!$BR$15),"",ReferenceData!$BR$15),"")</f>
        <v/>
      </c>
      <c r="BS15" t="str">
        <f>IFERROR(IF(0=LEN(ReferenceData!$BS$15),"",ReferenceData!$BS$15),"")</f>
        <v/>
      </c>
      <c r="BT15" t="str">
        <f>IFERROR(IF(0=LEN(ReferenceData!$BT$15),"",ReferenceData!$BT$15),"")</f>
        <v/>
      </c>
      <c r="BU15" t="str">
        <f>IFERROR(IF(0=LEN(ReferenceData!$BU$15),"",ReferenceData!$BU$15),"")</f>
        <v/>
      </c>
      <c r="BV15" t="str">
        <f>IFERROR(IF(0=LEN(ReferenceData!$BV$15),"",ReferenceData!$BV$15),"")</f>
        <v/>
      </c>
      <c r="BW15" t="str">
        <f>IFERROR(IF(0=LEN(ReferenceData!$BW$15),"",ReferenceData!$BW$15),"")</f>
        <v/>
      </c>
      <c r="BX15" t="str">
        <f>IFERROR(IF(0=LEN(ReferenceData!$BX$15),"",ReferenceData!$BX$15),"")</f>
        <v/>
      </c>
      <c r="BY15" t="str">
        <f>IFERROR(IF(0=LEN(ReferenceData!$BY$15),"",ReferenceData!$BY$15),"")</f>
        <v/>
      </c>
      <c r="BZ15" t="str">
        <f>IFERROR(IF(0=LEN(ReferenceData!$BZ$15),"",ReferenceData!$BZ$15),"")</f>
        <v/>
      </c>
      <c r="CA15" t="str">
        <f>IFERROR(IF(0=LEN(ReferenceData!$CA$15),"",ReferenceData!$CA$15),"")</f>
        <v/>
      </c>
      <c r="CB15" t="str">
        <f>IFERROR(IF(0=LEN(ReferenceData!$CB$15),"",ReferenceData!$CB$15),"")</f>
        <v/>
      </c>
      <c r="CC15" t="str">
        <f>IFERROR(IF(0=LEN(ReferenceData!$CC$15),"",ReferenceData!$CC$15),"")</f>
        <v/>
      </c>
      <c r="CD15" t="str">
        <f>IFERROR(IF(0=LEN(ReferenceData!$CD$15),"",ReferenceData!$CD$15),"")</f>
        <v/>
      </c>
      <c r="CE15" t="str">
        <f>IFERROR(IF(0=LEN(ReferenceData!$CE$15),"",ReferenceData!$CE$15),"")</f>
        <v/>
      </c>
      <c r="CF15" t="str">
        <f>IFERROR(IF(0=LEN(ReferenceData!$CF$15),"",ReferenceData!$CF$15),"")</f>
        <v/>
      </c>
      <c r="CG15" t="str">
        <f>IFERROR(IF(0=LEN(ReferenceData!$CG$15),"",ReferenceData!$CG$15),"")</f>
        <v/>
      </c>
      <c r="CH15" t="str">
        <f>IFERROR(IF(0=LEN(ReferenceData!$CH$15),"",ReferenceData!$CH$15),"")</f>
        <v/>
      </c>
      <c r="CI15" t="str">
        <f>IFERROR(IF(0=LEN(ReferenceData!$CI$15),"",ReferenceData!$CI$15),"")</f>
        <v/>
      </c>
      <c r="CJ15" t="str">
        <f>IFERROR(IF(0=LEN(ReferenceData!$CJ$15),"",ReferenceData!$CJ$15),"")</f>
        <v/>
      </c>
      <c r="CK15" t="str">
        <f>IFERROR(IF(0=LEN(ReferenceData!$CK$15),"",ReferenceData!$CK$15),"")</f>
        <v/>
      </c>
    </row>
    <row r="16" spans="1:89" x14ac:dyDescent="0.25">
      <c r="A16" t="str">
        <f>IFERROR(IF(0=LEN(ReferenceData!$A$16),"",ReferenceData!$A$16),"")</f>
        <v>China Sea Port Statistics</v>
      </c>
      <c r="B16" t="str">
        <f>IFERROR(IF(0=LEN(ReferenceData!$B$16),"",ReferenceData!$B$16),"")</f>
        <v/>
      </c>
      <c r="C16" t="str">
        <f>IFERROR(IF(0=LEN(ReferenceData!$C$16),"",ReferenceData!$C$16),"")</f>
        <v/>
      </c>
      <c r="D16" t="str">
        <f>IFERROR(IF(0=LEN(ReferenceData!$D$16),"",ReferenceData!$D$16),"")</f>
        <v/>
      </c>
      <c r="E16" t="str">
        <f>IFERROR(IF(0=LEN(ReferenceData!$E$16),"",ReferenceData!$E$16),"")</f>
        <v>Heading</v>
      </c>
      <c r="F16" t="str">
        <f>IFERROR(IF(0=LEN(ReferenceData!$F$16),"",ReferenceData!$F$16),"")</f>
        <v/>
      </c>
      <c r="G16" t="str">
        <f>IFERROR(IF(0=LEN(ReferenceData!$G$16),"",ReferenceData!$G$16),"")</f>
        <v/>
      </c>
      <c r="H16" t="str">
        <f>IFERROR(IF(0=LEN(ReferenceData!$H$16),"",ReferenceData!$H$16),"")</f>
        <v/>
      </c>
      <c r="I16" t="str">
        <f>IFERROR(IF(0=LEN(ReferenceData!$I$16),"",ReferenceData!$I$16),"")</f>
        <v/>
      </c>
      <c r="J16" t="str">
        <f>IFERROR(IF(0=LEN(ReferenceData!$J$16),"",ReferenceData!$J$16),"")</f>
        <v/>
      </c>
      <c r="K16" t="str">
        <f>IFERROR(IF(0=LEN(ReferenceData!$K$16),"",ReferenceData!$K$16),"")</f>
        <v/>
      </c>
      <c r="L16" t="str">
        <f>IFERROR(IF(0=LEN(ReferenceData!$L$16),"",ReferenceData!$L$16),"")</f>
        <v/>
      </c>
      <c r="M16" t="str">
        <f>IFERROR(IF(0=LEN(ReferenceData!$M$16),"",ReferenceData!$M$16),"")</f>
        <v/>
      </c>
      <c r="N16" t="str">
        <f>IFERROR(IF(0=LEN(ReferenceData!$N$16),"",ReferenceData!$N$16),"")</f>
        <v/>
      </c>
      <c r="O16" t="str">
        <f>IFERROR(IF(0=LEN(ReferenceData!$O$16),"",ReferenceData!$O$16),"")</f>
        <v/>
      </c>
      <c r="P16" t="str">
        <f>IFERROR(IF(0=LEN(ReferenceData!$P$16),"",ReferenceData!$P$16),"")</f>
        <v/>
      </c>
      <c r="Q16" t="str">
        <f>IFERROR(IF(0=LEN(ReferenceData!$Q$16),"",ReferenceData!$Q$16),"")</f>
        <v/>
      </c>
      <c r="R16" t="str">
        <f>IFERROR(IF(0=LEN(ReferenceData!$R$16),"",ReferenceData!$R$16),"")</f>
        <v/>
      </c>
      <c r="S16" t="str">
        <f>IFERROR(IF(0=LEN(ReferenceData!$S$16),"",ReferenceData!$S$16),"")</f>
        <v/>
      </c>
      <c r="T16" t="str">
        <f>IFERROR(IF(0=LEN(ReferenceData!$T$16),"",ReferenceData!$T$16),"")</f>
        <v/>
      </c>
      <c r="U16" t="str">
        <f>IFERROR(IF(0=LEN(ReferenceData!$U$16),"",ReferenceData!$U$16),"")</f>
        <v/>
      </c>
      <c r="V16" t="str">
        <f>IFERROR(IF(0=LEN(ReferenceData!$V$16),"",ReferenceData!$V$16),"")</f>
        <v/>
      </c>
      <c r="W16" t="str">
        <f>IFERROR(IF(0=LEN(ReferenceData!$W$16),"",ReferenceData!$W$16),"")</f>
        <v/>
      </c>
      <c r="X16" t="str">
        <f>IFERROR(IF(0=LEN(ReferenceData!$X$16),"",ReferenceData!$X$16),"")</f>
        <v/>
      </c>
      <c r="Y16" t="str">
        <f>IFERROR(IF(0=LEN(ReferenceData!$Y$16),"",ReferenceData!$Y$16),"")</f>
        <v/>
      </c>
      <c r="Z16" t="str">
        <f>IFERROR(IF(0=LEN(ReferenceData!$Z$16),"",ReferenceData!$Z$16),"")</f>
        <v/>
      </c>
      <c r="AA16" t="str">
        <f>IFERROR(IF(0=LEN(ReferenceData!$AA$16),"",ReferenceData!$AA$16),"")</f>
        <v/>
      </c>
      <c r="AB16" t="str">
        <f>IFERROR(IF(0=LEN(ReferenceData!$AB$16),"",ReferenceData!$AB$16),"")</f>
        <v/>
      </c>
      <c r="AC16" t="str">
        <f>IFERROR(IF(0=LEN(ReferenceData!$AC$16),"",ReferenceData!$AC$16),"")</f>
        <v/>
      </c>
      <c r="AD16" t="str">
        <f>IFERROR(IF(0=LEN(ReferenceData!$AD$16),"",ReferenceData!$AD$16),"")</f>
        <v/>
      </c>
      <c r="AE16" t="str">
        <f>IFERROR(IF(0=LEN(ReferenceData!$AE$16),"",ReferenceData!$AE$16),"")</f>
        <v/>
      </c>
      <c r="AF16" t="str">
        <f>IFERROR(IF(0=LEN(ReferenceData!$AF$16),"",ReferenceData!$AF$16),"")</f>
        <v/>
      </c>
      <c r="AG16" t="str">
        <f>IFERROR(IF(0=LEN(ReferenceData!$AG$16),"",ReferenceData!$AG$16),"")</f>
        <v/>
      </c>
      <c r="AH16" t="str">
        <f>IFERROR(IF(0=LEN(ReferenceData!$AH$16),"",ReferenceData!$AH$16),"")</f>
        <v/>
      </c>
      <c r="AI16" t="str">
        <f>IFERROR(IF(0=LEN(ReferenceData!$AI$16),"",ReferenceData!$AI$16),"")</f>
        <v/>
      </c>
      <c r="AJ16" t="str">
        <f>IFERROR(IF(0=LEN(ReferenceData!$AJ$16),"",ReferenceData!$AJ$16),"")</f>
        <v/>
      </c>
      <c r="AK16" t="str">
        <f>IFERROR(IF(0=LEN(ReferenceData!$AK$16),"",ReferenceData!$AK$16),"")</f>
        <v/>
      </c>
      <c r="AL16" t="str">
        <f>IFERROR(IF(0=LEN(ReferenceData!$AL$16),"",ReferenceData!$AL$16),"")</f>
        <v/>
      </c>
      <c r="AM16" t="str">
        <f>IFERROR(IF(0=LEN(ReferenceData!$AM$16),"",ReferenceData!$AM$16),"")</f>
        <v/>
      </c>
      <c r="AN16" t="str">
        <f>IFERROR(IF(0=LEN(ReferenceData!$AN$16),"",ReferenceData!$AN$16),"")</f>
        <v/>
      </c>
      <c r="AO16" t="str">
        <f>IFERROR(IF(0=LEN(ReferenceData!$AO$16),"",ReferenceData!$AO$16),"")</f>
        <v/>
      </c>
      <c r="AP16" t="str">
        <f>IFERROR(IF(0=LEN(ReferenceData!$AP$16),"",ReferenceData!$AP$16),"")</f>
        <v/>
      </c>
      <c r="AQ16" t="str">
        <f>IFERROR(IF(0=LEN(ReferenceData!$AQ$16),"",ReferenceData!$AQ$16),"")</f>
        <v/>
      </c>
      <c r="AR16" t="str">
        <f>IFERROR(IF(0=LEN(ReferenceData!$AR$16),"",ReferenceData!$AR$16),"")</f>
        <v/>
      </c>
      <c r="AS16" t="str">
        <f>IFERROR(IF(0=LEN(ReferenceData!$AS$16),"",ReferenceData!$AS$16),"")</f>
        <v/>
      </c>
      <c r="AT16" t="str">
        <f>IFERROR(IF(0=LEN(ReferenceData!$AT$16),"",ReferenceData!$AT$16),"")</f>
        <v/>
      </c>
      <c r="AU16" t="str">
        <f>IFERROR(IF(0=LEN(ReferenceData!$AU$16),"",ReferenceData!$AU$16),"")</f>
        <v/>
      </c>
      <c r="AV16" t="str">
        <f>IFERROR(IF(0=LEN(ReferenceData!$AV$16),"",ReferenceData!$AV$16),"")</f>
        <v/>
      </c>
      <c r="AW16" t="str">
        <f>IFERROR(IF(0=LEN(ReferenceData!$AW$16),"",ReferenceData!$AW$16),"")</f>
        <v/>
      </c>
      <c r="AX16" t="str">
        <f>IFERROR(IF(0=LEN(ReferenceData!$AX$16),"",ReferenceData!$AX$16),"")</f>
        <v/>
      </c>
      <c r="AY16" t="str">
        <f>IFERROR(IF(0=LEN(ReferenceData!$AY$16),"",ReferenceData!$AY$16),"")</f>
        <v/>
      </c>
      <c r="AZ16" t="str">
        <f>IFERROR(IF(0=LEN(ReferenceData!$AZ$16),"",ReferenceData!$AZ$16),"")</f>
        <v/>
      </c>
      <c r="BA16" t="str">
        <f>IFERROR(IF(0=LEN(ReferenceData!$BA$16),"",ReferenceData!$BA$16),"")</f>
        <v/>
      </c>
      <c r="BB16" t="str">
        <f>IFERROR(IF(0=LEN(ReferenceData!$BB$16),"",ReferenceData!$BB$16),"")</f>
        <v/>
      </c>
      <c r="BC16" t="str">
        <f>IFERROR(IF(0=LEN(ReferenceData!$BC$16),"",ReferenceData!$BC$16),"")</f>
        <v/>
      </c>
      <c r="BD16" t="str">
        <f>IFERROR(IF(0=LEN(ReferenceData!$BD$16),"",ReferenceData!$BD$16),"")</f>
        <v/>
      </c>
      <c r="BE16" t="str">
        <f>IFERROR(IF(0=LEN(ReferenceData!$BE$16),"",ReferenceData!$BE$16),"")</f>
        <v/>
      </c>
      <c r="BF16" t="str">
        <f>IFERROR(IF(0=LEN(ReferenceData!$BF$16),"",ReferenceData!$BF$16),"")</f>
        <v/>
      </c>
      <c r="BG16" t="str">
        <f>IFERROR(IF(0=LEN(ReferenceData!$BG$16),"",ReferenceData!$BG$16),"")</f>
        <v/>
      </c>
      <c r="BH16" t="str">
        <f>IFERROR(IF(0=LEN(ReferenceData!$BH$16),"",ReferenceData!$BH$16),"")</f>
        <v/>
      </c>
      <c r="BI16" t="str">
        <f>IFERROR(IF(0=LEN(ReferenceData!$BI$16),"",ReferenceData!$BI$16),"")</f>
        <v/>
      </c>
      <c r="BJ16" t="str">
        <f>IFERROR(IF(0=LEN(ReferenceData!$BJ$16),"",ReferenceData!$BJ$16),"")</f>
        <v/>
      </c>
      <c r="BK16" t="str">
        <f>IFERROR(IF(0=LEN(ReferenceData!$BK$16),"",ReferenceData!$BK$16),"")</f>
        <v/>
      </c>
      <c r="BL16" t="str">
        <f>IFERROR(IF(0=LEN(ReferenceData!$BL$16),"",ReferenceData!$BL$16),"")</f>
        <v/>
      </c>
      <c r="BM16" t="str">
        <f>IFERROR(IF(0=LEN(ReferenceData!$BM$16),"",ReferenceData!$BM$16),"")</f>
        <v/>
      </c>
      <c r="BN16" t="str">
        <f>IFERROR(IF(0=LEN(ReferenceData!$BN$16),"",ReferenceData!$BN$16),"")</f>
        <v/>
      </c>
      <c r="BO16" t="str">
        <f>IFERROR(IF(0=LEN(ReferenceData!$BO$16),"",ReferenceData!$BO$16),"")</f>
        <v/>
      </c>
      <c r="BP16" t="str">
        <f>IFERROR(IF(0=LEN(ReferenceData!$BP$16),"",ReferenceData!$BP$16),"")</f>
        <v/>
      </c>
      <c r="BQ16" t="str">
        <f>IFERROR(IF(0=LEN(ReferenceData!$BQ$16),"",ReferenceData!$BQ$16),"")</f>
        <v/>
      </c>
      <c r="BR16" t="str">
        <f>IFERROR(IF(0=LEN(ReferenceData!$BR$16),"",ReferenceData!$BR$16),"")</f>
        <v/>
      </c>
      <c r="BS16" t="str">
        <f>IFERROR(IF(0=LEN(ReferenceData!$BS$16),"",ReferenceData!$BS$16),"")</f>
        <v/>
      </c>
      <c r="BT16" t="str">
        <f>IFERROR(IF(0=LEN(ReferenceData!$BT$16),"",ReferenceData!$BT$16),"")</f>
        <v/>
      </c>
      <c r="BU16" t="str">
        <f>IFERROR(IF(0=LEN(ReferenceData!$BU$16),"",ReferenceData!$BU$16),"")</f>
        <v/>
      </c>
      <c r="BV16" t="str">
        <f>IFERROR(IF(0=LEN(ReferenceData!$BV$16),"",ReferenceData!$BV$16),"")</f>
        <v/>
      </c>
      <c r="BW16" t="str">
        <f>IFERROR(IF(0=LEN(ReferenceData!$BW$16),"",ReferenceData!$BW$16),"")</f>
        <v/>
      </c>
      <c r="BX16" t="str">
        <f>IFERROR(IF(0=LEN(ReferenceData!$BX$16),"",ReferenceData!$BX$16),"")</f>
        <v/>
      </c>
      <c r="BY16" t="str">
        <f>IFERROR(IF(0=LEN(ReferenceData!$BY$16),"",ReferenceData!$BY$16),"")</f>
        <v/>
      </c>
      <c r="BZ16" t="str">
        <f>IFERROR(IF(0=LEN(ReferenceData!$BZ$16),"",ReferenceData!$BZ$16),"")</f>
        <v/>
      </c>
      <c r="CA16" t="str">
        <f>IFERROR(IF(0=LEN(ReferenceData!$CA$16),"",ReferenceData!$CA$16),"")</f>
        <v/>
      </c>
      <c r="CB16" t="str">
        <f>IFERROR(IF(0=LEN(ReferenceData!$CB$16),"",ReferenceData!$CB$16),"")</f>
        <v/>
      </c>
      <c r="CC16" t="str">
        <f>IFERROR(IF(0=LEN(ReferenceData!$CC$16),"",ReferenceData!$CC$16),"")</f>
        <v/>
      </c>
      <c r="CD16" t="str">
        <f>IFERROR(IF(0=LEN(ReferenceData!$CD$16),"",ReferenceData!$CD$16),"")</f>
        <v/>
      </c>
      <c r="CE16" t="str">
        <f>IFERROR(IF(0=LEN(ReferenceData!$CE$16),"",ReferenceData!$CE$16),"")</f>
        <v/>
      </c>
      <c r="CF16" t="str">
        <f>IFERROR(IF(0=LEN(ReferenceData!$CF$16),"",ReferenceData!$CF$16),"")</f>
        <v/>
      </c>
      <c r="CG16" t="str">
        <f>IFERROR(IF(0=LEN(ReferenceData!$CG$16),"",ReferenceData!$CG$16),"")</f>
        <v/>
      </c>
      <c r="CH16" t="str">
        <f>IFERROR(IF(0=LEN(ReferenceData!$CH$16),"",ReferenceData!$CH$16),"")</f>
        <v/>
      </c>
      <c r="CI16" t="str">
        <f>IFERROR(IF(0=LEN(ReferenceData!$CI$16),"",ReferenceData!$CI$16),"")</f>
        <v/>
      </c>
      <c r="CJ16" t="str">
        <f>IFERROR(IF(0=LEN(ReferenceData!$CJ$16),"",ReferenceData!$CJ$16),"")</f>
        <v/>
      </c>
      <c r="CK16" t="str">
        <f>IFERROR(IF(0=LEN(ReferenceData!$CK$16),"",ReferenceData!$CK$16),"")</f>
        <v/>
      </c>
    </row>
    <row r="17" spans="1:89" x14ac:dyDescent="0.25">
      <c r="A17" t="str">
        <f>IFERROR(IF(0=LEN(ReferenceData!$A$17),"",ReferenceData!$A$17),"")</f>
        <v>Total China Sea Port Container Throughput (000 TEU)</v>
      </c>
      <c r="B17" t="str">
        <f>IFERROR(IF(0=LEN(ReferenceData!$B$17),"",ReferenceData!$B$17),"")</f>
        <v>CNIFSCTT Index</v>
      </c>
      <c r="C17" t="str">
        <f>IFERROR(IF(0=LEN(ReferenceData!$C$17),"",ReferenceData!$C$17),"")</f>
        <v/>
      </c>
      <c r="D17" t="str">
        <f>IFERROR(IF(0=LEN(ReferenceData!$D$17),"",ReferenceData!$D$17),"")</f>
        <v/>
      </c>
      <c r="E17" t="str">
        <f>IFERROR(IF(0=LEN(ReferenceData!$E$17),"",ReferenceData!$E$17),"")</f>
        <v>Expression</v>
      </c>
      <c r="F17" t="str">
        <f ca="1">IFERROR(IF(0=LEN(ReferenceData!$F$17),"",ReferenceData!$F$17),"")</f>
        <v/>
      </c>
      <c r="G17">
        <f ca="1">IFERROR(IF(0=LEN(ReferenceData!$G$17),"",ReferenceData!$G$17),"")</f>
        <v>23650</v>
      </c>
      <c r="H17">
        <f ca="1">IFERROR(IF(0=LEN(ReferenceData!$H$17),"",ReferenceData!$H$17),"")</f>
        <v>23960</v>
      </c>
      <c r="I17">
        <f ca="1">IFERROR(IF(0=LEN(ReferenceData!$I$17),"",ReferenceData!$I$17),"")</f>
        <v>23670</v>
      </c>
      <c r="J17">
        <f ca="1">IFERROR(IF(0=LEN(ReferenceData!$J$17),"",ReferenceData!$J$17),"")</f>
        <v>23700</v>
      </c>
      <c r="K17">
        <f ca="1">IFERROR(IF(0=LEN(ReferenceData!$K$17),"",ReferenceData!$K$17),"")</f>
        <v>23280</v>
      </c>
      <c r="L17">
        <f ca="1">IFERROR(IF(0=LEN(ReferenceData!$L$17),"",ReferenceData!$L$17),"")</f>
        <v>22400</v>
      </c>
      <c r="M17">
        <f ca="1">IFERROR(IF(0=LEN(ReferenceData!$M$17),"",ReferenceData!$M$17),"")</f>
        <v>22430</v>
      </c>
      <c r="N17" t="str">
        <f ca="1">IFERROR(IF(0=LEN(ReferenceData!$N$17),"",ReferenceData!$N$17),"")</f>
        <v/>
      </c>
      <c r="O17" t="str">
        <f ca="1">IFERROR(IF(0=LEN(ReferenceData!$O$17),"",ReferenceData!$O$17),"")</f>
        <v/>
      </c>
      <c r="P17">
        <f ca="1">IFERROR(IF(0=LEN(ReferenceData!$P$17),"",ReferenceData!$P$17),"")</f>
        <v>22260</v>
      </c>
      <c r="Q17">
        <f ca="1">IFERROR(IF(0=LEN(ReferenceData!$Q$17),"",ReferenceData!$Q$17),"")</f>
        <v>22710</v>
      </c>
      <c r="R17">
        <f ca="1">IFERROR(IF(0=LEN(ReferenceData!$R$17),"",ReferenceData!$R$17),"")</f>
        <v>22370</v>
      </c>
      <c r="S17">
        <f ca="1">IFERROR(IF(0=LEN(ReferenceData!$S$17),"",ReferenceData!$S$17),"")</f>
        <v>21920</v>
      </c>
      <c r="T17">
        <f ca="1">IFERROR(IF(0=LEN(ReferenceData!$T$17),"",ReferenceData!$T$17),"")</f>
        <v>22580</v>
      </c>
      <c r="U17">
        <f ca="1">IFERROR(IF(0=LEN(ReferenceData!$U$17),"",ReferenceData!$U$17),"")</f>
        <v>23250</v>
      </c>
      <c r="V17">
        <f ca="1">IFERROR(IF(0=LEN(ReferenceData!$V$17),"",ReferenceData!$V$17),"")</f>
        <v>22710</v>
      </c>
      <c r="W17">
        <f ca="1">IFERROR(IF(0=LEN(ReferenceData!$W$17),"",ReferenceData!$W$17),"")</f>
        <v>22280</v>
      </c>
      <c r="X17">
        <f ca="1">IFERROR(IF(0=LEN(ReferenceData!$X$17),"",ReferenceData!$X$17),"")</f>
        <v>20810</v>
      </c>
      <c r="Y17">
        <f ca="1">IFERROR(IF(0=LEN(ReferenceData!$Y$17),"",ReferenceData!$Y$17),"")</f>
        <v>20980</v>
      </c>
      <c r="Z17">
        <f ca="1">IFERROR(IF(0=LEN(ReferenceData!$Z$17),"",ReferenceData!$Z$17),"")</f>
        <v>17270</v>
      </c>
      <c r="AA17">
        <f ca="1">IFERROR(IF(0=LEN(ReferenceData!$AA$17),"",ReferenceData!$AA$17),"")</f>
        <v>21580</v>
      </c>
      <c r="AB17">
        <f ca="1">IFERROR(IF(0=LEN(ReferenceData!$AB$17),"",ReferenceData!$AB$17),"")</f>
        <v>20190</v>
      </c>
      <c r="AC17">
        <f ca="1">IFERROR(IF(0=LEN(ReferenceData!$AC$17),"",ReferenceData!$AC$17),"")</f>
        <v>21130</v>
      </c>
      <c r="AD17">
        <f ca="1">IFERROR(IF(0=LEN(ReferenceData!$AD$17),"",ReferenceData!$AD$17),"")</f>
        <v>21640</v>
      </c>
      <c r="AE17">
        <f ca="1">IFERROR(IF(0=LEN(ReferenceData!$AE$17),"",ReferenceData!$AE$17),"")</f>
        <v>21450</v>
      </c>
      <c r="AF17">
        <f ca="1">IFERROR(IF(0=LEN(ReferenceData!$AF$17),"",ReferenceData!$AF$17),"")</f>
        <v>21950</v>
      </c>
      <c r="AG17">
        <f ca="1">IFERROR(IF(0=LEN(ReferenceData!$AG$17),"",ReferenceData!$AG$17),"")</f>
        <v>20990</v>
      </c>
      <c r="AH17">
        <f ca="1">IFERROR(IF(0=LEN(ReferenceData!$AH$17),"",ReferenceData!$AH$17),"")</f>
        <v>21360</v>
      </c>
      <c r="AI17">
        <f ca="1">IFERROR(IF(0=LEN(ReferenceData!$AI$17),"",ReferenceData!$AI$17),"")</f>
        <v>21460</v>
      </c>
      <c r="AJ17">
        <f ca="1">IFERROR(IF(0=LEN(ReferenceData!$AJ$17),"",ReferenceData!$AJ$17),"")</f>
        <v>20770</v>
      </c>
      <c r="AK17">
        <f ca="1">IFERROR(IF(0=LEN(ReferenceData!$AK$17),"",ReferenceData!$AK$17),"")</f>
        <v>20650</v>
      </c>
      <c r="AL17">
        <f ca="1">IFERROR(IF(0=LEN(ReferenceData!$AL$17),"",ReferenceData!$AL$17),"")</f>
        <v>16590</v>
      </c>
      <c r="AM17">
        <f ca="1">IFERROR(IF(0=LEN(ReferenceData!$AM$17),"",ReferenceData!$AM$17),"")</f>
        <v>21150</v>
      </c>
      <c r="AN17">
        <f ca="1">IFERROR(IF(0=LEN(ReferenceData!$AN$17),"",ReferenceData!$AN$17),"")</f>
        <v>20110</v>
      </c>
      <c r="AO17">
        <f ca="1">IFERROR(IF(0=LEN(ReferenceData!$AO$17),"",ReferenceData!$AO$17),"")</f>
        <v>21250</v>
      </c>
      <c r="AP17">
        <f ca="1">IFERROR(IF(0=LEN(ReferenceData!$AP$17),"",ReferenceData!$AP$17),"")</f>
        <v>21720</v>
      </c>
      <c r="AQ17">
        <f ca="1">IFERROR(IF(0=LEN(ReferenceData!$AQ$17),"",ReferenceData!$AQ$17),"")</f>
        <v>21590</v>
      </c>
      <c r="AR17">
        <f ca="1">IFERROR(IF(0=LEN(ReferenceData!$AR$17),"",ReferenceData!$AR$17),"")</f>
        <v>21370</v>
      </c>
      <c r="AS17">
        <f ca="1">IFERROR(IF(0=LEN(ReferenceData!$AS$17),"",ReferenceData!$AS$17),"")</f>
        <v>21240</v>
      </c>
      <c r="AT17">
        <f ca="1">IFERROR(IF(0=LEN(ReferenceData!$AT$17),"",ReferenceData!$AT$17),"")</f>
        <v>20090</v>
      </c>
      <c r="AU17">
        <f ca="1">IFERROR(IF(0=LEN(ReferenceData!$AU$17),"",ReferenceData!$AU$17),"")</f>
        <v>19270</v>
      </c>
      <c r="AV17">
        <f ca="1">IFERROR(IF(0=LEN(ReferenceData!$AV$17),"",ReferenceData!$AV$17),"")</f>
        <v>18250</v>
      </c>
      <c r="AW17">
        <f ca="1">IFERROR(IF(0=LEN(ReferenceData!$AW$17),"",ReferenceData!$AW$17),"")</f>
        <v>18160</v>
      </c>
      <c r="AX17">
        <f ca="1">IFERROR(IF(0=LEN(ReferenceData!$AX$17),"",ReferenceData!$AX$17),"")</f>
        <v>12380</v>
      </c>
      <c r="AY17">
        <f ca="1">IFERROR(IF(0=LEN(ReferenceData!$AY$17),"",ReferenceData!$AY$17),"")</f>
        <v>18800</v>
      </c>
      <c r="AZ17">
        <f ca="1">IFERROR(IF(0=LEN(ReferenceData!$AZ$17),"",ReferenceData!$AZ$17),"")</f>
        <v>18830</v>
      </c>
      <c r="BA17">
        <f ca="1">IFERROR(IF(0=LEN(ReferenceData!$BA$17),"",ReferenceData!$BA$17),"")</f>
        <v>19520</v>
      </c>
      <c r="BB17">
        <f ca="1">IFERROR(IF(0=LEN(ReferenceData!$BB$17),"",ReferenceData!$BB$17),"")</f>
        <v>19580</v>
      </c>
      <c r="BC17">
        <f ca="1">IFERROR(IF(0=LEN(ReferenceData!$BC$17),"",ReferenceData!$BC$17),"")</f>
        <v>20210</v>
      </c>
      <c r="BD17">
        <f ca="1">IFERROR(IF(0=LEN(ReferenceData!$BD$17),"",ReferenceData!$BD$17),"")</f>
        <v>20040</v>
      </c>
      <c r="BE17">
        <f ca="1">IFERROR(IF(0=LEN(ReferenceData!$BE$17),"",ReferenceData!$BE$17),"")</f>
        <v>20160</v>
      </c>
      <c r="BF17">
        <f ca="1">IFERROR(IF(0=LEN(ReferenceData!$BF$17),"",ReferenceData!$BF$17),"")</f>
        <v>19710</v>
      </c>
      <c r="BG17">
        <f ca="1">IFERROR(IF(0=LEN(ReferenceData!$BG$17),"",ReferenceData!$BG$17),"")</f>
        <v>19840</v>
      </c>
      <c r="BH17">
        <f ca="1">IFERROR(IF(0=LEN(ReferenceData!$BH$17),"",ReferenceData!$BH$17),"")</f>
        <v>19240</v>
      </c>
      <c r="BI17">
        <f ca="1">IFERROR(IF(0=LEN(ReferenceData!$BI$17),"",ReferenceData!$BI$17),"")</f>
        <v>19100</v>
      </c>
      <c r="BJ17">
        <f ca="1">IFERROR(IF(0=LEN(ReferenceData!$BJ$17),"",ReferenceData!$BJ$17),"")</f>
        <v>14950</v>
      </c>
      <c r="BK17">
        <f ca="1">IFERROR(IF(0=LEN(ReferenceData!$BK$17),"",ReferenceData!$BK$17),"")</f>
        <v>19730</v>
      </c>
      <c r="BL17">
        <f ca="1">IFERROR(IF(0=LEN(ReferenceData!$BL$17),"",ReferenceData!$BL$17),"")</f>
        <v>18093.400000000001</v>
      </c>
      <c r="BM17">
        <f ca="1">IFERROR(IF(0=LEN(ReferenceData!$BM$17),"",ReferenceData!$BM$17),"")</f>
        <v>18819</v>
      </c>
      <c r="BN17">
        <f ca="1">IFERROR(IF(0=LEN(ReferenceData!$BN$17),"",ReferenceData!$BN$17),"")</f>
        <v>18826.5</v>
      </c>
      <c r="BO17">
        <f ca="1">IFERROR(IF(0=LEN(ReferenceData!$BO$17),"",ReferenceData!$BO$17),"")</f>
        <v>19278.599999999999</v>
      </c>
      <c r="BP17">
        <f ca="1">IFERROR(IF(0=LEN(ReferenceData!$BP$17),"",ReferenceData!$BP$17),"")</f>
        <v>19199.900000000001</v>
      </c>
      <c r="BQ17">
        <f ca="1">IFERROR(IF(0=LEN(ReferenceData!$BQ$17),"",ReferenceData!$BQ$17),"")</f>
        <v>18911</v>
      </c>
      <c r="BR17">
        <f ca="1">IFERROR(IF(0=LEN(ReferenceData!$BR$17),"",ReferenceData!$BR$17),"")</f>
        <v>18822.2</v>
      </c>
      <c r="BS17">
        <f ca="1">IFERROR(IF(0=LEN(ReferenceData!$BS$17),"",ReferenceData!$BS$17),"")</f>
        <v>19020.599999999999</v>
      </c>
      <c r="BT17">
        <f ca="1">IFERROR(IF(0=LEN(ReferenceData!$BT$17),"",ReferenceData!$BT$17),"")</f>
        <v>18362.3</v>
      </c>
      <c r="BU17">
        <f ca="1">IFERROR(IF(0=LEN(ReferenceData!$BU$17),"",ReferenceData!$BU$17),"")</f>
        <v>17557.7</v>
      </c>
      <c r="BV17">
        <f ca="1">IFERROR(IF(0=LEN(ReferenceData!$BV$17),"",ReferenceData!$BV$17),"")</f>
        <v>14986.4</v>
      </c>
      <c r="BW17">
        <f ca="1">IFERROR(IF(0=LEN(ReferenceData!$BW$17),"",ReferenceData!$BW$17),"")</f>
        <v>18425.8</v>
      </c>
      <c r="BX17">
        <f ca="1">IFERROR(IF(0=LEN(ReferenceData!$BX$17),"",ReferenceData!$BX$17),"")</f>
        <v>17210.8</v>
      </c>
      <c r="BY17">
        <f ca="1">IFERROR(IF(0=LEN(ReferenceData!$BY$17),"",ReferenceData!$BY$17),"")</f>
        <v>17842.599999999999</v>
      </c>
      <c r="BZ17">
        <f ca="1">IFERROR(IF(0=LEN(ReferenceData!$BZ$17),"",ReferenceData!$BZ$17),"")</f>
        <v>17783.7</v>
      </c>
      <c r="CA17">
        <f ca="1">IFERROR(IF(0=LEN(ReferenceData!$CA$17),"",ReferenceData!$CA$17),"")</f>
        <v>18313.900000000001</v>
      </c>
      <c r="CB17">
        <f ca="1">IFERROR(IF(0=LEN(ReferenceData!$CB$17),"",ReferenceData!$CB$17),"")</f>
        <v>18285.400000000001</v>
      </c>
      <c r="CC17">
        <f ca="1">IFERROR(IF(0=LEN(ReferenceData!$CC$17),"",ReferenceData!$CC$17),"")</f>
        <v>18442.400000000001</v>
      </c>
      <c r="CD17">
        <f ca="1">IFERROR(IF(0=LEN(ReferenceData!$CD$17),"",ReferenceData!$CD$17),"")</f>
        <v>17880.8</v>
      </c>
      <c r="CE17">
        <f ca="1">IFERROR(IF(0=LEN(ReferenceData!$CE$17),"",ReferenceData!$CE$17),"")</f>
        <v>18100.3</v>
      </c>
      <c r="CF17">
        <f ca="1">IFERROR(IF(0=LEN(ReferenceData!$CF$17),"",ReferenceData!$CF$17),"")</f>
        <v>17354.2</v>
      </c>
      <c r="CG17">
        <f ca="1">IFERROR(IF(0=LEN(ReferenceData!$CG$17),"",ReferenceData!$CG$17),"")</f>
        <v>17249.5</v>
      </c>
      <c r="CH17">
        <f ca="1">IFERROR(IF(0=LEN(ReferenceData!$CH$17),"",ReferenceData!$CH$17),"")</f>
        <v>13679.8</v>
      </c>
      <c r="CI17">
        <f ca="1">IFERROR(IF(0=LEN(ReferenceData!$CI$17),"",ReferenceData!$CI$17),"")</f>
        <v>16780.599999999999</v>
      </c>
      <c r="CJ17">
        <f ca="1">IFERROR(IF(0=LEN(ReferenceData!$CJ$17),"",ReferenceData!$CJ$17),"")</f>
        <v>16740</v>
      </c>
      <c r="CK17">
        <f ca="1">IFERROR(IF(0=LEN(ReferenceData!$CK$17),"",ReferenceData!$CK$17),"")</f>
        <v>16672.099999999999</v>
      </c>
    </row>
    <row r="18" spans="1:89" x14ac:dyDescent="0.25">
      <c r="A18" t="str">
        <f>IFERROR(IF(0=LEN(ReferenceData!$A$18),"",ReferenceData!$A$18),"")</f>
        <v>Shanghai Sea Port Container Throughput (000 TEU)</v>
      </c>
      <c r="B18" t="str">
        <f>IFERROR(IF(0=LEN(ReferenceData!$B$18),"",ReferenceData!$B$18),"")</f>
        <v>CNIFSCSH Index</v>
      </c>
      <c r="C18" t="str">
        <f>IFERROR(IF(0=LEN(ReferenceData!$C$18),"",ReferenceData!$C$18),"")</f>
        <v/>
      </c>
      <c r="D18" t="str">
        <f>IFERROR(IF(0=LEN(ReferenceData!$D$18),"",ReferenceData!$D$18),"")</f>
        <v/>
      </c>
      <c r="E18" t="str">
        <f>IFERROR(IF(0=LEN(ReferenceData!$E$18),"",ReferenceData!$E$18),"")</f>
        <v>Expression</v>
      </c>
      <c r="F18" t="str">
        <f ca="1">IFERROR(IF(0=LEN(ReferenceData!$F$18),"",ReferenceData!$F$18),"")</f>
        <v/>
      </c>
      <c r="G18" t="str">
        <f ca="1">IFERROR(IF(0=LEN(ReferenceData!$G$18),"",ReferenceData!$G$18),"")</f>
        <v/>
      </c>
      <c r="H18">
        <f ca="1">IFERROR(IF(0=LEN(ReferenceData!$H$18),"",ReferenceData!$H$18),"")</f>
        <v>4200</v>
      </c>
      <c r="I18">
        <f ca="1">IFERROR(IF(0=LEN(ReferenceData!$I$18),"",ReferenceData!$I$18),"")</f>
        <v>4200</v>
      </c>
      <c r="J18">
        <f ca="1">IFERROR(IF(0=LEN(ReferenceData!$J$18),"",ReferenceData!$J$18),"")</f>
        <v>4150</v>
      </c>
      <c r="K18">
        <f ca="1">IFERROR(IF(0=LEN(ReferenceData!$K$18),"",ReferenceData!$K$18),"")</f>
        <v>4100</v>
      </c>
      <c r="L18">
        <f ca="1">IFERROR(IF(0=LEN(ReferenceData!$L$18),"",ReferenceData!$L$18),"")</f>
        <v>4010</v>
      </c>
      <c r="M18">
        <f ca="1">IFERROR(IF(0=LEN(ReferenceData!$M$18),"",ReferenceData!$M$18),"")</f>
        <v>4020</v>
      </c>
      <c r="N18" t="str">
        <f ca="1">IFERROR(IF(0=LEN(ReferenceData!$N$18),"",ReferenceData!$N$18),"")</f>
        <v/>
      </c>
      <c r="O18" t="str">
        <f ca="1">IFERROR(IF(0=LEN(ReferenceData!$O$18),"",ReferenceData!$O$18),"")</f>
        <v/>
      </c>
      <c r="P18">
        <f ca="1">IFERROR(IF(0=LEN(ReferenceData!$P$18),"",ReferenceData!$P$18),"")</f>
        <v>4110</v>
      </c>
      <c r="Q18">
        <f ca="1">IFERROR(IF(0=LEN(ReferenceData!$Q$18),"",ReferenceData!$Q$18),"")</f>
        <v>4110</v>
      </c>
      <c r="R18">
        <f ca="1">IFERROR(IF(0=LEN(ReferenceData!$R$18),"",ReferenceData!$R$18),"")</f>
        <v>4190</v>
      </c>
      <c r="S18">
        <f ca="1">IFERROR(IF(0=LEN(ReferenceData!$S$18),"",ReferenceData!$S$18),"")</f>
        <v>3870</v>
      </c>
      <c r="T18">
        <f ca="1">IFERROR(IF(0=LEN(ReferenceData!$T$18),"",ReferenceData!$T$18),"")</f>
        <v>4170</v>
      </c>
      <c r="U18">
        <f ca="1">IFERROR(IF(0=LEN(ReferenceData!$U$18),"",ReferenceData!$U$18),"")</f>
        <v>4300</v>
      </c>
      <c r="V18">
        <f ca="1">IFERROR(IF(0=LEN(ReferenceData!$V$18),"",ReferenceData!$V$18),"")</f>
        <v>3790</v>
      </c>
      <c r="W18">
        <f ca="1">IFERROR(IF(0=LEN(ReferenceData!$W$18),"",ReferenceData!$W$18),"")</f>
        <v>3400</v>
      </c>
      <c r="X18">
        <f ca="1">IFERROR(IF(0=LEN(ReferenceData!$X$18),"",ReferenceData!$X$18),"")</f>
        <v>3080</v>
      </c>
      <c r="Y18">
        <f ca="1">IFERROR(IF(0=LEN(ReferenceData!$Y$18),"",ReferenceData!$Y$18),"")</f>
        <v>4100</v>
      </c>
      <c r="Z18">
        <f ca="1">IFERROR(IF(0=LEN(ReferenceData!$Z$18),"",ReferenceData!$Z$18),"")</f>
        <v>3810</v>
      </c>
      <c r="AA18">
        <f ca="1">IFERROR(IF(0=LEN(ReferenceData!$AA$18),"",ReferenceData!$AA$18),"")</f>
        <v>4350</v>
      </c>
      <c r="AB18">
        <f ca="1">IFERROR(IF(0=LEN(ReferenceData!$AB$18),"",ReferenceData!$AB$18),"")</f>
        <v>3980</v>
      </c>
      <c r="AC18">
        <f ca="1">IFERROR(IF(0=LEN(ReferenceData!$AC$18),"",ReferenceData!$AC$18),"")</f>
        <v>4060</v>
      </c>
      <c r="AD18">
        <f ca="1">IFERROR(IF(0=LEN(ReferenceData!$AD$18),"",ReferenceData!$AD$18),"")</f>
        <v>4190</v>
      </c>
      <c r="AE18">
        <f ca="1">IFERROR(IF(0=LEN(ReferenceData!$AE$18),"",ReferenceData!$AE$18),"")</f>
        <v>3830</v>
      </c>
      <c r="AF18">
        <f ca="1">IFERROR(IF(0=LEN(ReferenceData!$AF$18),"",ReferenceData!$AF$18),"")</f>
        <v>4320</v>
      </c>
      <c r="AG18">
        <f ca="1">IFERROR(IF(0=LEN(ReferenceData!$AG$18),"",ReferenceData!$AG$18),"")</f>
        <v>3700</v>
      </c>
      <c r="AH18">
        <f ca="1">IFERROR(IF(0=LEN(ReferenceData!$AH$18),"",ReferenceData!$AH$18),"")</f>
        <v>4090</v>
      </c>
      <c r="AI18">
        <f ca="1">IFERROR(IF(0=LEN(ReferenceData!$AI$18),"",ReferenceData!$AI$18),"")</f>
        <v>3790</v>
      </c>
      <c r="AJ18">
        <f ca="1">IFERROR(IF(0=LEN(ReferenceData!$AJ$18),"",ReferenceData!$AJ$18),"")</f>
        <v>3720</v>
      </c>
      <c r="AK18">
        <f ca="1">IFERROR(IF(0=LEN(ReferenceData!$AK$18),"",ReferenceData!$AK$18),"")</f>
        <v>3900</v>
      </c>
      <c r="AL18">
        <f ca="1">IFERROR(IF(0=LEN(ReferenceData!$AL$18),"",ReferenceData!$AL$18),"")</f>
        <v>3410</v>
      </c>
      <c r="AM18">
        <f ca="1">IFERROR(IF(0=LEN(ReferenceData!$AM$18),"",ReferenceData!$AM$18),"")</f>
        <v>4040</v>
      </c>
      <c r="AN18">
        <f ca="1">IFERROR(IF(0=LEN(ReferenceData!$AN$18),"",ReferenceData!$AN$18),"")</f>
        <v>3640</v>
      </c>
      <c r="AO18">
        <f ca="1">IFERROR(IF(0=LEN(ReferenceData!$AO$18),"",ReferenceData!$AO$18),"")</f>
        <v>4010</v>
      </c>
      <c r="AP18">
        <f ca="1">IFERROR(IF(0=LEN(ReferenceData!$AP$18),"",ReferenceData!$AP$18),"")</f>
        <v>4200</v>
      </c>
      <c r="AQ18">
        <f ca="1">IFERROR(IF(0=LEN(ReferenceData!$AQ$18),"",ReferenceData!$AQ$18),"")</f>
        <v>3850</v>
      </c>
      <c r="AR18">
        <f ca="1">IFERROR(IF(0=LEN(ReferenceData!$AR$18),"",ReferenceData!$AR$18),"")</f>
        <v>3840</v>
      </c>
      <c r="AS18">
        <f ca="1">IFERROR(IF(0=LEN(ReferenceData!$AS$18),"",ReferenceData!$AS$18),"")</f>
        <v>3900</v>
      </c>
      <c r="AT18">
        <f ca="1">IFERROR(IF(0=LEN(ReferenceData!$AT$18),"",ReferenceData!$AT$18),"")</f>
        <v>3600</v>
      </c>
      <c r="AU18">
        <f ca="1">IFERROR(IF(0=LEN(ReferenceData!$AU$18),"",ReferenceData!$AU$18),"")</f>
        <v>3620</v>
      </c>
      <c r="AV18">
        <f ca="1">IFERROR(IF(0=LEN(ReferenceData!$AV$18),"",ReferenceData!$AV$18),"")</f>
        <v>3510</v>
      </c>
      <c r="AW18">
        <f ca="1">IFERROR(IF(0=LEN(ReferenceData!$AW$18),"",ReferenceData!$AW$18),"")</f>
        <v>3430</v>
      </c>
      <c r="AX18">
        <f ca="1">IFERROR(IF(0=LEN(ReferenceData!$AX$18),"",ReferenceData!$AX$18),"")</f>
        <v>2300</v>
      </c>
      <c r="AY18">
        <f ca="1">IFERROR(IF(0=LEN(ReferenceData!$AY$18),"",ReferenceData!$AY$18),"")</f>
        <v>3600</v>
      </c>
      <c r="AZ18">
        <f ca="1">IFERROR(IF(0=LEN(ReferenceData!$AZ$18),"",ReferenceData!$AZ$18),"")</f>
        <v>3270</v>
      </c>
      <c r="BA18">
        <f ca="1">IFERROR(IF(0=LEN(ReferenceData!$BA$18),"",ReferenceData!$BA$18),"")</f>
        <v>3550</v>
      </c>
      <c r="BB18">
        <f ca="1">IFERROR(IF(0=LEN(ReferenceData!$BB$18),"",ReferenceData!$BB$18),"")</f>
        <v>3630</v>
      </c>
      <c r="BC18">
        <f ca="1">IFERROR(IF(0=LEN(ReferenceData!$BC$18),"",ReferenceData!$BC$18),"")</f>
        <v>3710</v>
      </c>
      <c r="BD18">
        <f ca="1">IFERROR(IF(0=LEN(ReferenceData!$BD$18),"",ReferenceData!$BD$18),"")</f>
        <v>3760</v>
      </c>
      <c r="BE18">
        <f ca="1">IFERROR(IF(0=LEN(ReferenceData!$BE$18),"",ReferenceData!$BE$18),"")</f>
        <v>3850</v>
      </c>
      <c r="BF18">
        <f ca="1">IFERROR(IF(0=LEN(ReferenceData!$BF$18),"",ReferenceData!$BF$18),"")</f>
        <v>3760</v>
      </c>
      <c r="BG18">
        <f ca="1">IFERROR(IF(0=LEN(ReferenceData!$BG$18),"",ReferenceData!$BG$18),"")</f>
        <v>3760</v>
      </c>
      <c r="BH18">
        <f ca="1">IFERROR(IF(0=LEN(ReferenceData!$BH$18),"",ReferenceData!$BH$18),"")</f>
        <v>3610</v>
      </c>
      <c r="BI18">
        <f ca="1">IFERROR(IF(0=LEN(ReferenceData!$BI$18),"",ReferenceData!$BI$18),"")</f>
        <v>3810</v>
      </c>
      <c r="BJ18">
        <f ca="1">IFERROR(IF(0=LEN(ReferenceData!$BJ$18),"",ReferenceData!$BJ$18),"")</f>
        <v>2860</v>
      </c>
      <c r="BK18">
        <f ca="1">IFERROR(IF(0=LEN(ReferenceData!$BK$18),"",ReferenceData!$BK$18),"")</f>
        <v>3750</v>
      </c>
      <c r="BL18">
        <f ca="1">IFERROR(IF(0=LEN(ReferenceData!$BL$18),"",ReferenceData!$BL$18),"")</f>
        <v>3580.3</v>
      </c>
      <c r="BM18">
        <f ca="1">IFERROR(IF(0=LEN(ReferenceData!$BM$18),"",ReferenceData!$BM$18),"")</f>
        <v>3500</v>
      </c>
      <c r="BN18">
        <f ca="1">IFERROR(IF(0=LEN(ReferenceData!$BN$18),"",ReferenceData!$BN$18),"")</f>
        <v>3530</v>
      </c>
      <c r="BO18">
        <f ca="1">IFERROR(IF(0=LEN(ReferenceData!$BO$18),"",ReferenceData!$BO$18),"")</f>
        <v>3810</v>
      </c>
      <c r="BP18">
        <f ca="1">IFERROR(IF(0=LEN(ReferenceData!$BP$18),"",ReferenceData!$BP$18),"")</f>
        <v>3470</v>
      </c>
      <c r="BQ18">
        <f ca="1">IFERROR(IF(0=LEN(ReferenceData!$BQ$18),"",ReferenceData!$BQ$18),"")</f>
        <v>3550</v>
      </c>
      <c r="BR18">
        <f ca="1">IFERROR(IF(0=LEN(ReferenceData!$BR$18),"",ReferenceData!$BR$18),"")</f>
        <v>3600</v>
      </c>
      <c r="BS18">
        <f ca="1">IFERROR(IF(0=LEN(ReferenceData!$BS$18),"",ReferenceData!$BS$18),"")</f>
        <v>3620</v>
      </c>
      <c r="BT18">
        <f ca="1">IFERROR(IF(0=LEN(ReferenceData!$BT$18),"",ReferenceData!$BT$18),"")</f>
        <v>3520</v>
      </c>
      <c r="BU18">
        <f ca="1">IFERROR(IF(0=LEN(ReferenceData!$BU$18),"",ReferenceData!$BU$18),"")</f>
        <v>3380</v>
      </c>
      <c r="BV18">
        <f ca="1">IFERROR(IF(0=LEN(ReferenceData!$BV$18),"",ReferenceData!$BV$18),"")</f>
        <v>2930</v>
      </c>
      <c r="BW18">
        <f ca="1">IFERROR(IF(0=LEN(ReferenceData!$BW$18),"",ReferenceData!$BW$18),"")</f>
        <v>3390</v>
      </c>
      <c r="BX18">
        <f ca="1">IFERROR(IF(0=LEN(ReferenceData!$BX$18),"",ReferenceData!$BX$18),"")</f>
        <v>3355.3</v>
      </c>
      <c r="BY18">
        <f ca="1">IFERROR(IF(0=LEN(ReferenceData!$BY$18),"",ReferenceData!$BY$18),"")</f>
        <v>3550</v>
      </c>
      <c r="BZ18">
        <f ca="1">IFERROR(IF(0=LEN(ReferenceData!$BZ$18),"",ReferenceData!$BZ$18),"")</f>
        <v>3400</v>
      </c>
      <c r="CA18">
        <f ca="1">IFERROR(IF(0=LEN(ReferenceData!$CA$18),"",ReferenceData!$CA$18),"")</f>
        <v>3380</v>
      </c>
      <c r="CB18">
        <f ca="1">IFERROR(IF(0=LEN(ReferenceData!$CB$18),"",ReferenceData!$CB$18),"")</f>
        <v>3450</v>
      </c>
      <c r="CC18">
        <f ca="1">IFERROR(IF(0=LEN(ReferenceData!$CC$18),"",ReferenceData!$CC$18),"")</f>
        <v>3500</v>
      </c>
      <c r="CD18">
        <f ca="1">IFERROR(IF(0=LEN(ReferenceData!$CD$18),"",ReferenceData!$CD$18),"")</f>
        <v>3400</v>
      </c>
      <c r="CE18">
        <f ca="1">IFERROR(IF(0=LEN(ReferenceData!$CE$18),"",ReferenceData!$CE$18),"")</f>
        <v>3500</v>
      </c>
      <c r="CF18">
        <f ca="1">IFERROR(IF(0=LEN(ReferenceData!$CF$18),"",ReferenceData!$CF$18),"")</f>
        <v>3230</v>
      </c>
      <c r="CG18">
        <f ca="1">IFERROR(IF(0=LEN(ReferenceData!$CG$18),"",ReferenceData!$CG$18),"")</f>
        <v>3400</v>
      </c>
      <c r="CH18">
        <f ca="1">IFERROR(IF(0=LEN(ReferenceData!$CH$18),"",ReferenceData!$CH$18),"")</f>
        <v>2620</v>
      </c>
      <c r="CI18">
        <f ca="1">IFERROR(IF(0=LEN(ReferenceData!$CI$18),"",ReferenceData!$CI$18),"")</f>
        <v>3280</v>
      </c>
      <c r="CJ18">
        <f ca="1">IFERROR(IF(0=LEN(ReferenceData!$CJ$18),"",ReferenceData!$CJ$18),"")</f>
        <v>3140</v>
      </c>
      <c r="CK18">
        <f ca="1">IFERROR(IF(0=LEN(ReferenceData!$CK$18),"",ReferenceData!$CK$18),"")</f>
        <v>3200</v>
      </c>
    </row>
    <row r="19" spans="1:89" x14ac:dyDescent="0.25">
      <c r="A19" t="str">
        <f>IFERROR(IF(0=LEN(ReferenceData!$A$19),"",ReferenceData!$A$19),"")</f>
        <v>Shenzhen Sea Port Container Throughput (000 TEU)</v>
      </c>
      <c r="B19" t="str">
        <f>IFERROR(IF(0=LEN(ReferenceData!$B$19),"",ReferenceData!$B$19),"")</f>
        <v>CNIFSCSZ Index</v>
      </c>
      <c r="C19" t="str">
        <f>IFERROR(IF(0=LEN(ReferenceData!$C$19),"",ReferenceData!$C$19),"")</f>
        <v/>
      </c>
      <c r="D19" t="str">
        <f>IFERROR(IF(0=LEN(ReferenceData!$D$19),"",ReferenceData!$D$19),"")</f>
        <v/>
      </c>
      <c r="E19" t="str">
        <f>IFERROR(IF(0=LEN(ReferenceData!$E$19),"",ReferenceData!$E$19),"")</f>
        <v>Expression</v>
      </c>
      <c r="F19" t="str">
        <f ca="1">IFERROR(IF(0=LEN(ReferenceData!$F$19),"",ReferenceData!$F$19),"")</f>
        <v/>
      </c>
      <c r="G19" t="str">
        <f ca="1">IFERROR(IF(0=LEN(ReferenceData!$G$19),"",ReferenceData!$G$19),"")</f>
        <v/>
      </c>
      <c r="H19">
        <f ca="1">IFERROR(IF(0=LEN(ReferenceData!$H$19),"",ReferenceData!$H$19),"")</f>
        <v>2750</v>
      </c>
      <c r="I19">
        <f ca="1">IFERROR(IF(0=LEN(ReferenceData!$I$19),"",ReferenceData!$I$19),"")</f>
        <v>2820</v>
      </c>
      <c r="J19">
        <f ca="1">IFERROR(IF(0=LEN(ReferenceData!$J$19),"",ReferenceData!$J$19),"")</f>
        <v>2620</v>
      </c>
      <c r="K19">
        <f ca="1">IFERROR(IF(0=LEN(ReferenceData!$K$19),"",ReferenceData!$K$19),"")</f>
        <v>2480</v>
      </c>
      <c r="L19">
        <f ca="1">IFERROR(IF(0=LEN(ReferenceData!$L$19),"",ReferenceData!$L$19),"")</f>
        <v>2260</v>
      </c>
      <c r="M19">
        <f ca="1">IFERROR(IF(0=LEN(ReferenceData!$M$19),"",ReferenceData!$M$19),"")</f>
        <v>2260</v>
      </c>
      <c r="N19" t="str">
        <f ca="1">IFERROR(IF(0=LEN(ReferenceData!$N$19),"",ReferenceData!$N$19),"")</f>
        <v/>
      </c>
      <c r="O19" t="str">
        <f ca="1">IFERROR(IF(0=LEN(ReferenceData!$O$19),"",ReferenceData!$O$19),"")</f>
        <v/>
      </c>
      <c r="P19">
        <f ca="1">IFERROR(IF(0=LEN(ReferenceData!$P$19),"",ReferenceData!$P$19),"")</f>
        <v>3200</v>
      </c>
      <c r="Q19">
        <f ca="1">IFERROR(IF(0=LEN(ReferenceData!$Q$19),"",ReferenceData!$Q$19),"")</f>
        <v>2660</v>
      </c>
      <c r="R19">
        <f ca="1">IFERROR(IF(0=LEN(ReferenceData!$R$19),"",ReferenceData!$R$19),"")</f>
        <v>2240</v>
      </c>
      <c r="S19">
        <f ca="1">IFERROR(IF(0=LEN(ReferenceData!$S$19),"",ReferenceData!$S$19),"")</f>
        <v>2430</v>
      </c>
      <c r="T19">
        <f ca="1">IFERROR(IF(0=LEN(ReferenceData!$T$19),"",ReferenceData!$T$19),"")</f>
        <v>2490</v>
      </c>
      <c r="U19">
        <f ca="1">IFERROR(IF(0=LEN(ReferenceData!$U$19),"",ReferenceData!$U$19),"")</f>
        <v>2620</v>
      </c>
      <c r="V19">
        <f ca="1">IFERROR(IF(0=LEN(ReferenceData!$V$19),"",ReferenceData!$V$19),"")</f>
        <v>2620</v>
      </c>
      <c r="W19">
        <f ca="1">IFERROR(IF(0=LEN(ReferenceData!$W$19),"",ReferenceData!$W$19),"")</f>
        <v>2680</v>
      </c>
      <c r="X19">
        <f ca="1">IFERROR(IF(0=LEN(ReferenceData!$X$19),"",ReferenceData!$X$19),"")</f>
        <v>2610</v>
      </c>
      <c r="Y19">
        <f ca="1">IFERROR(IF(0=LEN(ReferenceData!$Y$19),"",ReferenceData!$Y$19),"")</f>
        <v>2210</v>
      </c>
      <c r="Z19">
        <f ca="1">IFERROR(IF(0=LEN(ReferenceData!$Z$19),"",ReferenceData!$Z$19),"")</f>
        <v>1820</v>
      </c>
      <c r="AA19">
        <f ca="1">IFERROR(IF(0=LEN(ReferenceData!$AA$19),"",ReferenceData!$AA$19),"")</f>
        <v>2460</v>
      </c>
      <c r="AB19">
        <f ca="1">IFERROR(IF(0=LEN(ReferenceData!$AB$19),"",ReferenceData!$AB$19),"")</f>
        <v>2530</v>
      </c>
      <c r="AC19">
        <f ca="1">IFERROR(IF(0=LEN(ReferenceData!$AC$19),"",ReferenceData!$AC$19),"")</f>
        <v>2450</v>
      </c>
      <c r="AD19">
        <f ca="1">IFERROR(IF(0=LEN(ReferenceData!$AD$19),"",ReferenceData!$AD$19),"")</f>
        <v>2370</v>
      </c>
      <c r="AE19">
        <f ca="1">IFERROR(IF(0=LEN(ReferenceData!$AE$19),"",ReferenceData!$AE$19),"")</f>
        <v>2720</v>
      </c>
      <c r="AF19">
        <f ca="1">IFERROR(IF(0=LEN(ReferenceData!$AF$19),"",ReferenceData!$AF$19),"")</f>
        <v>2540</v>
      </c>
      <c r="AG19">
        <f ca="1">IFERROR(IF(0=LEN(ReferenceData!$AG$19),"",ReferenceData!$AG$19),"")</f>
        <v>2380</v>
      </c>
      <c r="AH19">
        <f ca="1">IFERROR(IF(0=LEN(ReferenceData!$AH$19),"",ReferenceData!$AH$19),"")</f>
        <v>1850</v>
      </c>
      <c r="AI19">
        <f ca="1">IFERROR(IF(0=LEN(ReferenceData!$AI$19),"",ReferenceData!$AI$19),"")</f>
        <v>2340</v>
      </c>
      <c r="AJ19">
        <f ca="1">IFERROR(IF(0=LEN(ReferenceData!$AJ$19),"",ReferenceData!$AJ$19),"")</f>
        <v>2360</v>
      </c>
      <c r="AK19">
        <f ca="1">IFERROR(IF(0=LEN(ReferenceData!$AK$19),"",ReferenceData!$AK$19),"")</f>
        <v>2410</v>
      </c>
      <c r="AL19">
        <f ca="1">IFERROR(IF(0=LEN(ReferenceData!$AL$19),"",ReferenceData!$AL$19),"")</f>
        <v>2100</v>
      </c>
      <c r="AM19">
        <f ca="1">IFERROR(IF(0=LEN(ReferenceData!$AM$19),"",ReferenceData!$AM$19),"")</f>
        <v>2710</v>
      </c>
      <c r="AN19">
        <f ca="1">IFERROR(IF(0=LEN(ReferenceData!$AN$19),"",ReferenceData!$AN$19),"")</f>
        <v>2570</v>
      </c>
      <c r="AO19">
        <f ca="1">IFERROR(IF(0=LEN(ReferenceData!$AO$19),"",ReferenceData!$AO$19),"")</f>
        <v>2480</v>
      </c>
      <c r="AP19">
        <f ca="1">IFERROR(IF(0=LEN(ReferenceData!$AP$19),"",ReferenceData!$AP$19),"")</f>
        <v>2580</v>
      </c>
      <c r="AQ19">
        <f ca="1">IFERROR(IF(0=LEN(ReferenceData!$AQ$19),"",ReferenceData!$AQ$19),"")</f>
        <v>2820</v>
      </c>
      <c r="AR19">
        <f ca="1">IFERROR(IF(0=LEN(ReferenceData!$AR$19),"",ReferenceData!$AR$19),"")</f>
        <v>2620</v>
      </c>
      <c r="AS19">
        <f ca="1">IFERROR(IF(0=LEN(ReferenceData!$AS$19),"",ReferenceData!$AS$19),"")</f>
        <v>2400</v>
      </c>
      <c r="AT19">
        <f ca="1">IFERROR(IF(0=LEN(ReferenceData!$AT$19),"",ReferenceData!$AT$19),"")</f>
        <v>2210</v>
      </c>
      <c r="AU19">
        <f ca="1">IFERROR(IF(0=LEN(ReferenceData!$AU$19),"",ReferenceData!$AU$19),"")</f>
        <v>1810</v>
      </c>
      <c r="AV19">
        <f ca="1">IFERROR(IF(0=LEN(ReferenceData!$AV$19),"",ReferenceData!$AV$19),"")</f>
        <v>1710</v>
      </c>
      <c r="AW19">
        <f ca="1">IFERROR(IF(0=LEN(ReferenceData!$AW$19),"",ReferenceData!$AW$19),"")</f>
        <v>1840</v>
      </c>
      <c r="AX19">
        <f ca="1">IFERROR(IF(0=LEN(ReferenceData!$AX$19),"",ReferenceData!$AX$19),"")</f>
        <v>1210</v>
      </c>
      <c r="AY19">
        <f ca="1">IFERROR(IF(0=LEN(ReferenceData!$AY$19),"",ReferenceData!$AY$19),"")</f>
        <v>2290</v>
      </c>
      <c r="AZ19">
        <f ca="1">IFERROR(IF(0=LEN(ReferenceData!$AZ$19),"",ReferenceData!$AZ$19),"")</f>
        <v>2180</v>
      </c>
      <c r="BA19">
        <f ca="1">IFERROR(IF(0=LEN(ReferenceData!$BA$19),"",ReferenceData!$BA$19),"")</f>
        <v>2150</v>
      </c>
      <c r="BB19">
        <f ca="1">IFERROR(IF(0=LEN(ReferenceData!$BB$19),"",ReferenceData!$BB$19),"")</f>
        <v>2120</v>
      </c>
      <c r="BC19">
        <f ca="1">IFERROR(IF(0=LEN(ReferenceData!$BC$19),"",ReferenceData!$BC$19),"")</f>
        <v>2300</v>
      </c>
      <c r="BD19">
        <f ca="1">IFERROR(IF(0=LEN(ReferenceData!$BD$19),"",ReferenceData!$BD$19),"")</f>
        <v>2340</v>
      </c>
      <c r="BE19">
        <f ca="1">IFERROR(IF(0=LEN(ReferenceData!$BE$19),"",ReferenceData!$BE$19),"")</f>
        <v>2270</v>
      </c>
      <c r="BF19">
        <f ca="1">IFERROR(IF(0=LEN(ReferenceData!$BF$19),"",ReferenceData!$BF$19),"")</f>
        <v>2180</v>
      </c>
      <c r="BG19">
        <f ca="1">IFERROR(IF(0=LEN(ReferenceData!$BG$19),"",ReferenceData!$BG$19),"")</f>
        <v>2090</v>
      </c>
      <c r="BH19">
        <f ca="1">IFERROR(IF(0=LEN(ReferenceData!$BH$19),"",ReferenceData!$BH$19),"")</f>
        <v>2080</v>
      </c>
      <c r="BI19">
        <f ca="1">IFERROR(IF(0=LEN(ReferenceData!$BI$19),"",ReferenceData!$BI$19),"")</f>
        <v>2050</v>
      </c>
      <c r="BJ19">
        <f ca="1">IFERROR(IF(0=LEN(ReferenceData!$BJ$19),"",ReferenceData!$BJ$19),"")</f>
        <v>1600</v>
      </c>
      <c r="BK19">
        <f ca="1">IFERROR(IF(0=LEN(ReferenceData!$BK$19),"",ReferenceData!$BK$19),"")</f>
        <v>2410</v>
      </c>
      <c r="BL19">
        <f ca="1">IFERROR(IF(0=LEN(ReferenceData!$BL$19),"",ReferenceData!$BL$19),"")</f>
        <v>2108.8000000000002</v>
      </c>
      <c r="BM19">
        <f ca="1">IFERROR(IF(0=LEN(ReferenceData!$BM$19),"",ReferenceData!$BM$19),"")</f>
        <v>2304.4</v>
      </c>
      <c r="BN19">
        <f ca="1">IFERROR(IF(0=LEN(ReferenceData!$BN$19),"",ReferenceData!$BN$19),"")</f>
        <v>2188.1</v>
      </c>
      <c r="BO19">
        <f ca="1">IFERROR(IF(0=LEN(ReferenceData!$BO$19),"",ReferenceData!$BO$19),"")</f>
        <v>2287.1999999999998</v>
      </c>
      <c r="BP19">
        <f ca="1">IFERROR(IF(0=LEN(ReferenceData!$BP$19),"",ReferenceData!$BP$19),"")</f>
        <v>2338.4</v>
      </c>
      <c r="BQ19">
        <f ca="1">IFERROR(IF(0=LEN(ReferenceData!$BQ$19),"",ReferenceData!$BQ$19),"")</f>
        <v>2276.6</v>
      </c>
      <c r="BR19">
        <f ca="1">IFERROR(IF(0=LEN(ReferenceData!$BR$19),"",ReferenceData!$BR$19),"")</f>
        <v>2078.4</v>
      </c>
      <c r="BS19">
        <f ca="1">IFERROR(IF(0=LEN(ReferenceData!$BS$19),"",ReferenceData!$BS$19),"")</f>
        <v>2086.3000000000002</v>
      </c>
      <c r="BT19">
        <f ca="1">IFERROR(IF(0=LEN(ReferenceData!$BT$19),"",ReferenceData!$BT$19),"")</f>
        <v>1954.8</v>
      </c>
      <c r="BU19">
        <f ca="1">IFERROR(IF(0=LEN(ReferenceData!$BU$19),"",ReferenceData!$BU$19),"")</f>
        <v>1792.5</v>
      </c>
      <c r="BV19">
        <f ca="1">IFERROR(IF(0=LEN(ReferenceData!$BV$19),"",ReferenceData!$BV$19),"")</f>
        <v>1880.4</v>
      </c>
      <c r="BW19">
        <f ca="1">IFERROR(IF(0=LEN(ReferenceData!$BW$19),"",ReferenceData!$BW$19),"")</f>
        <v>2358</v>
      </c>
      <c r="BX19">
        <f ca="1">IFERROR(IF(0=LEN(ReferenceData!$BX$19),"",ReferenceData!$BX$19),"")</f>
        <v>2045.1</v>
      </c>
      <c r="BY19">
        <f ca="1">IFERROR(IF(0=LEN(ReferenceData!$BY$19),"",ReferenceData!$BY$19),"")</f>
        <v>2102.8000000000002</v>
      </c>
      <c r="BZ19">
        <f ca="1">IFERROR(IF(0=LEN(ReferenceData!$BZ$19),"",ReferenceData!$BZ$19),"")</f>
        <v>2145.6999999999998</v>
      </c>
      <c r="CA19">
        <f ca="1">IFERROR(IF(0=LEN(ReferenceData!$CA$19),"",ReferenceData!$CA$19),"")</f>
        <v>2456.9</v>
      </c>
      <c r="CB19">
        <f ca="1">IFERROR(IF(0=LEN(ReferenceData!$CB$19),"",ReferenceData!$CB$19),"")</f>
        <v>2284.8000000000002</v>
      </c>
      <c r="CC19">
        <f ca="1">IFERROR(IF(0=LEN(ReferenceData!$CC$19),"",ReferenceData!$CC$19),"")</f>
        <v>2347.6999999999998</v>
      </c>
      <c r="CD19">
        <f ca="1">IFERROR(IF(0=LEN(ReferenceData!$CD$19),"",ReferenceData!$CD$19),"")</f>
        <v>2088.9</v>
      </c>
      <c r="CE19">
        <f ca="1">IFERROR(IF(0=LEN(ReferenceData!$CE$19),"",ReferenceData!$CE$19),"")</f>
        <v>2155.3000000000002</v>
      </c>
      <c r="CF19">
        <f ca="1">IFERROR(IF(0=LEN(ReferenceData!$CF$19),"",ReferenceData!$CF$19),"")</f>
        <v>2016</v>
      </c>
      <c r="CG19">
        <f ca="1">IFERROR(IF(0=LEN(ReferenceData!$CG$19),"",ReferenceData!$CG$19),"")</f>
        <v>1924.1</v>
      </c>
      <c r="CH19">
        <f ca="1">IFERROR(IF(0=LEN(ReferenceData!$CH$19),"",ReferenceData!$CH$19),"")</f>
        <v>1359.9</v>
      </c>
      <c r="CI19">
        <f ca="1">IFERROR(IF(0=LEN(ReferenceData!$CI$19),"",ReferenceData!$CI$19),"")</f>
        <v>2163.9</v>
      </c>
      <c r="CJ19">
        <f ca="1">IFERROR(IF(0=LEN(ReferenceData!$CJ$19),"",ReferenceData!$CJ$19),"")</f>
        <v>2080</v>
      </c>
      <c r="CK19">
        <f ca="1">IFERROR(IF(0=LEN(ReferenceData!$CK$19),"",ReferenceData!$CK$19),"")</f>
        <v>2088.1</v>
      </c>
    </row>
    <row r="20" spans="1:89" x14ac:dyDescent="0.25">
      <c r="A20" t="str">
        <f>IFERROR(IF(0=LEN(ReferenceData!$A$20),"",ReferenceData!$A$20),"")</f>
        <v>Ningbo-Zhoushan Sea Port Container Throughput (000 TEU)</v>
      </c>
      <c r="B20" t="str">
        <f>IFERROR(IF(0=LEN(ReferenceData!$B$20),"",ReferenceData!$B$20),"")</f>
        <v>CNIFSCNZ Index</v>
      </c>
      <c r="C20" t="str">
        <f>IFERROR(IF(0=LEN(ReferenceData!$C$20),"",ReferenceData!$C$20),"")</f>
        <v/>
      </c>
      <c r="D20" t="str">
        <f>IFERROR(IF(0=LEN(ReferenceData!$D$20),"",ReferenceData!$D$20),"")</f>
        <v/>
      </c>
      <c r="E20" t="str">
        <f>IFERROR(IF(0=LEN(ReferenceData!$E$20),"",ReferenceData!$E$20),"")</f>
        <v>Expression</v>
      </c>
      <c r="F20" t="str">
        <f ca="1">IFERROR(IF(0=LEN(ReferenceData!$F$20),"",ReferenceData!$F$20),"")</f>
        <v/>
      </c>
      <c r="G20" t="str">
        <f ca="1">IFERROR(IF(0=LEN(ReferenceData!$G$20),"",ReferenceData!$G$20),"")</f>
        <v/>
      </c>
      <c r="H20">
        <f ca="1">IFERROR(IF(0=LEN(ReferenceData!$H$20),"",ReferenceData!$H$20),"")</f>
        <v>3190</v>
      </c>
      <c r="I20">
        <f ca="1">IFERROR(IF(0=LEN(ReferenceData!$I$20),"",ReferenceData!$I$20),"")</f>
        <v>3180</v>
      </c>
      <c r="J20">
        <f ca="1">IFERROR(IF(0=LEN(ReferenceData!$J$20),"",ReferenceData!$J$20),"")</f>
        <v>3220</v>
      </c>
      <c r="K20">
        <f ca="1">IFERROR(IF(0=LEN(ReferenceData!$K$20),"",ReferenceData!$K$20),"")</f>
        <v>3150</v>
      </c>
      <c r="L20">
        <f ca="1">IFERROR(IF(0=LEN(ReferenceData!$L$20),"",ReferenceData!$L$20),"")</f>
        <v>3130</v>
      </c>
      <c r="M20">
        <f ca="1">IFERROR(IF(0=LEN(ReferenceData!$M$20),"",ReferenceData!$M$20),"")</f>
        <v>2880</v>
      </c>
      <c r="N20" t="str">
        <f ca="1">IFERROR(IF(0=LEN(ReferenceData!$N$20),"",ReferenceData!$N$20),"")</f>
        <v/>
      </c>
      <c r="O20" t="str">
        <f ca="1">IFERROR(IF(0=LEN(ReferenceData!$O$20),"",ReferenceData!$O$20),"")</f>
        <v/>
      </c>
      <c r="P20">
        <f ca="1">IFERROR(IF(0=LEN(ReferenceData!$P$20),"",ReferenceData!$P$20),"")</f>
        <v>2090</v>
      </c>
      <c r="Q20">
        <f ca="1">IFERROR(IF(0=LEN(ReferenceData!$Q$20),"",ReferenceData!$Q$20),"")</f>
        <v>2370</v>
      </c>
      <c r="R20">
        <f ca="1">IFERROR(IF(0=LEN(ReferenceData!$R$20),"",ReferenceData!$R$20),"")</f>
        <v>2570</v>
      </c>
      <c r="S20">
        <f ca="1">IFERROR(IF(0=LEN(ReferenceData!$S$20),"",ReferenceData!$S$20),"")</f>
        <v>2630</v>
      </c>
      <c r="T20">
        <f ca="1">IFERROR(IF(0=LEN(ReferenceData!$T$20),"",ReferenceData!$T$20),"")</f>
        <v>2940</v>
      </c>
      <c r="U20">
        <f ca="1">IFERROR(IF(0=LEN(ReferenceData!$U$20),"",ReferenceData!$U$20),"")</f>
        <v>3280</v>
      </c>
      <c r="V20">
        <f ca="1">IFERROR(IF(0=LEN(ReferenceData!$V$20),"",ReferenceData!$V$20),"")</f>
        <v>3160</v>
      </c>
      <c r="W20">
        <f ca="1">IFERROR(IF(0=LEN(ReferenceData!$W$20),"",ReferenceData!$W$20),"")</f>
        <v>3370</v>
      </c>
      <c r="X20">
        <f ca="1">IFERROR(IF(0=LEN(ReferenceData!$X$20),"",ReferenceData!$X$20),"")</f>
        <v>3030</v>
      </c>
      <c r="Y20">
        <f ca="1">IFERROR(IF(0=LEN(ReferenceData!$Y$20),"",ReferenceData!$Y$20),"")</f>
        <v>2660</v>
      </c>
      <c r="Z20">
        <f ca="1">IFERROR(IF(0=LEN(ReferenceData!$Z$20),"",ReferenceData!$Z$20),"")</f>
        <v>2290</v>
      </c>
      <c r="AA20">
        <f ca="1">IFERROR(IF(0=LEN(ReferenceData!$AA$20),"",ReferenceData!$AA$20),"")</f>
        <v>2970</v>
      </c>
      <c r="AB20">
        <f ca="1">IFERROR(IF(0=LEN(ReferenceData!$AB$20),"",ReferenceData!$AB$20),"")</f>
        <v>2090</v>
      </c>
      <c r="AC20">
        <f ca="1">IFERROR(IF(0=LEN(ReferenceData!$AC$20),"",ReferenceData!$AC$20),"")</f>
        <v>2270</v>
      </c>
      <c r="AD20">
        <f ca="1">IFERROR(IF(0=LEN(ReferenceData!$AD$20),"",ReferenceData!$AD$20),"")</f>
        <v>2750</v>
      </c>
      <c r="AE20">
        <f ca="1">IFERROR(IF(0=LEN(ReferenceData!$AE$20),"",ReferenceData!$AE$20),"")</f>
        <v>2610</v>
      </c>
      <c r="AF20">
        <f ca="1">IFERROR(IF(0=LEN(ReferenceData!$AF$20),"",ReferenceData!$AF$20),"")</f>
        <v>2680</v>
      </c>
      <c r="AG20">
        <f ca="1">IFERROR(IF(0=LEN(ReferenceData!$AG$20),"",ReferenceData!$AG$20),"")</f>
        <v>2610</v>
      </c>
      <c r="AH20">
        <f ca="1">IFERROR(IF(0=LEN(ReferenceData!$AH$20),"",ReferenceData!$AH$20),"")</f>
        <v>2830</v>
      </c>
      <c r="AI20">
        <f ca="1">IFERROR(IF(0=LEN(ReferenceData!$AI$20),"",ReferenceData!$AI$20),"")</f>
        <v>2840</v>
      </c>
      <c r="AJ20">
        <f ca="1">IFERROR(IF(0=LEN(ReferenceData!$AJ$20),"",ReferenceData!$AJ$20),"")</f>
        <v>2710</v>
      </c>
      <c r="AK20">
        <f ca="1">IFERROR(IF(0=LEN(ReferenceData!$AK$20),"",ReferenceData!$AK$20),"")</f>
        <v>2490</v>
      </c>
      <c r="AL20">
        <f ca="1">IFERROR(IF(0=LEN(ReferenceData!$AL$20),"",ReferenceData!$AL$20),"")</f>
        <v>2310</v>
      </c>
      <c r="AM20">
        <f ca="1">IFERROR(IF(0=LEN(ReferenceData!$AM$20),"",ReferenceData!$AM$20),"")</f>
        <v>2890</v>
      </c>
      <c r="AN20">
        <f ca="1">IFERROR(IF(0=LEN(ReferenceData!$AN$20),"",ReferenceData!$AN$20),"")</f>
        <v>2240</v>
      </c>
      <c r="AO20">
        <f ca="1">IFERROR(IF(0=LEN(ReferenceData!$AO$20),"",ReferenceData!$AO$20),"")</f>
        <v>2420</v>
      </c>
      <c r="AP20">
        <f ca="1">IFERROR(IF(0=LEN(ReferenceData!$AP$20),"",ReferenceData!$AP$20),"")</f>
        <v>2710</v>
      </c>
      <c r="AQ20">
        <f ca="1">IFERROR(IF(0=LEN(ReferenceData!$AQ$20),"",ReferenceData!$AQ$20),"")</f>
        <v>2730</v>
      </c>
      <c r="AR20">
        <f ca="1">IFERROR(IF(0=LEN(ReferenceData!$AR$20),"",ReferenceData!$AR$20),"")</f>
        <v>2670</v>
      </c>
      <c r="AS20">
        <f ca="1">IFERROR(IF(0=LEN(ReferenceData!$AS$20),"",ReferenceData!$AS$20),"")</f>
        <v>2710</v>
      </c>
      <c r="AT20">
        <f ca="1">IFERROR(IF(0=LEN(ReferenceData!$AT$20),"",ReferenceData!$AT$20),"")</f>
        <v>2530</v>
      </c>
      <c r="AU20">
        <f ca="1">IFERROR(IF(0=LEN(ReferenceData!$AU$20),"",ReferenceData!$AU$20),"")</f>
        <v>2430</v>
      </c>
      <c r="AV20">
        <f ca="1">IFERROR(IF(0=LEN(ReferenceData!$AV$20),"",ReferenceData!$AV$20),"")</f>
        <v>2140</v>
      </c>
      <c r="AW20">
        <f ca="1">IFERROR(IF(0=LEN(ReferenceData!$AW$20),"",ReferenceData!$AW$20),"")</f>
        <v>2090</v>
      </c>
      <c r="AX20">
        <f ca="1">IFERROR(IF(0=LEN(ReferenceData!$AX$20),"",ReferenceData!$AX$20),"")</f>
        <v>1540</v>
      </c>
      <c r="AY20">
        <f ca="1">IFERROR(IF(0=LEN(ReferenceData!$AY$20),"",ReferenceData!$AY$20),"")</f>
        <v>2520</v>
      </c>
      <c r="AZ20">
        <f ca="1">IFERROR(IF(0=LEN(ReferenceData!$AZ$20),"",ReferenceData!$AZ$20),"")</f>
        <v>1940</v>
      </c>
      <c r="BA20">
        <f ca="1">IFERROR(IF(0=LEN(ReferenceData!$BA$20),"",ReferenceData!$BA$20),"")</f>
        <v>2100</v>
      </c>
      <c r="BB20">
        <f ca="1">IFERROR(IF(0=LEN(ReferenceData!$BB$20),"",ReferenceData!$BB$20),"")</f>
        <v>2230</v>
      </c>
      <c r="BC20">
        <f ca="1">IFERROR(IF(0=LEN(ReferenceData!$BC$20),"",ReferenceData!$BC$20),"")</f>
        <v>2400</v>
      </c>
      <c r="BD20">
        <f ca="1">IFERROR(IF(0=LEN(ReferenceData!$BD$20),"",ReferenceData!$BD$20),"")</f>
        <v>2440</v>
      </c>
      <c r="BE20">
        <f ca="1">IFERROR(IF(0=LEN(ReferenceData!$BE$20),"",ReferenceData!$BE$20),"")</f>
        <v>2510</v>
      </c>
      <c r="BF20">
        <f ca="1">IFERROR(IF(0=LEN(ReferenceData!$BF$20),"",ReferenceData!$BF$20),"")</f>
        <v>2420</v>
      </c>
      <c r="BG20">
        <f ca="1">IFERROR(IF(0=LEN(ReferenceData!$BG$20),"",ReferenceData!$BG$20),"")</f>
        <v>2550</v>
      </c>
      <c r="BH20">
        <f ca="1">IFERROR(IF(0=LEN(ReferenceData!$BH$20),"",ReferenceData!$BH$20),"")</f>
        <v>2250</v>
      </c>
      <c r="BI20">
        <f ca="1">IFERROR(IF(0=LEN(ReferenceData!$BI$20),"",ReferenceData!$BI$20),"")</f>
        <v>2150</v>
      </c>
      <c r="BJ20">
        <f ca="1">IFERROR(IF(0=LEN(ReferenceData!$BJ$20),"",ReferenceData!$BJ$20),"")</f>
        <v>1950</v>
      </c>
      <c r="BK20">
        <f ca="1">IFERROR(IF(0=LEN(ReferenceData!$BK$20),"",ReferenceData!$BK$20),"")</f>
        <v>2600</v>
      </c>
      <c r="BL20">
        <f ca="1">IFERROR(IF(0=LEN(ReferenceData!$BL$20),"",ReferenceData!$BL$20),"")</f>
        <v>1880.1</v>
      </c>
      <c r="BM20">
        <f ca="1">IFERROR(IF(0=LEN(ReferenceData!$BM$20),"",ReferenceData!$BM$20),"")</f>
        <v>2104</v>
      </c>
      <c r="BN20">
        <f ca="1">IFERROR(IF(0=LEN(ReferenceData!$BN$20),"",ReferenceData!$BN$20),"")</f>
        <v>2136.3000000000002</v>
      </c>
      <c r="BO20">
        <f ca="1">IFERROR(IF(0=LEN(ReferenceData!$BO$20),"",ReferenceData!$BO$20),"")</f>
        <v>2362</v>
      </c>
      <c r="BP20">
        <f ca="1">IFERROR(IF(0=LEN(ReferenceData!$BP$20),"",ReferenceData!$BP$20),"")</f>
        <v>2276.9</v>
      </c>
      <c r="BQ20">
        <f ca="1">IFERROR(IF(0=LEN(ReferenceData!$BQ$20),"",ReferenceData!$BQ$20),"")</f>
        <v>2151.9</v>
      </c>
      <c r="BR20">
        <f ca="1">IFERROR(IF(0=LEN(ReferenceData!$BR$20),"",ReferenceData!$BR$20),"")</f>
        <v>2271.8000000000002</v>
      </c>
      <c r="BS20">
        <f ca="1">IFERROR(IF(0=LEN(ReferenceData!$BS$20),"",ReferenceData!$BS$20),"")</f>
        <v>2391.8000000000002</v>
      </c>
      <c r="BT20">
        <f ca="1">IFERROR(IF(0=LEN(ReferenceData!$BT$20),"",ReferenceData!$BT$20),"")</f>
        <v>2217.8000000000002</v>
      </c>
      <c r="BU20">
        <f ca="1">IFERROR(IF(0=LEN(ReferenceData!$BU$20),"",ReferenceData!$BU$20),"")</f>
        <v>2091.4</v>
      </c>
      <c r="BV20">
        <f ca="1">IFERROR(IF(0=LEN(ReferenceData!$BV$20),"",ReferenceData!$BV$20),"")</f>
        <v>2041.5</v>
      </c>
      <c r="BW20">
        <f ca="1">IFERROR(IF(0=LEN(ReferenceData!$BW$20),"",ReferenceData!$BW$20),"")</f>
        <v>2361.9</v>
      </c>
      <c r="BX20">
        <f ca="1">IFERROR(IF(0=LEN(ReferenceData!$BX$20),"",ReferenceData!$BX$20),"")</f>
        <v>1833.1</v>
      </c>
      <c r="BY20">
        <f ca="1">IFERROR(IF(0=LEN(ReferenceData!$BY$20),"",ReferenceData!$BY$20),"")</f>
        <v>2027</v>
      </c>
      <c r="BZ20">
        <f ca="1">IFERROR(IF(0=LEN(ReferenceData!$BZ$20),"",ReferenceData!$BZ$20),"")</f>
        <v>1996.9</v>
      </c>
      <c r="CA20">
        <f ca="1">IFERROR(IF(0=LEN(ReferenceData!$CA$20),"",ReferenceData!$CA$20),"")</f>
        <v>1996.4</v>
      </c>
      <c r="CB20">
        <f ca="1">IFERROR(IF(0=LEN(ReferenceData!$CB$20),"",ReferenceData!$CB$20),"")</f>
        <v>2161.4</v>
      </c>
      <c r="CC20">
        <f ca="1">IFERROR(IF(0=LEN(ReferenceData!$CC$20),"",ReferenceData!$CC$20),"")</f>
        <v>2184.6</v>
      </c>
      <c r="CD20">
        <f ca="1">IFERROR(IF(0=LEN(ReferenceData!$CD$20),"",ReferenceData!$CD$20),"")</f>
        <v>2135.6999999999998</v>
      </c>
      <c r="CE20">
        <f ca="1">IFERROR(IF(0=LEN(ReferenceData!$CE$20),"",ReferenceData!$CE$20),"")</f>
        <v>2272.5</v>
      </c>
      <c r="CF20">
        <f ca="1">IFERROR(IF(0=LEN(ReferenceData!$CF$20),"",ReferenceData!$CF$20),"")</f>
        <v>2018.7</v>
      </c>
      <c r="CG20">
        <f ca="1">IFERROR(IF(0=LEN(ReferenceData!$CG$20),"",ReferenceData!$CG$20),"")</f>
        <v>2002.4</v>
      </c>
      <c r="CH20">
        <f ca="1">IFERROR(IF(0=LEN(ReferenceData!$CH$20),"",ReferenceData!$CH$20),"")</f>
        <v>1756</v>
      </c>
      <c r="CI20">
        <f ca="1">IFERROR(IF(0=LEN(ReferenceData!$CI$20),"",ReferenceData!$CI$20),"")</f>
        <v>2139.8000000000002</v>
      </c>
      <c r="CJ20">
        <f ca="1">IFERROR(IF(0=LEN(ReferenceData!$CJ$20),"",ReferenceData!$CJ$20),"")</f>
        <v>1680</v>
      </c>
      <c r="CK20">
        <f ca="1">IFERROR(IF(0=LEN(ReferenceData!$CK$20),"",ReferenceData!$CK$20),"")</f>
        <v>1711.7</v>
      </c>
    </row>
    <row r="21" spans="1:89" x14ac:dyDescent="0.25">
      <c r="A21" t="str">
        <f>IFERROR(IF(0=LEN(ReferenceData!$A$21),"",ReferenceData!$A$21),"")</f>
        <v>South Korea Port Container Throughput (000 TEU)</v>
      </c>
      <c r="B21" t="str">
        <f>IFERROR(IF(0=LEN(ReferenceData!$B$21),"",ReferenceData!$B$21),"")</f>
        <v>SKTSTOTL Index</v>
      </c>
      <c r="C21" t="str">
        <f>IFERROR(IF(0=LEN(ReferenceData!$C$21),"",ReferenceData!$C$21),"")</f>
        <v>PR005</v>
      </c>
      <c r="D21" t="str">
        <f>IFERROR(IF(0=LEN(ReferenceData!$D$21),"",ReferenceData!$D$21),"")</f>
        <v>PX_LAST</v>
      </c>
      <c r="E21" t="str">
        <f>IFERROR(IF(0=LEN(ReferenceData!$E$21),"",ReferenceData!$E$21),"")</f>
        <v>Dynamic</v>
      </c>
      <c r="F21" t="str">
        <f ca="1">IFERROR(IF(0=LEN(ReferenceData!$F$21),"",ReferenceData!$F$21),"")</f>
        <v/>
      </c>
      <c r="G21" t="str">
        <f ca="1">IFERROR(IF(0=LEN(ReferenceData!$G$21),"",ReferenceData!$G$21),"")</f>
        <v/>
      </c>
      <c r="H21" t="str">
        <f ca="1">IFERROR(IF(0=LEN(ReferenceData!$H$21),"",ReferenceData!$H$21),"")</f>
        <v/>
      </c>
      <c r="I21" t="str">
        <f ca="1">IFERROR(IF(0=LEN(ReferenceData!$I$21),"",ReferenceData!$I$21),"")</f>
        <v/>
      </c>
      <c r="J21" t="str">
        <f ca="1">IFERROR(IF(0=LEN(ReferenceData!$J$21),"",ReferenceData!$J$21),"")</f>
        <v/>
      </c>
      <c r="K21" t="str">
        <f ca="1">IFERROR(IF(0=LEN(ReferenceData!$K$21),"",ReferenceData!$K$21),"")</f>
        <v/>
      </c>
      <c r="L21" t="str">
        <f ca="1">IFERROR(IF(0=LEN(ReferenceData!$L$21),"",ReferenceData!$L$21),"")</f>
        <v/>
      </c>
      <c r="M21" t="str">
        <f ca="1">IFERROR(IF(0=LEN(ReferenceData!$M$21),"",ReferenceData!$M$21),"")</f>
        <v/>
      </c>
      <c r="N21" t="str">
        <f ca="1">IFERROR(IF(0=LEN(ReferenceData!$N$21),"",ReferenceData!$N$21),"")</f>
        <v/>
      </c>
      <c r="O21" t="str">
        <f ca="1">IFERROR(IF(0=LEN(ReferenceData!$O$21),"",ReferenceData!$O$21),"")</f>
        <v/>
      </c>
      <c r="P21" t="str">
        <f ca="1">IFERROR(IF(0=LEN(ReferenceData!$P$21),"",ReferenceData!$P$21),"")</f>
        <v/>
      </c>
      <c r="Q21" t="str">
        <f ca="1">IFERROR(IF(0=LEN(ReferenceData!$Q$21),"",ReferenceData!$Q$21),"")</f>
        <v/>
      </c>
      <c r="R21" t="str">
        <f ca="1">IFERROR(IF(0=LEN(ReferenceData!$R$21),"",ReferenceData!$R$21),"")</f>
        <v/>
      </c>
      <c r="S21" t="str">
        <f ca="1">IFERROR(IF(0=LEN(ReferenceData!$S$21),"",ReferenceData!$S$21),"")</f>
        <v/>
      </c>
      <c r="T21" t="str">
        <f ca="1">IFERROR(IF(0=LEN(ReferenceData!$T$21),"",ReferenceData!$T$21),"")</f>
        <v/>
      </c>
      <c r="U21" t="str">
        <f ca="1">IFERROR(IF(0=LEN(ReferenceData!$U$21),"",ReferenceData!$U$21),"")</f>
        <v/>
      </c>
      <c r="V21" t="str">
        <f ca="1">IFERROR(IF(0=LEN(ReferenceData!$V$21),"",ReferenceData!$V$21),"")</f>
        <v/>
      </c>
      <c r="W21" t="str">
        <f ca="1">IFERROR(IF(0=LEN(ReferenceData!$W$21),"",ReferenceData!$W$21),"")</f>
        <v/>
      </c>
      <c r="X21" t="str">
        <f ca="1">IFERROR(IF(0=LEN(ReferenceData!$X$21),"",ReferenceData!$X$21),"")</f>
        <v/>
      </c>
      <c r="Y21" t="str">
        <f ca="1">IFERROR(IF(0=LEN(ReferenceData!$Y$21),"",ReferenceData!$Y$21),"")</f>
        <v/>
      </c>
      <c r="Z21" t="str">
        <f ca="1">IFERROR(IF(0=LEN(ReferenceData!$Z$21),"",ReferenceData!$Z$21),"")</f>
        <v/>
      </c>
      <c r="AA21" t="str">
        <f ca="1">IFERROR(IF(0=LEN(ReferenceData!$AA$21),"",ReferenceData!$AA$21),"")</f>
        <v/>
      </c>
      <c r="AB21" t="str">
        <f ca="1">IFERROR(IF(0=LEN(ReferenceData!$AB$21),"",ReferenceData!$AB$21),"")</f>
        <v/>
      </c>
      <c r="AC21" t="str">
        <f ca="1">IFERROR(IF(0=LEN(ReferenceData!$AC$21),"",ReferenceData!$AC$21),"")</f>
        <v/>
      </c>
      <c r="AD21" t="str">
        <f ca="1">IFERROR(IF(0=LEN(ReferenceData!$AD$21),"",ReferenceData!$AD$21),"")</f>
        <v/>
      </c>
      <c r="AE21" t="str">
        <f ca="1">IFERROR(IF(0=LEN(ReferenceData!$AE$21),"",ReferenceData!$AE$21),"")</f>
        <v/>
      </c>
      <c r="AF21" t="str">
        <f ca="1">IFERROR(IF(0=LEN(ReferenceData!$AF$21),"",ReferenceData!$AF$21),"")</f>
        <v/>
      </c>
      <c r="AG21" t="str">
        <f ca="1">IFERROR(IF(0=LEN(ReferenceData!$AG$21),"",ReferenceData!$AG$21),"")</f>
        <v/>
      </c>
      <c r="AH21" t="str">
        <f ca="1">IFERROR(IF(0=LEN(ReferenceData!$AH$21),"",ReferenceData!$AH$21),"")</f>
        <v/>
      </c>
      <c r="AI21" t="str">
        <f ca="1">IFERROR(IF(0=LEN(ReferenceData!$AI$21),"",ReferenceData!$AI$21),"")</f>
        <v/>
      </c>
      <c r="AJ21" t="str">
        <f ca="1">IFERROR(IF(0=LEN(ReferenceData!$AJ$21),"",ReferenceData!$AJ$21),"")</f>
        <v/>
      </c>
      <c r="AK21" t="str">
        <f ca="1">IFERROR(IF(0=LEN(ReferenceData!$AK$21),"",ReferenceData!$AK$21),"")</f>
        <v/>
      </c>
      <c r="AL21" t="str">
        <f ca="1">IFERROR(IF(0=LEN(ReferenceData!$AL$21),"",ReferenceData!$AL$21),"")</f>
        <v/>
      </c>
      <c r="AM21" t="str">
        <f ca="1">IFERROR(IF(0=LEN(ReferenceData!$AM$21),"",ReferenceData!$AM$21),"")</f>
        <v/>
      </c>
      <c r="AN21" t="str">
        <f ca="1">IFERROR(IF(0=LEN(ReferenceData!$AN$21),"",ReferenceData!$AN$21),"")</f>
        <v/>
      </c>
      <c r="AO21">
        <f ca="1">IFERROR(IF(0=LEN(ReferenceData!$AO$21),"",ReferenceData!$AO$21),"")</f>
        <v>1923.9984999999999</v>
      </c>
      <c r="AP21">
        <f ca="1">IFERROR(IF(0=LEN(ReferenceData!$AP$21),"",ReferenceData!$AP$21),"")</f>
        <v>1876.3969999999999</v>
      </c>
      <c r="AQ21">
        <f ca="1">IFERROR(IF(0=LEN(ReferenceData!$AQ$21),"",ReferenceData!$AQ$21),"")</f>
        <v>1699.9235000000001</v>
      </c>
      <c r="AR21">
        <f ca="1">IFERROR(IF(0=LEN(ReferenceData!$AR$21),"",ReferenceData!$AR$21),"")</f>
        <v>1728.78925</v>
      </c>
      <c r="AS21">
        <f ca="1">IFERROR(IF(0=LEN(ReferenceData!$AS$21),"",ReferenceData!$AS$21),"")</f>
        <v>1751.31</v>
      </c>
      <c r="AT21">
        <f ca="1">IFERROR(IF(0=LEN(ReferenceData!$AT$21),"",ReferenceData!$AT$21),"")</f>
        <v>1746.5137500000001</v>
      </c>
      <c r="AU21">
        <f ca="1">IFERROR(IF(0=LEN(ReferenceData!$AU$21),"",ReferenceData!$AU$21),"")</f>
        <v>1697.2547500000001</v>
      </c>
      <c r="AV21">
        <f ca="1">IFERROR(IF(0=LEN(ReferenceData!$AV$21),"",ReferenceData!$AV$21),"")</f>
        <v>1817.8072500000001</v>
      </c>
      <c r="AW21">
        <f ca="1">IFERROR(IF(0=LEN(ReferenceData!$AW$21),"",ReferenceData!$AW$21),"")</f>
        <v>1886.8412499999999</v>
      </c>
      <c r="AX21">
        <f ca="1">IFERROR(IF(0=LEN(ReferenceData!$AX$21),"",ReferenceData!$AX$21),"")</f>
        <v>1726.7272499999999</v>
      </c>
      <c r="AY21">
        <f ca="1">IFERROR(IF(0=LEN(ReferenceData!$AY$21),"",ReferenceData!$AY$21),"")</f>
        <v>1791.039</v>
      </c>
      <c r="AZ21">
        <f ca="1">IFERROR(IF(0=LEN(ReferenceData!$AZ$21),"",ReferenceData!$AZ$21),"")</f>
        <v>1853.5767499999999</v>
      </c>
      <c r="BA21">
        <f ca="1">IFERROR(IF(0=LEN(ReferenceData!$BA$21),"",ReferenceData!$BA$21),"")</f>
        <v>1814.23325</v>
      </c>
      <c r="BB21">
        <f ca="1">IFERROR(IF(0=LEN(ReferenceData!$BB$21),"",ReferenceData!$BB$21),"")</f>
        <v>1865.0535</v>
      </c>
      <c r="BC21">
        <f ca="1">IFERROR(IF(0=LEN(ReferenceData!$BC$21),"",ReferenceData!$BC$21),"")</f>
        <v>1678.1695</v>
      </c>
      <c r="BD21">
        <f ca="1">IFERROR(IF(0=LEN(ReferenceData!$BD$21),"",ReferenceData!$BD$21),"")</f>
        <v>1809.78475</v>
      </c>
      <c r="BE21">
        <f ca="1">IFERROR(IF(0=LEN(ReferenceData!$BE$21),"",ReferenceData!$BE$21),"")</f>
        <v>1881.8632500000001</v>
      </c>
      <c r="BF21">
        <f ca="1">IFERROR(IF(0=LEN(ReferenceData!$BF$21),"",ReferenceData!$BF$21),"")</f>
        <v>1812.2045000000001</v>
      </c>
      <c r="BG21">
        <f ca="1">IFERROR(IF(0=LEN(ReferenceData!$BG$21),"",ReferenceData!$BG$21),"")</f>
        <v>1869.49325</v>
      </c>
      <c r="BH21">
        <f ca="1">IFERROR(IF(0=LEN(ReferenceData!$BH$21),"",ReferenceData!$BH$21),"")</f>
        <v>1836.44625</v>
      </c>
      <c r="BI21">
        <f ca="1">IFERROR(IF(0=LEN(ReferenceData!$BI$21),"",ReferenceData!$BI$21),"")</f>
        <v>1869.1547499999999</v>
      </c>
      <c r="BJ21">
        <f ca="1">IFERROR(IF(0=LEN(ReferenceData!$BJ$21),"",ReferenceData!$BJ$21),"")</f>
        <v>1656.82925</v>
      </c>
      <c r="BK21">
        <f ca="1">IFERROR(IF(0=LEN(ReferenceData!$BK$21),"",ReferenceData!$BK$21),"")</f>
        <v>1793.0775000000001</v>
      </c>
      <c r="BL21">
        <f ca="1">IFERROR(IF(0=LEN(ReferenceData!$BL$21),"",ReferenceData!$BL$21),"")</f>
        <v>1814.44175</v>
      </c>
      <c r="BM21">
        <f ca="1">IFERROR(IF(0=LEN(ReferenceData!$BM$21),"",ReferenceData!$BM$21),"")</f>
        <v>1901.0039999999999</v>
      </c>
      <c r="BN21">
        <f ca="1">IFERROR(IF(0=LEN(ReferenceData!$BN$21),"",ReferenceData!$BN$21),"")</f>
        <v>1796.02575</v>
      </c>
      <c r="BO21">
        <f ca="1">IFERROR(IF(0=LEN(ReferenceData!$BO$21),"",ReferenceData!$BO$21),"")</f>
        <v>1827.6087500000001</v>
      </c>
      <c r="BP21">
        <f ca="1">IFERROR(IF(0=LEN(ReferenceData!$BP$21),"",ReferenceData!$BP$21),"")</f>
        <v>1756.9955</v>
      </c>
      <c r="BQ21">
        <f ca="1">IFERROR(IF(0=LEN(ReferenceData!$BQ$21),"",ReferenceData!$BQ$21),"")</f>
        <v>1833.47</v>
      </c>
      <c r="BR21">
        <f ca="1">IFERROR(IF(0=LEN(ReferenceData!$BR$21),"",ReferenceData!$BR$21),"")</f>
        <v>1822.1457499999999</v>
      </c>
      <c r="BS21">
        <f ca="1">IFERROR(IF(0=LEN(ReferenceData!$BS$21),"",ReferenceData!$BS$21),"")</f>
        <v>1880.7294999999999</v>
      </c>
      <c r="BT21">
        <f ca="1">IFERROR(IF(0=LEN(ReferenceData!$BT$21),"",ReferenceData!$BT$21),"")</f>
        <v>1784.7697499999999</v>
      </c>
      <c r="BU21">
        <f ca="1">IFERROR(IF(0=LEN(ReferenceData!$BU$21),"",ReferenceData!$BU$21),"")</f>
        <v>1752.6857500000001</v>
      </c>
      <c r="BV21">
        <f ca="1">IFERROR(IF(0=LEN(ReferenceData!$BV$21),"",ReferenceData!$BV$21),"")</f>
        <v>1657.51775</v>
      </c>
      <c r="BW21">
        <f ca="1">IFERROR(IF(0=LEN(ReferenceData!$BW$21),"",ReferenceData!$BW$21),"")</f>
        <v>1686.6947500000001</v>
      </c>
      <c r="BX21">
        <f ca="1">IFERROR(IF(0=LEN(ReferenceData!$BX$21),"",ReferenceData!$BX$21),"")</f>
        <v>1743.8834999999999</v>
      </c>
      <c r="BY21">
        <f ca="1">IFERROR(IF(0=LEN(ReferenceData!$BY$21),"",ReferenceData!$BY$21),"")</f>
        <v>1714.9092499999999</v>
      </c>
      <c r="BZ21">
        <f ca="1">IFERROR(IF(0=LEN(ReferenceData!$BZ$21),"",ReferenceData!$BZ$21),"")</f>
        <v>1667.3530000000001</v>
      </c>
      <c r="CA21">
        <f ca="1">IFERROR(IF(0=LEN(ReferenceData!$CA$21),"",ReferenceData!$CA$21),"")</f>
        <v>1671.329</v>
      </c>
      <c r="CB21">
        <f ca="1">IFERROR(IF(0=LEN(ReferenceData!$CB$21),"",ReferenceData!$CB$21),"")</f>
        <v>1702.03775</v>
      </c>
      <c r="CC21">
        <f ca="1">IFERROR(IF(0=LEN(ReferenceData!$CC$21),"",ReferenceData!$CC$21),"")</f>
        <v>1752.0675000000001</v>
      </c>
      <c r="CD21">
        <f ca="1">IFERROR(IF(0=LEN(ReferenceData!$CD$21),"",ReferenceData!$CD$21),"")</f>
        <v>1661.7835</v>
      </c>
      <c r="CE21">
        <f ca="1">IFERROR(IF(0=LEN(ReferenceData!$CE$21),"",ReferenceData!$CE$21),"")</f>
        <v>1786.5754999999999</v>
      </c>
      <c r="CF21">
        <f ca="1">IFERROR(IF(0=LEN(ReferenceData!$CF$21),"",ReferenceData!$CF$21),"")</f>
        <v>1766.5709999999999</v>
      </c>
      <c r="CG21">
        <f ca="1">IFERROR(IF(0=LEN(ReferenceData!$CG$21),"",ReferenceData!$CG$21),"")</f>
        <v>1741.5335</v>
      </c>
      <c r="CH21">
        <f ca="1">IFERROR(IF(0=LEN(ReferenceData!$CH$21),"",ReferenceData!$CH$21),"")</f>
        <v>1503.7159999999999</v>
      </c>
      <c r="CI21">
        <f ca="1">IFERROR(IF(0=LEN(ReferenceData!$CI$21),"",ReferenceData!$CI$21),"")</f>
        <v>1645.8530000000001</v>
      </c>
      <c r="CJ21">
        <f ca="1">IFERROR(IF(0=LEN(ReferenceData!$CJ$21),"",ReferenceData!$CJ$21),"")</f>
        <v>1626.3217500000001</v>
      </c>
      <c r="CK21">
        <f ca="1">IFERROR(IF(0=LEN(ReferenceData!$CK$21),"",ReferenceData!$CK$21),"")</f>
        <v>1635.3732500000001</v>
      </c>
    </row>
    <row r="22" spans="1:89" x14ac:dyDescent="0.25">
      <c r="A22" t="str">
        <f>IFERROR(IF(0=LEN(ReferenceData!$A$22),"",ReferenceData!$A$22),"")</f>
        <v>Statistics for Major North American Ports</v>
      </c>
      <c r="B22" t="str">
        <f>IFERROR(IF(0=LEN(ReferenceData!$B$22),"",ReferenceData!$B$22),"")</f>
        <v/>
      </c>
      <c r="C22" t="str">
        <f>IFERROR(IF(0=LEN(ReferenceData!$C$22),"",ReferenceData!$C$22),"")</f>
        <v/>
      </c>
      <c r="D22" t="str">
        <f>IFERROR(IF(0=LEN(ReferenceData!$D$22),"",ReferenceData!$D$22),"")</f>
        <v/>
      </c>
      <c r="E22" t="str">
        <f>IFERROR(IF(0=LEN(ReferenceData!$E$22),"",ReferenceData!$E$22),"")</f>
        <v>Sum</v>
      </c>
      <c r="F22" t="str">
        <f ca="1">IFERROR(IF(0=LEN(ReferenceData!$F$22),"",ReferenceData!$F$22),"")</f>
        <v/>
      </c>
      <c r="G22">
        <f ca="1">IFERROR(IF(0=LEN(ReferenceData!$G$22),"",ReferenceData!$G$22),"")</f>
        <v>3395648.1</v>
      </c>
      <c r="H22">
        <f ca="1">IFERROR(IF(0=LEN(ReferenceData!$H$22),"",ReferenceData!$H$22),"")</f>
        <v>3899702.45</v>
      </c>
      <c r="I22">
        <f ca="1">IFERROR(IF(0=LEN(ReferenceData!$I$22),"",ReferenceData!$I$22),"")</f>
        <v>3695401.25</v>
      </c>
      <c r="J22">
        <f ca="1">IFERROR(IF(0=LEN(ReferenceData!$J$22),"",ReferenceData!$J$22),"")</f>
        <v>3783510.2</v>
      </c>
      <c r="K22">
        <f ca="1">IFERROR(IF(0=LEN(ReferenceData!$K$22),"",ReferenceData!$K$22),"")</f>
        <v>3932423.75</v>
      </c>
      <c r="L22">
        <f ca="1">IFERROR(IF(0=LEN(ReferenceData!$L$22),"",ReferenceData!$L$22),"")</f>
        <v>3701940.5</v>
      </c>
      <c r="M22">
        <f ca="1">IFERROR(IF(0=LEN(ReferenceData!$M$22),"",ReferenceData!$M$22),"")</f>
        <v>3443046.75</v>
      </c>
      <c r="N22">
        <f ca="1">IFERROR(IF(0=LEN(ReferenceData!$N$22),"",ReferenceData!$N$22),"")</f>
        <v>3246269.65</v>
      </c>
      <c r="O22">
        <f ca="1">IFERROR(IF(0=LEN(ReferenceData!$O$22),"",ReferenceData!$O$22),"")</f>
        <v>3697718.2</v>
      </c>
      <c r="P22">
        <f ca="1">IFERROR(IF(0=LEN(ReferenceData!$P$22),"",ReferenceData!$P$22),"")</f>
        <v>3686560.5</v>
      </c>
      <c r="Q22">
        <f ca="1">IFERROR(IF(0=LEN(ReferenceData!$Q$22),"",ReferenceData!$Q$22),"")</f>
        <v>3780337</v>
      </c>
      <c r="R22">
        <f ca="1">IFERROR(IF(0=LEN(ReferenceData!$R$22),"",ReferenceData!$R$22),"")</f>
        <v>4200854.7</v>
      </c>
      <c r="S22">
        <f ca="1">IFERROR(IF(0=LEN(ReferenceData!$S$22),"",ReferenceData!$S$22),"")</f>
        <v>4191747</v>
      </c>
      <c r="T22">
        <f ca="1">IFERROR(IF(0=LEN(ReferenceData!$T$22),"",ReferenceData!$T$22),"")</f>
        <v>4610199.7</v>
      </c>
      <c r="U22">
        <f ca="1">IFERROR(IF(0=LEN(ReferenceData!$U$22),"",ReferenceData!$U$22),"")</f>
        <v>4405019.3</v>
      </c>
      <c r="V22">
        <f ca="1">IFERROR(IF(0=LEN(ReferenceData!$V$22),"",ReferenceData!$V$22),"")</f>
        <v>4522571.8</v>
      </c>
      <c r="W22">
        <f ca="1">IFERROR(IF(0=LEN(ReferenceData!$W$22),"",ReferenceData!$W$22),"")</f>
        <v>4816115.6500000004</v>
      </c>
      <c r="X22">
        <f ca="1">IFERROR(IF(0=LEN(ReferenceData!$X$22),"",ReferenceData!$X$22),"")</f>
        <v>4542067.3499999996</v>
      </c>
      <c r="Y22">
        <f ca="1">IFERROR(IF(0=LEN(ReferenceData!$Y$22),"",ReferenceData!$Y$22),"")</f>
        <v>4687585.55</v>
      </c>
      <c r="Z22">
        <f ca="1">IFERROR(IF(0=LEN(ReferenceData!$Z$22),"",ReferenceData!$Z$22),"")</f>
        <v>4223221.4000000004</v>
      </c>
      <c r="AA22">
        <f ca="1">IFERROR(IF(0=LEN(ReferenceData!$AA$22),"",ReferenceData!$AA$22),"")</f>
        <v>4251604.8499999996</v>
      </c>
      <c r="AB22">
        <f ca="1">IFERROR(IF(0=LEN(ReferenceData!$AB$22),"",ReferenceData!$AB$22),"")</f>
        <v>4168059.75</v>
      </c>
      <c r="AC22">
        <f ca="1">IFERROR(IF(0=LEN(ReferenceData!$AC$22),"",ReferenceData!$AC$22),"")</f>
        <v>4225487</v>
      </c>
      <c r="AD22">
        <f ca="1">IFERROR(IF(0=LEN(ReferenceData!$AD$22),"",ReferenceData!$AD$22),"")</f>
        <v>4522769.25</v>
      </c>
      <c r="AE22">
        <f ca="1">IFERROR(IF(0=LEN(ReferenceData!$AE$22),"",ReferenceData!$AE$22),"")</f>
        <v>4313633.0999999996</v>
      </c>
      <c r="AF22">
        <f ca="1">IFERROR(IF(0=LEN(ReferenceData!$AF$22),"",ReferenceData!$AF$22),"")</f>
        <v>4571948.9000000004</v>
      </c>
      <c r="AG22">
        <f ca="1">IFERROR(IF(0=LEN(ReferenceData!$AG$22),"",ReferenceData!$AG$22),"")</f>
        <v>4360891.4000000004</v>
      </c>
      <c r="AH22">
        <f ca="1">IFERROR(IF(0=LEN(ReferenceData!$AH$22),"",ReferenceData!$AH$22),"")</f>
        <v>4279195.25</v>
      </c>
      <c r="AI22">
        <f ca="1">IFERROR(IF(0=LEN(ReferenceData!$AI$22),"",ReferenceData!$AI$22),"")</f>
        <v>4801242.25</v>
      </c>
      <c r="AJ22">
        <f ca="1">IFERROR(IF(0=LEN(ReferenceData!$AJ$22),"",ReferenceData!$AJ$22),"")</f>
        <v>4349971.0999999996</v>
      </c>
      <c r="AK22">
        <f ca="1">IFERROR(IF(0=LEN(ReferenceData!$AK$22),"",ReferenceData!$AK$22),"")</f>
        <v>4655106.4000000004</v>
      </c>
      <c r="AL22">
        <f ca="1">IFERROR(IF(0=LEN(ReferenceData!$AL$22),"",ReferenceData!$AL$22),"")</f>
        <v>3831778.4</v>
      </c>
      <c r="AM22">
        <f ca="1">IFERROR(IF(0=LEN(ReferenceData!$AM$22),"",ReferenceData!$AM$22),"")</f>
        <v>4188856.6500000004</v>
      </c>
      <c r="AN22">
        <f ca="1">IFERROR(IF(0=LEN(ReferenceData!$AN$22),"",ReferenceData!$AN$22),"")</f>
        <v>4280972.3</v>
      </c>
      <c r="AO22">
        <f ca="1">IFERROR(IF(0=LEN(ReferenceData!$AO$22),"",ReferenceData!$AO$22),"")</f>
        <v>4300730.0999999996</v>
      </c>
      <c r="AP22">
        <f ca="1">IFERROR(IF(0=LEN(ReferenceData!$AP$22),"",ReferenceData!$AP$22),"")</f>
        <v>4553359.55</v>
      </c>
      <c r="AQ22">
        <f ca="1">IFERROR(IF(0=LEN(ReferenceData!$AQ$22),"",ReferenceData!$AQ$22),"")</f>
        <v>4233934.8</v>
      </c>
      <c r="AR22">
        <f ca="1">IFERROR(IF(0=LEN(ReferenceData!$AR$22),"",ReferenceData!$AR$22),"")</f>
        <v>4224982.4000000004</v>
      </c>
      <c r="AS22">
        <f ca="1">IFERROR(IF(0=LEN(ReferenceData!$AS$22),"",ReferenceData!$AS$22),"")</f>
        <v>3929856.4499999997</v>
      </c>
      <c r="AT22">
        <f ca="1">IFERROR(IF(0=LEN(ReferenceData!$AT$22),"",ReferenceData!$AT$22),"")</f>
        <v>3414994.1</v>
      </c>
      <c r="AU22">
        <f ca="1">IFERROR(IF(0=LEN(ReferenceData!$AU$22),"",ReferenceData!$AU$22),"")</f>
        <v>3273455.7</v>
      </c>
      <c r="AV22">
        <f ca="1">IFERROR(IF(0=LEN(ReferenceData!$AV$22),"",ReferenceData!$AV$22),"")</f>
        <v>3352805.65</v>
      </c>
      <c r="AW22">
        <f ca="1">IFERROR(IF(0=LEN(ReferenceData!$AW$22),"",ReferenceData!$AW$22),"")</f>
        <v>3113277.25</v>
      </c>
      <c r="AX22">
        <f ca="1">IFERROR(IF(0=LEN(ReferenceData!$AX$22),"",ReferenceData!$AX$22),"")</f>
        <v>3295326.9499999997</v>
      </c>
      <c r="AY22">
        <f ca="1">IFERROR(IF(0=LEN(ReferenceData!$AY$22),"",ReferenceData!$AY$22),"")</f>
        <v>3780931.2</v>
      </c>
      <c r="AZ22">
        <f ca="1">IFERROR(IF(0=LEN(ReferenceData!$AZ$22),"",ReferenceData!$AZ$22),"")</f>
        <v>3693677.8</v>
      </c>
      <c r="BA22">
        <f ca="1">IFERROR(IF(0=LEN(ReferenceData!$BA$22),"",ReferenceData!$BA$22),"")</f>
        <v>3602084.75</v>
      </c>
      <c r="BB22">
        <f ca="1">IFERROR(IF(0=LEN(ReferenceData!$BB$22),"",ReferenceData!$BB$22),"")</f>
        <v>3986119.3</v>
      </c>
      <c r="BC22">
        <f ca="1">IFERROR(IF(0=LEN(ReferenceData!$BC$22),"",ReferenceData!$BC$22),"")</f>
        <v>3948298.45</v>
      </c>
      <c r="BD22">
        <f ca="1">IFERROR(IF(0=LEN(ReferenceData!$BD$22),"",ReferenceData!$BD$22),"")</f>
        <v>4146621.05</v>
      </c>
      <c r="BE22">
        <f ca="1">IFERROR(IF(0=LEN(ReferenceData!$BE$22),"",ReferenceData!$BE$22),"")</f>
        <v>4067233.85</v>
      </c>
      <c r="BF22">
        <f ca="1">IFERROR(IF(0=LEN(ReferenceData!$BF$22),"",ReferenceData!$BF$22),"")</f>
        <v>3847666.4</v>
      </c>
      <c r="BG22">
        <f ca="1">IFERROR(IF(0=LEN(ReferenceData!$BG$22),"",ReferenceData!$BG$22),"")</f>
        <v>3900445.8</v>
      </c>
      <c r="BH22">
        <f ca="1">IFERROR(IF(0=LEN(ReferenceData!$BH$22),"",ReferenceData!$BH$22),"")</f>
        <v>3789837</v>
      </c>
      <c r="BI22">
        <f ca="1">IFERROR(IF(0=LEN(ReferenceData!$BI$22),"",ReferenceData!$BI$22),"")</f>
        <v>3668896.85</v>
      </c>
      <c r="BJ22">
        <f ca="1">IFERROR(IF(0=LEN(ReferenceData!$BJ$22),"",ReferenceData!$BJ$22),"")</f>
        <v>3403351.55</v>
      </c>
      <c r="BK22">
        <f ca="1">IFERROR(IF(0=LEN(ReferenceData!$BK$22),"",ReferenceData!$BK$22),"")</f>
        <v>3992860.3</v>
      </c>
      <c r="BL22">
        <f ca="1">IFERROR(IF(0=LEN(ReferenceData!$BL$22),"",ReferenceData!$BL$22),"")</f>
        <v>4024231.9499999997</v>
      </c>
      <c r="BM22">
        <f ca="1">IFERROR(IF(0=LEN(ReferenceData!$BM$22),"",ReferenceData!$BM$22),"")</f>
        <v>3796085.5</v>
      </c>
      <c r="BN22">
        <f ca="1">IFERROR(IF(0=LEN(ReferenceData!$BN$22),"",ReferenceData!$BN$22),"")</f>
        <v>4222300.1500000004</v>
      </c>
      <c r="BO22">
        <f ca="1">IFERROR(IF(0=LEN(ReferenceData!$BO$22),"",ReferenceData!$BO$22),"")</f>
        <v>3922321.85</v>
      </c>
      <c r="BP22">
        <f ca="1">IFERROR(IF(0=LEN(ReferenceData!$BP$22),"",ReferenceData!$BP$22),"")</f>
        <v>3938682.1999999997</v>
      </c>
      <c r="BQ22">
        <f ca="1">IFERROR(IF(0=LEN(ReferenceData!$BQ$22),"",ReferenceData!$BQ$22),"")</f>
        <v>3960084.2</v>
      </c>
      <c r="BR22">
        <f ca="1">IFERROR(IF(0=LEN(ReferenceData!$BR$22),"",ReferenceData!$BR$22),"")</f>
        <v>3878718.65</v>
      </c>
      <c r="BS22">
        <f ca="1">IFERROR(IF(0=LEN(ReferenceData!$BS$22),"",ReferenceData!$BS$22),"")</f>
        <v>3826238.45</v>
      </c>
      <c r="BT22">
        <f ca="1">IFERROR(IF(0=LEN(ReferenceData!$BT$22),"",ReferenceData!$BT$22),"")</f>
        <v>3547039</v>
      </c>
      <c r="BU22">
        <f ca="1">IFERROR(IF(0=LEN(ReferenceData!$BU$22),"",ReferenceData!$BU$22),"")</f>
        <v>3471319.05</v>
      </c>
      <c r="BV22">
        <f ca="1">IFERROR(IF(0=LEN(ReferenceData!$BV$22),"",ReferenceData!$BV$22),"")</f>
        <v>3499360.6500000004</v>
      </c>
      <c r="BW22">
        <f ca="1">IFERROR(IF(0=LEN(ReferenceData!$BW$22),"",ReferenceData!$BW$22),"")</f>
        <v>3616776.5</v>
      </c>
      <c r="BX22">
        <f ca="1">IFERROR(IF(0=LEN(ReferenceData!$BX$22),"",ReferenceData!$BX$22),"")</f>
        <v>3691122.2</v>
      </c>
      <c r="BY22">
        <f ca="1">IFERROR(IF(0=LEN(ReferenceData!$BY$22),"",ReferenceData!$BY$22),"")</f>
        <v>3719812.6</v>
      </c>
      <c r="BZ22">
        <f ca="1">IFERROR(IF(0=LEN(ReferenceData!$BZ$22),"",ReferenceData!$BZ$22),"")</f>
        <v>3809121</v>
      </c>
      <c r="CA22">
        <f ca="1">IFERROR(IF(0=LEN(ReferenceData!$CA$22),"",ReferenceData!$CA$22),"")</f>
        <v>3731875.4</v>
      </c>
      <c r="CB22">
        <f ca="1">IFERROR(IF(0=LEN(ReferenceData!$CB$22),"",ReferenceData!$CB$22),"")</f>
        <v>3835807.65</v>
      </c>
      <c r="CC22">
        <f ca="1">IFERROR(IF(0=LEN(ReferenceData!$CC$22),"",ReferenceData!$CC$22),"")</f>
        <v>3761829.25</v>
      </c>
      <c r="CD22">
        <f ca="1">IFERROR(IF(0=LEN(ReferenceData!$CD$22),"",ReferenceData!$CD$22),"")</f>
        <v>3659150.45</v>
      </c>
      <c r="CE22">
        <f ca="1">IFERROR(IF(0=LEN(ReferenceData!$CE$22),"",ReferenceData!$CE$22),"")</f>
        <v>3739241.4000000004</v>
      </c>
      <c r="CF22">
        <f ca="1">IFERROR(IF(0=LEN(ReferenceData!$CF$22),"",ReferenceData!$CF$22),"")</f>
        <v>3428068.8</v>
      </c>
      <c r="CG22">
        <f ca="1">IFERROR(IF(0=LEN(ReferenceData!$CG$22),"",ReferenceData!$CG$22),"")</f>
        <v>3464736.5</v>
      </c>
      <c r="CH22">
        <f ca="1">IFERROR(IF(0=LEN(ReferenceData!$CH$22),"",ReferenceData!$CH$22),"")</f>
        <v>3153583.35</v>
      </c>
      <c r="CI22">
        <f ca="1">IFERROR(IF(0=LEN(ReferenceData!$CI$22),"",ReferenceData!$CI$22),"")</f>
        <v>3577207.15</v>
      </c>
      <c r="CJ22">
        <f ca="1">IFERROR(IF(0=LEN(ReferenceData!$CJ$22),"",ReferenceData!$CJ$22),"")</f>
        <v>3394612.85</v>
      </c>
      <c r="CK22">
        <f ca="1">IFERROR(IF(0=LEN(ReferenceData!$CK$22),"",ReferenceData!$CK$22),"")</f>
        <v>3518010.45</v>
      </c>
    </row>
    <row r="23" spans="1:89" x14ac:dyDescent="0.25">
      <c r="A23" t="str">
        <f>IFERROR(IF(0=LEN(ReferenceData!$A$23),"",ReferenceData!$A$23),"")</f>
        <v xml:space="preserve">    Port of Los Angeles (TEU)</v>
      </c>
      <c r="B23" t="str">
        <f>IFERROR(IF(0=LEN(ReferenceData!$B$23),"",ReferenceData!$B$23),"")</f>
        <v/>
      </c>
      <c r="C23" t="str">
        <f>IFERROR(IF(0=LEN(ReferenceData!$C$23),"",ReferenceData!$C$23),"")</f>
        <v/>
      </c>
      <c r="D23" t="str">
        <f>IFERROR(IF(0=LEN(ReferenceData!$D$23),"",ReferenceData!$D$23),"")</f>
        <v/>
      </c>
      <c r="E23" t="str">
        <f>IFERROR(IF(0=LEN(ReferenceData!$E$23),"",ReferenceData!$E$23),"")</f>
        <v>Sum</v>
      </c>
      <c r="F23" t="str">
        <f ca="1">IFERROR(IF(0=LEN(ReferenceData!$F$23),"",ReferenceData!$F$23),"")</f>
        <v/>
      </c>
      <c r="G23">
        <f ca="1">IFERROR(IF(0=LEN(ReferenceData!$G$23),"",ReferenceData!$G$23),"")</f>
        <v>748440.1</v>
      </c>
      <c r="H23">
        <f ca="1">IFERROR(IF(0=LEN(ReferenceData!$H$23),"",ReferenceData!$H$23),"")</f>
        <v>828015.7</v>
      </c>
      <c r="I23">
        <f ca="1">IFERROR(IF(0=LEN(ReferenceData!$I$23),"",ReferenceData!$I$23),"")</f>
        <v>684290.75</v>
      </c>
      <c r="J23">
        <f ca="1">IFERROR(IF(0=LEN(ReferenceData!$J$23),"",ReferenceData!$J$23),"")</f>
        <v>833035.45</v>
      </c>
      <c r="K23">
        <f ca="1">IFERROR(IF(0=LEN(ReferenceData!$K$23),"",ReferenceData!$K$23),"")</f>
        <v>779140</v>
      </c>
      <c r="L23">
        <f ca="1">IFERROR(IF(0=LEN(ReferenceData!$L$23),"",ReferenceData!$L$23),"")</f>
        <v>688109.75</v>
      </c>
      <c r="M23">
        <f ca="1">IFERROR(IF(0=LEN(ReferenceData!$M$23),"",ReferenceData!$M$23),"")</f>
        <v>623233.75</v>
      </c>
      <c r="N23">
        <f ca="1">IFERROR(IF(0=LEN(ReferenceData!$N$23),"",ReferenceData!$N$23),"")</f>
        <v>487846.15</v>
      </c>
      <c r="O23">
        <f ca="1">IFERROR(IF(0=LEN(ReferenceData!$O$23),"",ReferenceData!$O$23),"")</f>
        <v>726013.95</v>
      </c>
      <c r="P23">
        <f ca="1">IFERROR(IF(0=LEN(ReferenceData!$P$23),"",ReferenceData!$P$23),"")</f>
        <v>728871.5</v>
      </c>
      <c r="Q23">
        <f ca="1">IFERROR(IF(0=LEN(ReferenceData!$Q$23),"",ReferenceData!$Q$23),"")</f>
        <v>639343.5</v>
      </c>
      <c r="R23">
        <f ca="1">IFERROR(IF(0=LEN(ReferenceData!$R$23),"",ReferenceData!$R$23),"")</f>
        <v>678429.45</v>
      </c>
      <c r="S23">
        <f ca="1">IFERROR(IF(0=LEN(ReferenceData!$S$23),"",ReferenceData!$S$23),"")</f>
        <v>709873.3</v>
      </c>
      <c r="T23">
        <f ca="1">IFERROR(IF(0=LEN(ReferenceData!$T$23),"",ReferenceData!$T$23),"")</f>
        <v>805314.7</v>
      </c>
      <c r="U23">
        <f ca="1">IFERROR(IF(0=LEN(ReferenceData!$U$23),"",ReferenceData!$U$23),"")</f>
        <v>935423.8</v>
      </c>
      <c r="V23">
        <f ca="1">IFERROR(IF(0=LEN(ReferenceData!$V$23),"",ReferenceData!$V$23),"")</f>
        <v>876611.3</v>
      </c>
      <c r="W23">
        <f ca="1">IFERROR(IF(0=LEN(ReferenceData!$W$23),"",ReferenceData!$W$23),"")</f>
        <v>967900.15</v>
      </c>
      <c r="X23">
        <f ca="1">IFERROR(IF(0=LEN(ReferenceData!$X$23),"",ReferenceData!$X$23),"")</f>
        <v>887357.35000000009</v>
      </c>
      <c r="Y23">
        <f ca="1">IFERROR(IF(0=LEN(ReferenceData!$Y$23),"",ReferenceData!$Y$23),"")</f>
        <v>958674.05</v>
      </c>
      <c r="Z23">
        <f ca="1">IFERROR(IF(0=LEN(ReferenceData!$Z$23),"",ReferenceData!$Z$23),"")</f>
        <v>857764.39999999991</v>
      </c>
      <c r="AA23">
        <f ca="1">IFERROR(IF(0=LEN(ReferenceData!$AA$23),"",ReferenceData!$AA$23),"")</f>
        <v>865595.35</v>
      </c>
      <c r="AB23">
        <f ca="1">IFERROR(IF(0=LEN(ReferenceData!$AB$23),"",ReferenceData!$AB$23),"")</f>
        <v>786588.75</v>
      </c>
      <c r="AC23">
        <f ca="1">IFERROR(IF(0=LEN(ReferenceData!$AC$23),"",ReferenceData!$AC$23),"")</f>
        <v>811459.9</v>
      </c>
      <c r="AD23">
        <f ca="1">IFERROR(IF(0=LEN(ReferenceData!$AD$23),"",ReferenceData!$AD$23),"")</f>
        <v>902643.9</v>
      </c>
      <c r="AE23">
        <f ca="1">IFERROR(IF(0=LEN(ReferenceData!$AE$23),"",ReferenceData!$AE$23),"")</f>
        <v>903864.60000000009</v>
      </c>
      <c r="AF23">
        <f ca="1">IFERROR(IF(0=LEN(ReferenceData!$AF$23),"",ReferenceData!$AF$23),"")</f>
        <v>954377.35000000009</v>
      </c>
      <c r="AG23">
        <f ca="1">IFERROR(IF(0=LEN(ReferenceData!$AG$23),"",ReferenceData!$AG$23),"")</f>
        <v>890799.8</v>
      </c>
      <c r="AH23">
        <f ca="1">IFERROR(IF(0=LEN(ReferenceData!$AH$23),"",ReferenceData!$AH$23),"")</f>
        <v>876430.35</v>
      </c>
      <c r="AI23">
        <f ca="1">IFERROR(IF(0=LEN(ReferenceData!$AI$23),"",ReferenceData!$AI$23),"")</f>
        <v>1012047.85</v>
      </c>
      <c r="AJ23">
        <f ca="1">IFERROR(IF(0=LEN(ReferenceData!$AJ$23),"",ReferenceData!$AJ$23),"")</f>
        <v>946966.35</v>
      </c>
      <c r="AK23">
        <f ca="1">IFERROR(IF(0=LEN(ReferenceData!$AK$23),"",ReferenceData!$AK$23),"")</f>
        <v>957599.25</v>
      </c>
      <c r="AL23">
        <f ca="1">IFERROR(IF(0=LEN(ReferenceData!$AL$23),"",ReferenceData!$AL$23),"")</f>
        <v>799315.4</v>
      </c>
      <c r="AM23">
        <f ca="1">IFERROR(IF(0=LEN(ReferenceData!$AM$23),"",ReferenceData!$AM$23),"")</f>
        <v>835516.2</v>
      </c>
      <c r="AN23">
        <f ca="1">IFERROR(IF(0=LEN(ReferenceData!$AN$23),"",ReferenceData!$AN$23),"")</f>
        <v>879186.05</v>
      </c>
      <c r="AO23">
        <f ca="1">IFERROR(IF(0=LEN(ReferenceData!$AO$23),"",ReferenceData!$AO$23),"")</f>
        <v>889746.14999999991</v>
      </c>
      <c r="AP23">
        <f ca="1">IFERROR(IF(0=LEN(ReferenceData!$AP$23),"",ReferenceData!$AP$23),"")</f>
        <v>980728.54999999993</v>
      </c>
      <c r="AQ23">
        <f ca="1">IFERROR(IF(0=LEN(ReferenceData!$AQ$23),"",ReferenceData!$AQ$23),"")</f>
        <v>883624.8</v>
      </c>
      <c r="AR23">
        <f ca="1">IFERROR(IF(0=LEN(ReferenceData!$AR$23),"",ReferenceData!$AR$23),"")</f>
        <v>961832.75</v>
      </c>
      <c r="AS23">
        <f ca="1">IFERROR(IF(0=LEN(ReferenceData!$AS$23),"",ReferenceData!$AS$23),"")</f>
        <v>856389.15</v>
      </c>
      <c r="AT23">
        <f ca="1">IFERROR(IF(0=LEN(ReferenceData!$AT$23),"",ReferenceData!$AT$23),"")</f>
        <v>691475.4</v>
      </c>
      <c r="AU23">
        <f ca="1">IFERROR(IF(0=LEN(ReferenceData!$AU$23),"",ReferenceData!$AU$23),"")</f>
        <v>581664.75</v>
      </c>
      <c r="AV23">
        <f ca="1">IFERROR(IF(0=LEN(ReferenceData!$AV$23),"",ReferenceData!$AV$23),"")</f>
        <v>688999</v>
      </c>
      <c r="AW23">
        <f ca="1">IFERROR(IF(0=LEN(ReferenceData!$AW$23),"",ReferenceData!$AW$23),"")</f>
        <v>449568.3</v>
      </c>
      <c r="AX23">
        <f ca="1">IFERROR(IF(0=LEN(ReferenceData!$AX$23),"",ReferenceData!$AX$23),"")</f>
        <v>544037.30000000005</v>
      </c>
      <c r="AY23">
        <f ca="1">IFERROR(IF(0=LEN(ReferenceData!$AY$23),"",ReferenceData!$AY$23),"")</f>
        <v>806143.75</v>
      </c>
      <c r="AZ23">
        <f ca="1">IFERROR(IF(0=LEN(ReferenceData!$AZ$23),"",ReferenceData!$AZ$23),"")</f>
        <v>746749.75</v>
      </c>
      <c r="BA23">
        <f ca="1">IFERROR(IF(0=LEN(ReferenceData!$BA$23),"",ReferenceData!$BA$23),"")</f>
        <v>728917.9</v>
      </c>
      <c r="BB23">
        <f ca="1">IFERROR(IF(0=LEN(ReferenceData!$BB$23),"",ReferenceData!$BB$23),"")</f>
        <v>770188.5</v>
      </c>
      <c r="BC23">
        <f ca="1">IFERROR(IF(0=LEN(ReferenceData!$BC$23),"",ReferenceData!$BC$23),"")</f>
        <v>779902.75</v>
      </c>
      <c r="BD23">
        <f ca="1">IFERROR(IF(0=LEN(ReferenceData!$BD$23),"",ReferenceData!$BD$23),"")</f>
        <v>861080.8</v>
      </c>
      <c r="BE23">
        <f ca="1">IFERROR(IF(0=LEN(ReferenceData!$BE$23),"",ReferenceData!$BE$23),"")</f>
        <v>912154.14999999991</v>
      </c>
      <c r="BF23">
        <f ca="1">IFERROR(IF(0=LEN(ReferenceData!$BF$23),"",ReferenceData!$BF$23),"")</f>
        <v>764777.25</v>
      </c>
      <c r="BG23">
        <f ca="1">IFERROR(IF(0=LEN(ReferenceData!$BG$23),"",ReferenceData!$BG$23),"")</f>
        <v>828662.15</v>
      </c>
      <c r="BH23">
        <f ca="1">IFERROR(IF(0=LEN(ReferenceData!$BH$23),"",ReferenceData!$BH$23),"")</f>
        <v>736465.95</v>
      </c>
      <c r="BI23">
        <f ca="1">IFERROR(IF(0=LEN(ReferenceData!$BI$23),"",ReferenceData!$BI$23),"")</f>
        <v>650977.15</v>
      </c>
      <c r="BJ23">
        <f ca="1">IFERROR(IF(0=LEN(ReferenceData!$BJ$23),"",ReferenceData!$BJ$23),"")</f>
        <v>705306.55</v>
      </c>
      <c r="BK23">
        <f ca="1">IFERROR(IF(0=LEN(ReferenceData!$BK$23),"",ReferenceData!$BK$23),"")</f>
        <v>852449.5</v>
      </c>
      <c r="BL23">
        <f ca="1">IFERROR(IF(0=LEN(ReferenceData!$BL$23),"",ReferenceData!$BL$23),"")</f>
        <v>903258.15</v>
      </c>
      <c r="BM23">
        <f ca="1">IFERROR(IF(0=LEN(ReferenceData!$BM$23),"",ReferenceData!$BM$23),"")</f>
        <v>832330.9</v>
      </c>
      <c r="BN23">
        <f ca="1">IFERROR(IF(0=LEN(ReferenceData!$BN$23),"",ReferenceData!$BN$23),"")</f>
        <v>952553.75</v>
      </c>
      <c r="BO23">
        <f ca="1">IFERROR(IF(0=LEN(ReferenceData!$BO$23),"",ReferenceData!$BO$23),"")</f>
        <v>801264.15</v>
      </c>
      <c r="BP23">
        <f ca="1">IFERROR(IF(0=LEN(ReferenceData!$BP$23),"",ReferenceData!$BP$23),"")</f>
        <v>826638.4</v>
      </c>
      <c r="BQ23">
        <f ca="1">IFERROR(IF(0=LEN(ReferenceData!$BQ$23),"",ReferenceData!$BQ$23),"")</f>
        <v>833567.85000000009</v>
      </c>
      <c r="BR23">
        <f ca="1">IFERROR(IF(0=LEN(ReferenceData!$BR$23),"",ReferenceData!$BR$23),"")</f>
        <v>723141.15</v>
      </c>
      <c r="BS23">
        <f ca="1">IFERROR(IF(0=LEN(ReferenceData!$BS$23),"",ReferenceData!$BS$23),"")</f>
        <v>768804.35000000009</v>
      </c>
      <c r="BT23">
        <f ca="1">IFERROR(IF(0=LEN(ReferenceData!$BT$23),"",ReferenceData!$BT$23),"")</f>
        <v>705535.95</v>
      </c>
      <c r="BU23">
        <f ca="1">IFERROR(IF(0=LEN(ReferenceData!$BU$23),"",ReferenceData!$BU$23),"")</f>
        <v>577865.89999999991</v>
      </c>
      <c r="BV23">
        <f ca="1">IFERROR(IF(0=LEN(ReferenceData!$BV$23),"",ReferenceData!$BV$23),"")</f>
        <v>725059.45000000007</v>
      </c>
      <c r="BW23">
        <f ca="1">IFERROR(IF(0=LEN(ReferenceData!$BW$23),"",ReferenceData!$BW$23),"")</f>
        <v>808728.5</v>
      </c>
      <c r="BX23">
        <f ca="1">IFERROR(IF(0=LEN(ReferenceData!$BX$23),"",ReferenceData!$BX$23),"")</f>
        <v>779210.95000000007</v>
      </c>
      <c r="BY23">
        <f ca="1">IFERROR(IF(0=LEN(ReferenceData!$BY$23),"",ReferenceData!$BY$23),"")</f>
        <v>924225.75</v>
      </c>
      <c r="BZ23">
        <f ca="1">IFERROR(IF(0=LEN(ReferenceData!$BZ$23),"",ReferenceData!$BZ$23),"")</f>
        <v>748762.2</v>
      </c>
      <c r="CA23">
        <f ca="1">IFERROR(IF(0=LEN(ReferenceData!$CA$23),"",ReferenceData!$CA$23),"")</f>
        <v>763784.5</v>
      </c>
      <c r="CB23">
        <f ca="1">IFERROR(IF(0=LEN(ReferenceData!$CB$23),"",ReferenceData!$CB$23),"")</f>
        <v>847857.05</v>
      </c>
      <c r="CC23">
        <f ca="1">IFERROR(IF(0=LEN(ReferenceData!$CC$23),"",ReferenceData!$CC$23),"")</f>
        <v>796804</v>
      </c>
      <c r="CD23">
        <f ca="1">IFERROR(IF(0=LEN(ReferenceData!$CD$23),"",ReferenceData!$CD$23),"")</f>
        <v>731032.35</v>
      </c>
      <c r="CE23">
        <f ca="1">IFERROR(IF(0=LEN(ReferenceData!$CE$23),"",ReferenceData!$CE$23),"")</f>
        <v>796216.70000000007</v>
      </c>
      <c r="CF23">
        <f ca="1">IFERROR(IF(0=LEN(ReferenceData!$CF$23),"",ReferenceData!$CF$23),"")</f>
        <v>714755.05</v>
      </c>
      <c r="CG23">
        <f ca="1">IFERROR(IF(0=LEN(ReferenceData!$CG$23),"",ReferenceData!$CG$23),"")</f>
        <v>788523.7</v>
      </c>
      <c r="CH23">
        <f ca="1">IFERROR(IF(0=LEN(ReferenceData!$CH$23),"",ReferenceData!$CH$23),"")</f>
        <v>625381.14999999991</v>
      </c>
      <c r="CI23">
        <f ca="1">IFERROR(IF(0=LEN(ReferenceData!$CI$23),"",ReferenceData!$CI$23),"")</f>
        <v>826639.54999999993</v>
      </c>
      <c r="CJ23">
        <f ca="1">IFERROR(IF(0=LEN(ReferenceData!$CJ$23),"",ReferenceData!$CJ$23),"")</f>
        <v>796536.6</v>
      </c>
      <c r="CK23">
        <f ca="1">IFERROR(IF(0=LEN(ReferenceData!$CK$23),"",ReferenceData!$CK$23),"")</f>
        <v>877564.2</v>
      </c>
    </row>
    <row r="24" spans="1:89" x14ac:dyDescent="0.25">
      <c r="A24" t="str">
        <f>IFERROR(IF(0=LEN(ReferenceData!$A$24),"",ReferenceData!$A$24),"")</f>
        <v xml:space="preserve">        Loaded Container Imports (TEU)</v>
      </c>
      <c r="B24" t="str">
        <f>IFERROR(IF(0=LEN(ReferenceData!$B$24),"",ReferenceData!$B$24),"")</f>
        <v>LALBLAIM Index</v>
      </c>
      <c r="C24" t="str">
        <f>IFERROR(IF(0=LEN(ReferenceData!$C$24),"",ReferenceData!$C$24),"")</f>
        <v>PX385</v>
      </c>
      <c r="D24" t="str">
        <f>IFERROR(IF(0=LEN(ReferenceData!$D$24),"",ReferenceData!$D$24),"")</f>
        <v>INTERVAL_SUM</v>
      </c>
      <c r="E24" t="str">
        <f>IFERROR(IF(0=LEN(ReferenceData!$E$24),"",ReferenceData!$E$24),"")</f>
        <v>Dynamic</v>
      </c>
      <c r="F24" t="str">
        <f ca="1">IFERROR(IF(0=LEN(ReferenceData!$F$24),"",ReferenceData!$F$24),"")</f>
        <v/>
      </c>
      <c r="G24">
        <f ca="1">IFERROR(IF(0=LEN(ReferenceData!$G$24),"",ReferenceData!$G$24),"")</f>
        <v>392608.35</v>
      </c>
      <c r="H24">
        <f ca="1">IFERROR(IF(0=LEN(ReferenceData!$H$24),"",ReferenceData!$H$24),"")</f>
        <v>433224.25</v>
      </c>
      <c r="I24">
        <f ca="1">IFERROR(IF(0=LEN(ReferenceData!$I$24),"",ReferenceData!$I$24),"")</f>
        <v>364208.3</v>
      </c>
      <c r="J24">
        <f ca="1">IFERROR(IF(0=LEN(ReferenceData!$J$24),"",ReferenceData!$J$24),"")</f>
        <v>435306.65</v>
      </c>
      <c r="K24">
        <f ca="1">IFERROR(IF(0=LEN(ReferenceData!$K$24),"",ReferenceData!$K$24),"")</f>
        <v>409150</v>
      </c>
      <c r="L24">
        <f ca="1">IFERROR(IF(0=LEN(ReferenceData!$L$24),"",ReferenceData!$L$24),"")</f>
        <v>343688.5</v>
      </c>
      <c r="M24">
        <f ca="1">IFERROR(IF(0=LEN(ReferenceData!$M$24),"",ReferenceData!$M$24),"")</f>
        <v>319961.95</v>
      </c>
      <c r="N24">
        <f ca="1">IFERROR(IF(0=LEN(ReferenceData!$N$24),"",ReferenceData!$N$24),"")</f>
        <v>249407.45</v>
      </c>
      <c r="O24">
        <f ca="1">IFERROR(IF(0=LEN(ReferenceData!$O$24),"",ReferenceData!$O$24),"")</f>
        <v>372040</v>
      </c>
      <c r="P24">
        <f ca="1">IFERROR(IF(0=LEN(ReferenceData!$P$24),"",ReferenceData!$P$24),"")</f>
        <v>352046.35</v>
      </c>
      <c r="Q24">
        <f ca="1">IFERROR(IF(0=LEN(ReferenceData!$Q$24),"",ReferenceData!$Q$24),"")</f>
        <v>307079.8</v>
      </c>
      <c r="R24">
        <f ca="1">IFERROR(IF(0=LEN(ReferenceData!$R$24),"",ReferenceData!$R$24),"")</f>
        <v>336306.9</v>
      </c>
      <c r="S24">
        <f ca="1">IFERROR(IF(0=LEN(ReferenceData!$S$24),"",ReferenceData!$S$24),"")</f>
        <v>343461.65</v>
      </c>
      <c r="T24">
        <f ca="1">IFERROR(IF(0=LEN(ReferenceData!$T$24),"",ReferenceData!$T$24),"")</f>
        <v>403601.95</v>
      </c>
      <c r="U24">
        <f ca="1">IFERROR(IF(0=LEN(ReferenceData!$U$24),"",ReferenceData!$U$24),"")</f>
        <v>485452.25</v>
      </c>
      <c r="V24">
        <f ca="1">IFERROR(IF(0=LEN(ReferenceData!$V$24),"",ReferenceData!$V$24),"")</f>
        <v>444680.4</v>
      </c>
      <c r="W24">
        <f ca="1">IFERROR(IF(0=LEN(ReferenceData!$W$24),"",ReferenceData!$W$24),"")</f>
        <v>499960.15</v>
      </c>
      <c r="X24">
        <f ca="1">IFERROR(IF(0=LEN(ReferenceData!$X$24),"",ReferenceData!$X$24),"")</f>
        <v>456669.55</v>
      </c>
      <c r="Y24">
        <f ca="1">IFERROR(IF(0=LEN(ReferenceData!$Y$24),"",ReferenceData!$Y$24),"")</f>
        <v>495195.8</v>
      </c>
      <c r="Z24">
        <f ca="1">IFERROR(IF(0=LEN(ReferenceData!$Z$24),"",ReferenceData!$Z$24),"")</f>
        <v>424072.85</v>
      </c>
      <c r="AA24">
        <f ca="1">IFERROR(IF(0=LEN(ReferenceData!$AA$24),"",ReferenceData!$AA$24),"")</f>
        <v>427207.7</v>
      </c>
      <c r="AB24">
        <f ca="1">IFERROR(IF(0=LEN(ReferenceData!$AB$24),"",ReferenceData!$AB$24),"")</f>
        <v>385250.7</v>
      </c>
      <c r="AC24">
        <f ca="1">IFERROR(IF(0=LEN(ReferenceData!$AC$24),"",ReferenceData!$AC$24),"")</f>
        <v>403443.9</v>
      </c>
      <c r="AD24">
        <f ca="1">IFERROR(IF(0=LEN(ReferenceData!$AD$24),"",ReferenceData!$AD$24),"")</f>
        <v>467286.65</v>
      </c>
      <c r="AE24">
        <f ca="1">IFERROR(IF(0=LEN(ReferenceData!$AE$24),"",ReferenceData!$AE$24),"")</f>
        <v>468059.15</v>
      </c>
      <c r="AF24">
        <f ca="1">IFERROR(IF(0=LEN(ReferenceData!$AF$24),"",ReferenceData!$AF$24),"")</f>
        <v>485672.15</v>
      </c>
      <c r="AG24">
        <f ca="1">IFERROR(IF(0=LEN(ReferenceData!$AG$24),"",ReferenceData!$AG$24),"")</f>
        <v>469360.85</v>
      </c>
      <c r="AH24">
        <f ca="1">IFERROR(IF(0=LEN(ReferenceData!$AH$24),"",ReferenceData!$AH$24),"")</f>
        <v>467763.25</v>
      </c>
      <c r="AI24">
        <f ca="1">IFERROR(IF(0=LEN(ReferenceData!$AI$24),"",ReferenceData!$AI$24),"")</f>
        <v>535714.19999999995</v>
      </c>
      <c r="AJ24">
        <f ca="1">IFERROR(IF(0=LEN(ReferenceData!$AJ$24),"",ReferenceData!$AJ$24),"")</f>
        <v>490126.85</v>
      </c>
      <c r="AK24">
        <f ca="1">IFERROR(IF(0=LEN(ReferenceData!$AK$24),"",ReferenceData!$AK$24),"")</f>
        <v>490115</v>
      </c>
      <c r="AL24">
        <f ca="1">IFERROR(IF(0=LEN(ReferenceData!$AL$24),"",ReferenceData!$AL$24),"")</f>
        <v>412884.25</v>
      </c>
      <c r="AM24">
        <f ca="1">IFERROR(IF(0=LEN(ReferenceData!$AM$24),"",ReferenceData!$AM$24),"")</f>
        <v>437609.2</v>
      </c>
      <c r="AN24">
        <f ca="1">IFERROR(IF(0=LEN(ReferenceData!$AN$24),"",ReferenceData!$AN$24),"")</f>
        <v>460865</v>
      </c>
      <c r="AO24">
        <f ca="1">IFERROR(IF(0=LEN(ReferenceData!$AO$24),"",ReferenceData!$AO$24),"")</f>
        <v>464819.7</v>
      </c>
      <c r="AP24">
        <f ca="1">IFERROR(IF(0=LEN(ReferenceData!$AP$24),"",ReferenceData!$AP$24),"")</f>
        <v>506613.2</v>
      </c>
      <c r="AQ24">
        <f ca="1">IFERROR(IF(0=LEN(ReferenceData!$AQ$24),"",ReferenceData!$AQ$24),"")</f>
        <v>471794.5</v>
      </c>
      <c r="AR24">
        <f ca="1">IFERROR(IF(0=LEN(ReferenceData!$AR$24),"",ReferenceData!$AR$24),"")</f>
        <v>516285.95</v>
      </c>
      <c r="AS24">
        <f ca="1">IFERROR(IF(0=LEN(ReferenceData!$AS$24),"",ReferenceData!$AS$24),"")</f>
        <v>456028.7</v>
      </c>
      <c r="AT24">
        <f ca="1">IFERROR(IF(0=LEN(ReferenceData!$AT$24),"",ReferenceData!$AT$24),"")</f>
        <v>369188.9</v>
      </c>
      <c r="AU24">
        <f ca="1">IFERROR(IF(0=LEN(ReferenceData!$AU$24),"",ReferenceData!$AU$24),"")</f>
        <v>306323</v>
      </c>
      <c r="AV24">
        <f ca="1">IFERROR(IF(0=LEN(ReferenceData!$AV$24),"",ReferenceData!$AV$24),"")</f>
        <v>370111</v>
      </c>
      <c r="AW24">
        <f ca="1">IFERROR(IF(0=LEN(ReferenceData!$AW$24),"",ReferenceData!$AW$24),"")</f>
        <v>220254.55</v>
      </c>
      <c r="AX24">
        <f ca="1">IFERROR(IF(0=LEN(ReferenceData!$AX$24),"",ReferenceData!$AX$24),"")</f>
        <v>270025.05</v>
      </c>
      <c r="AY24">
        <f ca="1">IFERROR(IF(0=LEN(ReferenceData!$AY$24),"",ReferenceData!$AY$24),"")</f>
        <v>414730.85</v>
      </c>
      <c r="AZ24">
        <f ca="1">IFERROR(IF(0=LEN(ReferenceData!$AZ$24),"",ReferenceData!$AZ$24),"")</f>
        <v>373511</v>
      </c>
      <c r="BA24">
        <f ca="1">IFERROR(IF(0=LEN(ReferenceData!$BA$24),"",ReferenceData!$BA$24),"")</f>
        <v>371349.7</v>
      </c>
      <c r="BB24">
        <f ca="1">IFERROR(IF(0=LEN(ReferenceData!$BB$24),"",ReferenceData!$BB$24),"")</f>
        <v>392768.6</v>
      </c>
      <c r="BC24">
        <f ca="1">IFERROR(IF(0=LEN(ReferenceData!$BC$24),"",ReferenceData!$BC$24),"")</f>
        <v>402319.85</v>
      </c>
      <c r="BD24">
        <f ca="1">IFERROR(IF(0=LEN(ReferenceData!$BD$24),"",ReferenceData!$BD$24),"")</f>
        <v>437613.25</v>
      </c>
      <c r="BE24">
        <f ca="1">IFERROR(IF(0=LEN(ReferenceData!$BE$24),"",ReferenceData!$BE$24),"")</f>
        <v>476438.2</v>
      </c>
      <c r="BF24">
        <f ca="1">IFERROR(IF(0=LEN(ReferenceData!$BF$24),"",ReferenceData!$BF$24),"")</f>
        <v>396306.5</v>
      </c>
      <c r="BG24">
        <f ca="1">IFERROR(IF(0=LEN(ReferenceData!$BG$24),"",ReferenceData!$BG$24),"")</f>
        <v>427789</v>
      </c>
      <c r="BH24">
        <f ca="1">IFERROR(IF(0=LEN(ReferenceData!$BH$24),"",ReferenceData!$BH$24),"")</f>
        <v>360744.65</v>
      </c>
      <c r="BI24">
        <f ca="1">IFERROR(IF(0=LEN(ReferenceData!$BI$24),"",ReferenceData!$BI$24),"")</f>
        <v>297186.95</v>
      </c>
      <c r="BJ24">
        <f ca="1">IFERROR(IF(0=LEN(ReferenceData!$BJ$24),"",ReferenceData!$BJ$24),"")</f>
        <v>348315.75</v>
      </c>
      <c r="BK24">
        <f ca="1">IFERROR(IF(0=LEN(ReferenceData!$BK$24),"",ReferenceData!$BK$24),"")</f>
        <v>429922.75</v>
      </c>
      <c r="BL24">
        <f ca="1">IFERROR(IF(0=LEN(ReferenceData!$BL$24),"",ReferenceData!$BL$24),"")</f>
        <v>468905.85</v>
      </c>
      <c r="BM24">
        <f ca="1">IFERROR(IF(0=LEN(ReferenceData!$BM$24),"",ReferenceData!$BM$24),"")</f>
        <v>422792.65</v>
      </c>
      <c r="BN24">
        <f ca="1">IFERROR(IF(0=LEN(ReferenceData!$BN$24),"",ReferenceData!$BN$24),"")</f>
        <v>485823.55</v>
      </c>
      <c r="BO24">
        <f ca="1">IFERROR(IF(0=LEN(ReferenceData!$BO$24),"",ReferenceData!$BO$24),"")</f>
        <v>414281.5</v>
      </c>
      <c r="BP24">
        <f ca="1">IFERROR(IF(0=LEN(ReferenceData!$BP$24),"",ReferenceData!$BP$24),"")</f>
        <v>420573.25</v>
      </c>
      <c r="BQ24">
        <f ca="1">IFERROR(IF(0=LEN(ReferenceData!$BQ$24),"",ReferenceData!$BQ$24),"")</f>
        <v>438164.55</v>
      </c>
      <c r="BR24">
        <f ca="1">IFERROR(IF(0=LEN(ReferenceData!$BR$24),"",ReferenceData!$BR$24),"")</f>
        <v>382964</v>
      </c>
      <c r="BS24">
        <f ca="1">IFERROR(IF(0=LEN(ReferenceData!$BS$24),"",ReferenceData!$BS$24),"")</f>
        <v>405586.8</v>
      </c>
      <c r="BT24">
        <f ca="1">IFERROR(IF(0=LEN(ReferenceData!$BT$24),"",ReferenceData!$BT$24),"")</f>
        <v>361108.3</v>
      </c>
      <c r="BU24">
        <f ca="1">IFERROR(IF(0=LEN(ReferenceData!$BU$24),"",ReferenceData!$BU$24),"")</f>
        <v>264460.05</v>
      </c>
      <c r="BV24">
        <f ca="1">IFERROR(IF(0=LEN(ReferenceData!$BV$24),"",ReferenceData!$BV$24),"")</f>
        <v>383089.55</v>
      </c>
      <c r="BW24">
        <f ca="1">IFERROR(IF(0=LEN(ReferenceData!$BW$24),"",ReferenceData!$BW$24),"")</f>
        <v>422831.95</v>
      </c>
      <c r="BX24">
        <f ca="1">IFERROR(IF(0=LEN(ReferenceData!$BX$24),"",ReferenceData!$BX$24),"")</f>
        <v>385492.05</v>
      </c>
      <c r="BY24">
        <f ca="1">IFERROR(IF(0=LEN(ReferenceData!$BY$24),"",ReferenceData!$BY$24),"")</f>
        <v>463690.9</v>
      </c>
      <c r="BZ24">
        <f ca="1">IFERROR(IF(0=LEN(ReferenceData!$BZ$24),"",ReferenceData!$BZ$24),"")</f>
        <v>383385</v>
      </c>
      <c r="CA24">
        <f ca="1">IFERROR(IF(0=LEN(ReferenceData!$CA$24),"",ReferenceData!$CA$24),"")</f>
        <v>388670.05</v>
      </c>
      <c r="CB24">
        <f ca="1">IFERROR(IF(0=LEN(ReferenceData!$CB$24),"",ReferenceData!$CB$24),"")</f>
        <v>432479.15</v>
      </c>
      <c r="CC24">
        <f ca="1">IFERROR(IF(0=LEN(ReferenceData!$CC$24),"",ReferenceData!$CC$24),"")</f>
        <v>417090.75</v>
      </c>
      <c r="CD24">
        <f ca="1">IFERROR(IF(0=LEN(ReferenceData!$CD$24),"",ReferenceData!$CD$24),"")</f>
        <v>372272.1</v>
      </c>
      <c r="CE24">
        <f ca="1">IFERROR(IF(0=LEN(ReferenceData!$CE$24),"",ReferenceData!$CE$24),"")</f>
        <v>413021.3</v>
      </c>
      <c r="CF24">
        <f ca="1">IFERROR(IF(0=LEN(ReferenceData!$CF$24),"",ReferenceData!$CF$24),"")</f>
        <v>372040.9</v>
      </c>
      <c r="CG24">
        <f ca="1">IFERROR(IF(0=LEN(ReferenceData!$CG$24),"",ReferenceData!$CG$24),"")</f>
        <v>373548.95</v>
      </c>
      <c r="CH24">
        <f ca="1">IFERROR(IF(0=LEN(ReferenceData!$CH$24),"",ReferenceData!$CH$24),"")</f>
        <v>298974.95</v>
      </c>
      <c r="CI24">
        <f ca="1">IFERROR(IF(0=LEN(ReferenceData!$CI$24),"",ReferenceData!$CI$24),"")</f>
        <v>415422.7</v>
      </c>
      <c r="CJ24">
        <f ca="1">IFERROR(IF(0=LEN(ReferenceData!$CJ$24),"",ReferenceData!$CJ$24),"")</f>
        <v>394217.5</v>
      </c>
      <c r="CK24">
        <f ca="1">IFERROR(IF(0=LEN(ReferenceData!$CK$24),"",ReferenceData!$CK$24),"")</f>
        <v>437050.2</v>
      </c>
    </row>
    <row r="25" spans="1:89" x14ac:dyDescent="0.25">
      <c r="A25" t="str">
        <f>IFERROR(IF(0=LEN(ReferenceData!$A$25),"",ReferenceData!$A$25),"")</f>
        <v xml:space="preserve">        Loaded Container Exports (TEU)</v>
      </c>
      <c r="B25" t="str">
        <f>IFERROR(IF(0=LEN(ReferenceData!$B$25),"",ReferenceData!$B$25),"")</f>
        <v>LALBLAEX Index</v>
      </c>
      <c r="C25" t="str">
        <f>IFERROR(IF(0=LEN(ReferenceData!$C$25),"",ReferenceData!$C$25),"")</f>
        <v>PX385</v>
      </c>
      <c r="D25" t="str">
        <f>IFERROR(IF(0=LEN(ReferenceData!$D$25),"",ReferenceData!$D$25),"")</f>
        <v>INTERVAL_SUM</v>
      </c>
      <c r="E25" t="str">
        <f>IFERROR(IF(0=LEN(ReferenceData!$E$25),"",ReferenceData!$E$25),"")</f>
        <v>Dynamic</v>
      </c>
      <c r="F25" t="str">
        <f ca="1">IFERROR(IF(0=LEN(ReferenceData!$F$25),"",ReferenceData!$F$25),"")</f>
        <v/>
      </c>
      <c r="G25">
        <f ca="1">IFERROR(IF(0=LEN(ReferenceData!$G$25),"",ReferenceData!$G$25),"")</f>
        <v>120635.25</v>
      </c>
      <c r="H25">
        <f ca="1">IFERROR(IF(0=LEN(ReferenceData!$H$25),"",ReferenceData!$H$25),"")</f>
        <v>124987.5</v>
      </c>
      <c r="I25">
        <f ca="1">IFERROR(IF(0=LEN(ReferenceData!$I$25),"",ReferenceData!$I$25),"")</f>
        <v>110372.25</v>
      </c>
      <c r="J25">
        <f ca="1">IFERROR(IF(0=LEN(ReferenceData!$J$25),"",ReferenceData!$J$25),"")</f>
        <v>108049.5</v>
      </c>
      <c r="K25">
        <f ca="1">IFERROR(IF(0=LEN(ReferenceData!$K$25),"",ReferenceData!$K$25),"")</f>
        <v>101741</v>
      </c>
      <c r="L25">
        <f ca="1">IFERROR(IF(0=LEN(ReferenceData!$L$25),"",ReferenceData!$L$25),"")</f>
        <v>88201.75</v>
      </c>
      <c r="M25">
        <f ca="1">IFERROR(IF(0=LEN(ReferenceData!$M$25),"",ReferenceData!$M$25),"")</f>
        <v>98276.25</v>
      </c>
      <c r="N25">
        <f ca="1">IFERROR(IF(0=LEN(ReferenceData!$N$25),"",ReferenceData!$N$25),"")</f>
        <v>82404</v>
      </c>
      <c r="O25">
        <f ca="1">IFERROR(IF(0=LEN(ReferenceData!$O$25),"",ReferenceData!$O$25),"")</f>
        <v>102723.25</v>
      </c>
      <c r="P25">
        <f ca="1">IFERROR(IF(0=LEN(ReferenceData!$P$25),"",ReferenceData!$P$25),"")</f>
        <v>96518</v>
      </c>
      <c r="Q25">
        <f ca="1">IFERROR(IF(0=LEN(ReferenceData!$Q$25),"",ReferenceData!$Q$25),"")</f>
        <v>90115.75</v>
      </c>
      <c r="R25">
        <f ca="1">IFERROR(IF(0=LEN(ReferenceData!$R$25),"",ReferenceData!$R$25),"")</f>
        <v>89721.75</v>
      </c>
      <c r="S25">
        <f ca="1">IFERROR(IF(0=LEN(ReferenceData!$S$25),"",ReferenceData!$S$25),"")</f>
        <v>77680.25</v>
      </c>
      <c r="T25">
        <f ca="1">IFERROR(IF(0=LEN(ReferenceData!$T$25),"",ReferenceData!$T$25),"")</f>
        <v>102319.25</v>
      </c>
      <c r="U25">
        <f ca="1">IFERROR(IF(0=LEN(ReferenceData!$U$25),"",ReferenceData!$U$25),"")</f>
        <v>103899</v>
      </c>
      <c r="V25">
        <f ca="1">IFERROR(IF(0=LEN(ReferenceData!$V$25),"",ReferenceData!$V$25),"")</f>
        <v>93889.5</v>
      </c>
      <c r="W25">
        <f ca="1">IFERROR(IF(0=LEN(ReferenceData!$W$25),"",ReferenceData!$W$25),"")</f>
        <v>125655.5</v>
      </c>
      <c r="X25">
        <f ca="1">IFERROR(IF(0=LEN(ReferenceData!$X$25),"",ReferenceData!$X$25),"")</f>
        <v>99878</v>
      </c>
      <c r="Y25">
        <f ca="1">IFERROR(IF(0=LEN(ReferenceData!$Y$25),"",ReferenceData!$Y$25),"")</f>
        <v>111781.25</v>
      </c>
      <c r="Z25">
        <f ca="1">IFERROR(IF(0=LEN(ReferenceData!$Z$25),"",ReferenceData!$Z$25),"")</f>
        <v>95441</v>
      </c>
      <c r="AA25">
        <f ca="1">IFERROR(IF(0=LEN(ReferenceData!$AA$25),"",ReferenceData!$AA$25),"")</f>
        <v>100185.25</v>
      </c>
      <c r="AB25">
        <f ca="1">IFERROR(IF(0=LEN(ReferenceData!$AB$25),"",ReferenceData!$AB$25),"")</f>
        <v>70871.75</v>
      </c>
      <c r="AC25">
        <f ca="1">IFERROR(IF(0=LEN(ReferenceData!$AC$25),"",ReferenceData!$AC$25),"")</f>
        <v>82741.350000000006</v>
      </c>
      <c r="AD25">
        <f ca="1">IFERROR(IF(0=LEN(ReferenceData!$AD$25),"",ReferenceData!$AD$25),"")</f>
        <v>98251.25</v>
      </c>
      <c r="AE25">
        <f ca="1">IFERROR(IF(0=LEN(ReferenceData!$AE$25),"",ReferenceData!$AE$25),"")</f>
        <v>75713.5</v>
      </c>
      <c r="AF25">
        <f ca="1">IFERROR(IF(0=LEN(ReferenceData!$AF$25),"",ReferenceData!$AF$25),"")</f>
        <v>101292</v>
      </c>
      <c r="AG25">
        <f ca="1">IFERROR(IF(0=LEN(ReferenceData!$AG$25),"",ReferenceData!$AG$25),"")</f>
        <v>91439.5</v>
      </c>
      <c r="AH25">
        <f ca="1">IFERROR(IF(0=LEN(ReferenceData!$AH$25),"",ReferenceData!$AH$25),"")</f>
        <v>96066.75</v>
      </c>
      <c r="AI25">
        <f ca="1">IFERROR(IF(0=LEN(ReferenceData!$AI$25),"",ReferenceData!$AI$25),"")</f>
        <v>109886</v>
      </c>
      <c r="AJ25">
        <f ca="1">IFERROR(IF(0=LEN(ReferenceData!$AJ$25),"",ReferenceData!$AJ$25),"")</f>
        <v>114448.5</v>
      </c>
      <c r="AK25">
        <f ca="1">IFERROR(IF(0=LEN(ReferenceData!$AK$25),"",ReferenceData!$AK$25),"")</f>
        <v>122899</v>
      </c>
      <c r="AL25">
        <f ca="1">IFERROR(IF(0=LEN(ReferenceData!$AL$25),"",ReferenceData!$AL$25),"")</f>
        <v>101208.15</v>
      </c>
      <c r="AM25">
        <f ca="1">IFERROR(IF(0=LEN(ReferenceData!$AM$25),"",ReferenceData!$AM$25),"")</f>
        <v>119326.75</v>
      </c>
      <c r="AN25">
        <f ca="1">IFERROR(IF(0=LEN(ReferenceData!$AN$25),"",ReferenceData!$AN$25),"")</f>
        <v>120265</v>
      </c>
      <c r="AO25">
        <f ca="1">IFERROR(IF(0=LEN(ReferenceData!$AO$25),"",ReferenceData!$AO$25),"")</f>
        <v>130916.5</v>
      </c>
      <c r="AP25">
        <f ca="1">IFERROR(IF(0=LEN(ReferenceData!$AP$25),"",ReferenceData!$AP$25),"")</f>
        <v>143935.75</v>
      </c>
      <c r="AQ25">
        <f ca="1">IFERROR(IF(0=LEN(ReferenceData!$AQ$25),"",ReferenceData!$AQ$25),"")</f>
        <v>130396.75</v>
      </c>
      <c r="AR25">
        <f ca="1">IFERROR(IF(0=LEN(ReferenceData!$AR$25),"",ReferenceData!$AR$25),"")</f>
        <v>131428.75</v>
      </c>
      <c r="AS25">
        <f ca="1">IFERROR(IF(0=LEN(ReferenceData!$AS$25),"",ReferenceData!$AS$25),"")</f>
        <v>126353.7</v>
      </c>
      <c r="AT25">
        <f ca="1">IFERROR(IF(0=LEN(ReferenceData!$AT$25),"",ReferenceData!$AT$25),"")</f>
        <v>109585.75</v>
      </c>
      <c r="AU25">
        <f ca="1">IFERROR(IF(0=LEN(ReferenceData!$AU$25),"",ReferenceData!$AU$25),"")</f>
        <v>104382</v>
      </c>
      <c r="AV25">
        <f ca="1">IFERROR(IF(0=LEN(ReferenceData!$AV$25),"",ReferenceData!$AV$25),"")</f>
        <v>130321.25</v>
      </c>
      <c r="AW25">
        <f ca="1">IFERROR(IF(0=LEN(ReferenceData!$AW$25),"",ReferenceData!$AW$25),"")</f>
        <v>121146</v>
      </c>
      <c r="AX25">
        <f ca="1">IFERROR(IF(0=LEN(ReferenceData!$AX$25),"",ReferenceData!$AX$25),"")</f>
        <v>134468.5</v>
      </c>
      <c r="AY25">
        <f ca="1">IFERROR(IF(0=LEN(ReferenceData!$AY$25),"",ReferenceData!$AY$25),"")</f>
        <v>148206</v>
      </c>
      <c r="AZ25">
        <f ca="1">IFERROR(IF(0=LEN(ReferenceData!$AZ$25),"",ReferenceData!$AZ$25),"")</f>
        <v>130228.5</v>
      </c>
      <c r="BA25">
        <f ca="1">IFERROR(IF(0=LEN(ReferenceData!$BA$25),"",ReferenceData!$BA$25),"")</f>
        <v>138544.5</v>
      </c>
      <c r="BB25">
        <f ca="1">IFERROR(IF(0=LEN(ReferenceData!$BB$25),"",ReferenceData!$BB$25),"")</f>
        <v>140331.5</v>
      </c>
      <c r="BC25">
        <f ca="1">IFERROR(IF(0=LEN(ReferenceData!$BC$25),"",ReferenceData!$BC$25),"")</f>
        <v>130768.5</v>
      </c>
      <c r="BD25">
        <f ca="1">IFERROR(IF(0=LEN(ReferenceData!$BD$25),"",ReferenceData!$BD$25),"")</f>
        <v>146284</v>
      </c>
      <c r="BE25">
        <f ca="1">IFERROR(IF(0=LEN(ReferenceData!$BE$25),"",ReferenceData!$BE$25),"")</f>
        <v>161340.25</v>
      </c>
      <c r="BF25">
        <f ca="1">IFERROR(IF(0=LEN(ReferenceData!$BF$25),"",ReferenceData!$BF$25),"")</f>
        <v>139318</v>
      </c>
      <c r="BG25">
        <f ca="1">IFERROR(IF(0=LEN(ReferenceData!$BG$25),"",ReferenceData!$BG$25),"")</f>
        <v>167357.25</v>
      </c>
      <c r="BH25">
        <f ca="1">IFERROR(IF(0=LEN(ReferenceData!$BH$25),"",ReferenceData!$BH$25),"")</f>
        <v>155532.75</v>
      </c>
      <c r="BI25">
        <f ca="1">IFERROR(IF(0=LEN(ReferenceData!$BI$25),"",ReferenceData!$BI$25),"")</f>
        <v>158923.75</v>
      </c>
      <c r="BJ25">
        <f ca="1">IFERROR(IF(0=LEN(ReferenceData!$BJ$25),"",ReferenceData!$BJ$25),"")</f>
        <v>142554.5</v>
      </c>
      <c r="BK25">
        <f ca="1">IFERROR(IF(0=LEN(ReferenceData!$BK$25),"",ReferenceData!$BK$25),"")</f>
        <v>144993</v>
      </c>
      <c r="BL25">
        <f ca="1">IFERROR(IF(0=LEN(ReferenceData!$BL$25),"",ReferenceData!$BL$25),"")</f>
        <v>147965.4</v>
      </c>
      <c r="BM25">
        <f ca="1">IFERROR(IF(0=LEN(ReferenceData!$BM$25),"",ReferenceData!$BM$25),"")</f>
        <v>152527</v>
      </c>
      <c r="BN25">
        <f ca="1">IFERROR(IF(0=LEN(ReferenceData!$BN$25),"",ReferenceData!$BN$25),"")</f>
        <v>173823.9</v>
      </c>
      <c r="BO25">
        <f ca="1">IFERROR(IF(0=LEN(ReferenceData!$BO$25),"",ReferenceData!$BO$25),"")</f>
        <v>146999.5</v>
      </c>
      <c r="BP25">
        <f ca="1">IFERROR(IF(0=LEN(ReferenceData!$BP$25),"",ReferenceData!$BP$25),"")</f>
        <v>162465.5</v>
      </c>
      <c r="BQ25">
        <f ca="1">IFERROR(IF(0=LEN(ReferenceData!$BQ$25),"",ReferenceData!$BQ$25),"")</f>
        <v>167991.75</v>
      </c>
      <c r="BR25">
        <f ca="1">IFERROR(IF(0=LEN(ReferenceData!$BR$25),"",ReferenceData!$BR$25),"")</f>
        <v>147563.25</v>
      </c>
      <c r="BS25">
        <f ca="1">IFERROR(IF(0=LEN(ReferenceData!$BS$25),"",ReferenceData!$BS$25),"")</f>
        <v>168680.75</v>
      </c>
      <c r="BT25">
        <f ca="1">IFERROR(IF(0=LEN(ReferenceData!$BT$25),"",ReferenceData!$BT$25),"")</f>
        <v>164703.65</v>
      </c>
      <c r="BU25">
        <f ca="1">IFERROR(IF(0=LEN(ReferenceData!$BU$25),"",ReferenceData!$BU$25),"")</f>
        <v>163706.65</v>
      </c>
      <c r="BV25">
        <f ca="1">IFERROR(IF(0=LEN(ReferenceData!$BV$25),"",ReferenceData!$BV$25),"")</f>
        <v>157591.25</v>
      </c>
      <c r="BW25">
        <f ca="1">IFERROR(IF(0=LEN(ReferenceData!$BW$25),"",ReferenceData!$BW$25),"")</f>
        <v>150035.25</v>
      </c>
      <c r="BX25">
        <f ca="1">IFERROR(IF(0=LEN(ReferenceData!$BX$25),"",ReferenceData!$BX$25),"")</f>
        <v>152865.5</v>
      </c>
      <c r="BY25">
        <f ca="1">IFERROR(IF(0=LEN(ReferenceData!$BY$25),"",ReferenceData!$BY$25),"")</f>
        <v>177913</v>
      </c>
      <c r="BZ25">
        <f ca="1">IFERROR(IF(0=LEN(ReferenceData!$BZ$25),"",ReferenceData!$BZ$25),"")</f>
        <v>144209.75</v>
      </c>
      <c r="CA25">
        <f ca="1">IFERROR(IF(0=LEN(ReferenceData!$CA$25),"",ReferenceData!$CA$25),"")</f>
        <v>128445.5</v>
      </c>
      <c r="CB25">
        <f ca="1">IFERROR(IF(0=LEN(ReferenceData!$CB$25),"",ReferenceData!$CB$25),"")</f>
        <v>159197</v>
      </c>
      <c r="CC25">
        <f ca="1">IFERROR(IF(0=LEN(ReferenceData!$CC$25),"",ReferenceData!$CC$25),"")</f>
        <v>154925.75</v>
      </c>
      <c r="CD25">
        <f ca="1">IFERROR(IF(0=LEN(ReferenceData!$CD$25),"",ReferenceData!$CD$25),"")</f>
        <v>145527.5</v>
      </c>
      <c r="CE25">
        <f ca="1">IFERROR(IF(0=LEN(ReferenceData!$CE$25),"",ReferenceData!$CE$25),"")</f>
        <v>169639</v>
      </c>
      <c r="CF25">
        <f ca="1">IFERROR(IF(0=LEN(ReferenceData!$CF$25),"",ReferenceData!$CF$25),"")</f>
        <v>157661.5</v>
      </c>
      <c r="CG25">
        <f ca="1">IFERROR(IF(0=LEN(ReferenceData!$CG$25),"",ReferenceData!$CG$25),"")</f>
        <v>191771.75</v>
      </c>
      <c r="CH25">
        <f ca="1">IFERROR(IF(0=LEN(ReferenceData!$CH$25),"",ReferenceData!$CH$25),"")</f>
        <v>155357.65</v>
      </c>
      <c r="CI25">
        <f ca="1">IFERROR(IF(0=LEN(ReferenceData!$CI$25),"",ReferenceData!$CI$25),"")</f>
        <v>162420</v>
      </c>
      <c r="CJ25">
        <f ca="1">IFERROR(IF(0=LEN(ReferenceData!$CJ$25),"",ReferenceData!$CJ$25),"")</f>
        <v>164900.5</v>
      </c>
      <c r="CK25">
        <f ca="1">IFERROR(IF(0=LEN(ReferenceData!$CK$25),"",ReferenceData!$CK$25),"")</f>
        <v>177359.75</v>
      </c>
    </row>
    <row r="26" spans="1:89" x14ac:dyDescent="0.25">
      <c r="A26" t="str">
        <f>IFERROR(IF(0=LEN(ReferenceData!$A$26),"",ReferenceData!$A$26),"")</f>
        <v xml:space="preserve">        Empty Containers (TEU)</v>
      </c>
      <c r="B26" t="str">
        <f>IFERROR(IF(0=LEN(ReferenceData!$B$26),"",ReferenceData!$B$26),"")</f>
        <v>LALBLAEM Index</v>
      </c>
      <c r="C26" t="str">
        <f>IFERROR(IF(0=LEN(ReferenceData!$C$26),"",ReferenceData!$C$26),"")</f>
        <v>PX385</v>
      </c>
      <c r="D26" t="str">
        <f>IFERROR(IF(0=LEN(ReferenceData!$D$26),"",ReferenceData!$D$26),"")</f>
        <v>INTERVAL_SUM</v>
      </c>
      <c r="E26" t="str">
        <f>IFERROR(IF(0=LEN(ReferenceData!$E$26),"",ReferenceData!$E$26),"")</f>
        <v>Dynamic</v>
      </c>
      <c r="F26" t="str">
        <f ca="1">IFERROR(IF(0=LEN(ReferenceData!$F$26),"",ReferenceData!$F$26),"")</f>
        <v/>
      </c>
      <c r="G26">
        <f ca="1">IFERROR(IF(0=LEN(ReferenceData!$G$26),"",ReferenceData!$G$26),"")</f>
        <v>235196.5</v>
      </c>
      <c r="H26">
        <f ca="1">IFERROR(IF(0=LEN(ReferenceData!$H$26),"",ReferenceData!$H$26),"")</f>
        <v>269803.95</v>
      </c>
      <c r="I26">
        <f ca="1">IFERROR(IF(0=LEN(ReferenceData!$I$26),"",ReferenceData!$I$26),"")</f>
        <v>209710.2</v>
      </c>
      <c r="J26">
        <f ca="1">IFERROR(IF(0=LEN(ReferenceData!$J$26),"",ReferenceData!$J$26),"")</f>
        <v>289679.3</v>
      </c>
      <c r="K26">
        <f ca="1">IFERROR(IF(0=LEN(ReferenceData!$K$26),"",ReferenceData!$K$26),"")</f>
        <v>268249</v>
      </c>
      <c r="L26">
        <f ca="1">IFERROR(IF(0=LEN(ReferenceData!$L$26),"",ReferenceData!$L$26),"")</f>
        <v>256219.5</v>
      </c>
      <c r="M26">
        <f ca="1">IFERROR(IF(0=LEN(ReferenceData!$M$26),"",ReferenceData!$M$26),"")</f>
        <v>204995.55</v>
      </c>
      <c r="N26">
        <f ca="1">IFERROR(IF(0=LEN(ReferenceData!$N$26),"",ReferenceData!$N$26),"")</f>
        <v>156034.70000000001</v>
      </c>
      <c r="O26">
        <f ca="1">IFERROR(IF(0=LEN(ReferenceData!$O$26),"",ReferenceData!$O$26),"")</f>
        <v>251250.7</v>
      </c>
      <c r="P26">
        <f ca="1">IFERROR(IF(0=LEN(ReferenceData!$P$26),"",ReferenceData!$P$26),"")</f>
        <v>280307.15000000002</v>
      </c>
      <c r="Q26">
        <f ca="1">IFERROR(IF(0=LEN(ReferenceData!$Q$26),"",ReferenceData!$Q$26),"")</f>
        <v>242147.95</v>
      </c>
      <c r="R26">
        <f ca="1">IFERROR(IF(0=LEN(ReferenceData!$R$26),"",ReferenceData!$R$26),"")</f>
        <v>252400.8</v>
      </c>
      <c r="S26">
        <f ca="1">IFERROR(IF(0=LEN(ReferenceData!$S$26),"",ReferenceData!$S$26),"")</f>
        <v>288731.40000000002</v>
      </c>
      <c r="T26">
        <f ca="1">IFERROR(IF(0=LEN(ReferenceData!$T$26),"",ReferenceData!$T$26),"")</f>
        <v>299393.5</v>
      </c>
      <c r="U26">
        <f ca="1">IFERROR(IF(0=LEN(ReferenceData!$U$26),"",ReferenceData!$U$26),"")</f>
        <v>346072.55</v>
      </c>
      <c r="V26">
        <f ca="1">IFERROR(IF(0=LEN(ReferenceData!$V$26),"",ReferenceData!$V$26),"")</f>
        <v>338041.4</v>
      </c>
      <c r="W26">
        <f ca="1">IFERROR(IF(0=LEN(ReferenceData!$W$26),"",ReferenceData!$W$26),"")</f>
        <v>342284.5</v>
      </c>
      <c r="X26">
        <f ca="1">IFERROR(IF(0=LEN(ReferenceData!$X$26),"",ReferenceData!$X$26),"")</f>
        <v>330809.8</v>
      </c>
      <c r="Y26">
        <f ca="1">IFERROR(IF(0=LEN(ReferenceData!$Y$26),"",ReferenceData!$Y$26),"")</f>
        <v>351697</v>
      </c>
      <c r="Z26">
        <f ca="1">IFERROR(IF(0=LEN(ReferenceData!$Z$26),"",ReferenceData!$Z$26),"")</f>
        <v>338250.55</v>
      </c>
      <c r="AA26">
        <f ca="1">IFERROR(IF(0=LEN(ReferenceData!$AA$26),"",ReferenceData!$AA$26),"")</f>
        <v>338202.4</v>
      </c>
      <c r="AB26">
        <f ca="1">IFERROR(IF(0=LEN(ReferenceData!$AB$26),"",ReferenceData!$AB$26),"")</f>
        <v>330466.3</v>
      </c>
      <c r="AC26">
        <f ca="1">IFERROR(IF(0=LEN(ReferenceData!$AC$26),"",ReferenceData!$AC$26),"")</f>
        <v>325274.65000000002</v>
      </c>
      <c r="AD26">
        <f ca="1">IFERROR(IF(0=LEN(ReferenceData!$AD$26),"",ReferenceData!$AD$26),"")</f>
        <v>337106</v>
      </c>
      <c r="AE26">
        <f ca="1">IFERROR(IF(0=LEN(ReferenceData!$AE$26),"",ReferenceData!$AE$26),"")</f>
        <v>360091.95</v>
      </c>
      <c r="AF26">
        <f ca="1">IFERROR(IF(0=LEN(ReferenceData!$AF$26),"",ReferenceData!$AF$26),"")</f>
        <v>367413.2</v>
      </c>
      <c r="AG26">
        <f ca="1">IFERROR(IF(0=LEN(ReferenceData!$AG$26),"",ReferenceData!$AG$26),"")</f>
        <v>329999.45</v>
      </c>
      <c r="AH26">
        <f ca="1">IFERROR(IF(0=LEN(ReferenceData!$AH$26),"",ReferenceData!$AH$26),"")</f>
        <v>312600.34999999998</v>
      </c>
      <c r="AI26">
        <f ca="1">IFERROR(IF(0=LEN(ReferenceData!$AI$26),"",ReferenceData!$AI$26),"")</f>
        <v>366447.65</v>
      </c>
      <c r="AJ26">
        <f ca="1">IFERROR(IF(0=LEN(ReferenceData!$AJ$26),"",ReferenceData!$AJ$26),"")</f>
        <v>342391</v>
      </c>
      <c r="AK26">
        <f ca="1">IFERROR(IF(0=LEN(ReferenceData!$AK$26),"",ReferenceData!$AK$26),"")</f>
        <v>344585.25</v>
      </c>
      <c r="AL26">
        <f ca="1">IFERROR(IF(0=LEN(ReferenceData!$AL$26),"",ReferenceData!$AL$26),"")</f>
        <v>285223</v>
      </c>
      <c r="AM26">
        <f ca="1">IFERROR(IF(0=LEN(ReferenceData!$AM$26),"",ReferenceData!$AM$26),"")</f>
        <v>278580.25</v>
      </c>
      <c r="AN26">
        <f ca="1">IFERROR(IF(0=LEN(ReferenceData!$AN$26),"",ReferenceData!$AN$26),"")</f>
        <v>298056.05</v>
      </c>
      <c r="AO26">
        <f ca="1">IFERROR(IF(0=LEN(ReferenceData!$AO$26),"",ReferenceData!$AO$26),"")</f>
        <v>294009.95</v>
      </c>
      <c r="AP26">
        <f ca="1">IFERROR(IF(0=LEN(ReferenceData!$AP$26),"",ReferenceData!$AP$26),"")</f>
        <v>330179.59999999998</v>
      </c>
      <c r="AQ26">
        <f ca="1">IFERROR(IF(0=LEN(ReferenceData!$AQ$26),"",ReferenceData!$AQ$26),"")</f>
        <v>281433.55</v>
      </c>
      <c r="AR26">
        <f ca="1">IFERROR(IF(0=LEN(ReferenceData!$AR$26),"",ReferenceData!$AR$26),"")</f>
        <v>314118.05</v>
      </c>
      <c r="AS26">
        <f ca="1">IFERROR(IF(0=LEN(ReferenceData!$AS$26),"",ReferenceData!$AS$26),"")</f>
        <v>274006.75</v>
      </c>
      <c r="AT26">
        <f ca="1">IFERROR(IF(0=LEN(ReferenceData!$AT$26),"",ReferenceData!$AT$26),"")</f>
        <v>212700.75</v>
      </c>
      <c r="AU26">
        <f ca="1">IFERROR(IF(0=LEN(ReferenceData!$AU$26),"",ReferenceData!$AU$26),"")</f>
        <v>170959.75</v>
      </c>
      <c r="AV26">
        <f ca="1">IFERROR(IF(0=LEN(ReferenceData!$AV$26),"",ReferenceData!$AV$26),"")</f>
        <v>188566.75</v>
      </c>
      <c r="AW26">
        <f ca="1">IFERROR(IF(0=LEN(ReferenceData!$AW$26),"",ReferenceData!$AW$26),"")</f>
        <v>108167.75</v>
      </c>
      <c r="AX26">
        <f ca="1">IFERROR(IF(0=LEN(ReferenceData!$AX$26),"",ReferenceData!$AX$26),"")</f>
        <v>139543.75</v>
      </c>
      <c r="AY26">
        <f ca="1">IFERROR(IF(0=LEN(ReferenceData!$AY$26),"",ReferenceData!$AY$26),"")</f>
        <v>243206.9</v>
      </c>
      <c r="AZ26">
        <f ca="1">IFERROR(IF(0=LEN(ReferenceData!$AZ$26),"",ReferenceData!$AZ$26),"")</f>
        <v>243010.25</v>
      </c>
      <c r="BA26">
        <f ca="1">IFERROR(IF(0=LEN(ReferenceData!$BA$26),"",ReferenceData!$BA$26),"")</f>
        <v>219023.7</v>
      </c>
      <c r="BB26">
        <f ca="1">IFERROR(IF(0=LEN(ReferenceData!$BB$26),"",ReferenceData!$BB$26),"")</f>
        <v>237088.4</v>
      </c>
      <c r="BC26">
        <f ca="1">IFERROR(IF(0=LEN(ReferenceData!$BC$26),"",ReferenceData!$BC$26),"")</f>
        <v>246814.4</v>
      </c>
      <c r="BD26">
        <f ca="1">IFERROR(IF(0=LEN(ReferenceData!$BD$26),"",ReferenceData!$BD$26),"")</f>
        <v>277183.55</v>
      </c>
      <c r="BE26">
        <f ca="1">IFERROR(IF(0=LEN(ReferenceData!$BE$26),"",ReferenceData!$BE$26),"")</f>
        <v>274375.7</v>
      </c>
      <c r="BF26">
        <f ca="1">IFERROR(IF(0=LEN(ReferenceData!$BF$26),"",ReferenceData!$BF$26),"")</f>
        <v>229152.75</v>
      </c>
      <c r="BG26">
        <f ca="1">IFERROR(IF(0=LEN(ReferenceData!$BG$26),"",ReferenceData!$BG$26),"")</f>
        <v>233515.9</v>
      </c>
      <c r="BH26">
        <f ca="1">IFERROR(IF(0=LEN(ReferenceData!$BH$26),"",ReferenceData!$BH$26),"")</f>
        <v>220188.55</v>
      </c>
      <c r="BI26">
        <f ca="1">IFERROR(IF(0=LEN(ReferenceData!$BI$26),"",ReferenceData!$BI$26),"")</f>
        <v>194866.45</v>
      </c>
      <c r="BJ26">
        <f ca="1">IFERROR(IF(0=LEN(ReferenceData!$BJ$26),"",ReferenceData!$BJ$26),"")</f>
        <v>214436.3</v>
      </c>
      <c r="BK26">
        <f ca="1">IFERROR(IF(0=LEN(ReferenceData!$BK$26),"",ReferenceData!$BK$26),"")</f>
        <v>277533.75</v>
      </c>
      <c r="BL26">
        <f ca="1">IFERROR(IF(0=LEN(ReferenceData!$BL$26),"",ReferenceData!$BL$26),"")</f>
        <v>286386.90000000002</v>
      </c>
      <c r="BM26">
        <f ca="1">IFERROR(IF(0=LEN(ReferenceData!$BM$26),"",ReferenceData!$BM$26),"")</f>
        <v>257011.25</v>
      </c>
      <c r="BN26">
        <f ca="1">IFERROR(IF(0=LEN(ReferenceData!$BN$26),"",ReferenceData!$BN$26),"")</f>
        <v>292906.3</v>
      </c>
      <c r="BO26">
        <f ca="1">IFERROR(IF(0=LEN(ReferenceData!$BO$26),"",ReferenceData!$BO$26),"")</f>
        <v>239983.15</v>
      </c>
      <c r="BP26">
        <f ca="1">IFERROR(IF(0=LEN(ReferenceData!$BP$26),"",ReferenceData!$BP$26),"")</f>
        <v>243599.65</v>
      </c>
      <c r="BQ26">
        <f ca="1">IFERROR(IF(0=LEN(ReferenceData!$BQ$26),"",ReferenceData!$BQ$26),"")</f>
        <v>227411.55</v>
      </c>
      <c r="BR26">
        <f ca="1">IFERROR(IF(0=LEN(ReferenceData!$BR$26),"",ReferenceData!$BR$26),"")</f>
        <v>192613.9</v>
      </c>
      <c r="BS26">
        <f ca="1">IFERROR(IF(0=LEN(ReferenceData!$BS$26),"",ReferenceData!$BS$26),"")</f>
        <v>194536.8</v>
      </c>
      <c r="BT26">
        <f ca="1">IFERROR(IF(0=LEN(ReferenceData!$BT$26),"",ReferenceData!$BT$26),"")</f>
        <v>179724</v>
      </c>
      <c r="BU26">
        <f ca="1">IFERROR(IF(0=LEN(ReferenceData!$BU$26),"",ReferenceData!$BU$26),"")</f>
        <v>149699.20000000001</v>
      </c>
      <c r="BV26">
        <f ca="1">IFERROR(IF(0=LEN(ReferenceData!$BV$26),"",ReferenceData!$BV$26),"")</f>
        <v>184378.65</v>
      </c>
      <c r="BW26">
        <f ca="1">IFERROR(IF(0=LEN(ReferenceData!$BW$26),"",ReferenceData!$BW$26),"")</f>
        <v>235861.3</v>
      </c>
      <c r="BX26">
        <f ca="1">IFERROR(IF(0=LEN(ReferenceData!$BX$26),"",ReferenceData!$BX$26),"")</f>
        <v>240853.4</v>
      </c>
      <c r="BY26">
        <f ca="1">IFERROR(IF(0=LEN(ReferenceData!$BY$26),"",ReferenceData!$BY$26),"")</f>
        <v>282621.84999999998</v>
      </c>
      <c r="BZ26">
        <f ca="1">IFERROR(IF(0=LEN(ReferenceData!$BZ$26),"",ReferenceData!$BZ$26),"")</f>
        <v>221167.45</v>
      </c>
      <c r="CA26">
        <f ca="1">IFERROR(IF(0=LEN(ReferenceData!$CA$26),"",ReferenceData!$CA$26),"")</f>
        <v>246668.95</v>
      </c>
      <c r="CB26">
        <f ca="1">IFERROR(IF(0=LEN(ReferenceData!$CB$26),"",ReferenceData!$CB$26),"")</f>
        <v>256180.9</v>
      </c>
      <c r="CC26">
        <f ca="1">IFERROR(IF(0=LEN(ReferenceData!$CC$26),"",ReferenceData!$CC$26),"")</f>
        <v>224787.5</v>
      </c>
      <c r="CD26">
        <f ca="1">IFERROR(IF(0=LEN(ReferenceData!$CD$26),"",ReferenceData!$CD$26),"")</f>
        <v>213232.75</v>
      </c>
      <c r="CE26">
        <f ca="1">IFERROR(IF(0=LEN(ReferenceData!$CE$26),"",ReferenceData!$CE$26),"")</f>
        <v>213556.4</v>
      </c>
      <c r="CF26">
        <f ca="1">IFERROR(IF(0=LEN(ReferenceData!$CF$26),"",ReferenceData!$CF$26),"")</f>
        <v>185052.65</v>
      </c>
      <c r="CG26">
        <f ca="1">IFERROR(IF(0=LEN(ReferenceData!$CG$26),"",ReferenceData!$CG$26),"")</f>
        <v>223203</v>
      </c>
      <c r="CH26">
        <f ca="1">IFERROR(IF(0=LEN(ReferenceData!$CH$26),"",ReferenceData!$CH$26),"")</f>
        <v>171048.55</v>
      </c>
      <c r="CI26">
        <f ca="1">IFERROR(IF(0=LEN(ReferenceData!$CI$26),"",ReferenceData!$CI$26),"")</f>
        <v>248796.85</v>
      </c>
      <c r="CJ26">
        <f ca="1">IFERROR(IF(0=LEN(ReferenceData!$CJ$26),"",ReferenceData!$CJ$26),"")</f>
        <v>237418.6</v>
      </c>
      <c r="CK26">
        <f ca="1">IFERROR(IF(0=LEN(ReferenceData!$CK$26),"",ReferenceData!$CK$26),"")</f>
        <v>263154.25</v>
      </c>
    </row>
    <row r="27" spans="1:89" x14ac:dyDescent="0.25">
      <c r="A27" t="str">
        <f>IFERROR(IF(0=LEN(ReferenceData!$A$27),"",ReferenceData!$A$27),"")</f>
        <v xml:space="preserve">    Port of Long Beach (TEU)</v>
      </c>
      <c r="B27" t="str">
        <f>IFERROR(IF(0=LEN(ReferenceData!$B$27),"",ReferenceData!$B$27),"")</f>
        <v/>
      </c>
      <c r="C27" t="str">
        <f>IFERROR(IF(0=LEN(ReferenceData!$C$27),"",ReferenceData!$C$27),"")</f>
        <v/>
      </c>
      <c r="D27" t="str">
        <f>IFERROR(IF(0=LEN(ReferenceData!$D$27),"",ReferenceData!$D$27),"")</f>
        <v/>
      </c>
      <c r="E27" t="str">
        <f>IFERROR(IF(0=LEN(ReferenceData!$E$27),"",ReferenceData!$E$27),"")</f>
        <v>Sum</v>
      </c>
      <c r="F27" t="str">
        <f ca="1">IFERROR(IF(0=LEN(ReferenceData!$F$27),"",ReferenceData!$F$27),"")</f>
        <v/>
      </c>
      <c r="G27">
        <f ca="1">IFERROR(IF(0=LEN(ReferenceData!$G$27),"",ReferenceData!$G$27),"")</f>
        <v>829429</v>
      </c>
      <c r="H27">
        <f ca="1">IFERROR(IF(0=LEN(ReferenceData!$H$27),"",ReferenceData!$H$27),"")</f>
        <v>682313</v>
      </c>
      <c r="I27">
        <f ca="1">IFERROR(IF(0=LEN(ReferenceData!$I$27),"",ReferenceData!$I$27),"")</f>
        <v>578250</v>
      </c>
      <c r="J27">
        <f ca="1">IFERROR(IF(0=LEN(ReferenceData!$J$27),"",ReferenceData!$J$27),"")</f>
        <v>597076</v>
      </c>
      <c r="K27">
        <f ca="1">IFERROR(IF(0=LEN(ReferenceData!$K$27),"",ReferenceData!$K$27),"")</f>
        <v>758226</v>
      </c>
      <c r="L27">
        <f ca="1">IFERROR(IF(0=LEN(ReferenceData!$L$27),"",ReferenceData!$L$27),"")</f>
        <v>656049</v>
      </c>
      <c r="M27">
        <f ca="1">IFERROR(IF(0=LEN(ReferenceData!$M$27),"",ReferenceData!$M$27),"")</f>
        <v>603879</v>
      </c>
      <c r="N27">
        <f ca="1">IFERROR(IF(0=LEN(ReferenceData!$N$27),"",ReferenceData!$N$27),"")</f>
        <v>543676</v>
      </c>
      <c r="O27">
        <f ca="1">IFERROR(IF(0=LEN(ReferenceData!$O$27),"",ReferenceData!$O$27),"")</f>
        <v>573773</v>
      </c>
      <c r="P27">
        <f ca="1">IFERROR(IF(0=LEN(ReferenceData!$P$27),"",ReferenceData!$P$27),"")</f>
        <v>544105</v>
      </c>
      <c r="Q27">
        <f ca="1">IFERROR(IF(0=LEN(ReferenceData!$Q$27),"",ReferenceData!$Q$27),"")</f>
        <v>588743</v>
      </c>
      <c r="R27">
        <f ca="1">IFERROR(IF(0=LEN(ReferenceData!$R$27),"",ReferenceData!$R$27),"")</f>
        <v>658428</v>
      </c>
      <c r="S27">
        <f ca="1">IFERROR(IF(0=LEN(ReferenceData!$S$27),"",ReferenceData!$S$27),"")</f>
        <v>741823</v>
      </c>
      <c r="T27">
        <f ca="1">IFERROR(IF(0=LEN(ReferenceData!$T$27),"",ReferenceData!$T$27),"")</f>
        <v>806940</v>
      </c>
      <c r="U27">
        <f ca="1">IFERROR(IF(0=LEN(ReferenceData!$U$27),"",ReferenceData!$U$27),"")</f>
        <v>785843</v>
      </c>
      <c r="V27">
        <f ca="1">IFERROR(IF(0=LEN(ReferenceData!$V$27),"",ReferenceData!$V$27),"")</f>
        <v>835412</v>
      </c>
      <c r="W27">
        <f ca="1">IFERROR(IF(0=LEN(ReferenceData!$W$27),"",ReferenceData!$W$27),"")</f>
        <v>890989</v>
      </c>
      <c r="X27">
        <f ca="1">IFERROR(IF(0=LEN(ReferenceData!$X$27),"",ReferenceData!$X$27),"")</f>
        <v>820719</v>
      </c>
      <c r="Y27">
        <f ca="1">IFERROR(IF(0=LEN(ReferenceData!$Y$27),"",ReferenceData!$Y$27),"")</f>
        <v>863156</v>
      </c>
      <c r="Z27">
        <f ca="1">IFERROR(IF(0=LEN(ReferenceData!$Z$27),"",ReferenceData!$Z$27),"")</f>
        <v>796560</v>
      </c>
      <c r="AA27">
        <f ca="1">IFERROR(IF(0=LEN(ReferenceData!$AA$27),"",ReferenceData!$AA$27),"")</f>
        <v>800944</v>
      </c>
      <c r="AB27">
        <f ca="1">IFERROR(IF(0=LEN(ReferenceData!$AB$27),"",ReferenceData!$AB$27),"")</f>
        <v>754314</v>
      </c>
      <c r="AC27">
        <f ca="1">IFERROR(IF(0=LEN(ReferenceData!$AC$27),"",ReferenceData!$AC$27),"")</f>
        <v>745489</v>
      </c>
      <c r="AD27">
        <f ca="1">IFERROR(IF(0=LEN(ReferenceData!$AD$27),"",ReferenceData!$AD$27),"")</f>
        <v>789716</v>
      </c>
      <c r="AE27">
        <f ca="1">IFERROR(IF(0=LEN(ReferenceData!$AE$27),"",ReferenceData!$AE$27),"")</f>
        <v>748473</v>
      </c>
      <c r="AF27">
        <f ca="1">IFERROR(IF(0=LEN(ReferenceData!$AF$27),"",ReferenceData!$AF$27),"")</f>
        <v>807705</v>
      </c>
      <c r="AG27">
        <f ca="1">IFERROR(IF(0=LEN(ReferenceData!$AG$27),"",ReferenceData!$AG$27),"")</f>
        <v>784846</v>
      </c>
      <c r="AH27">
        <f ca="1">IFERROR(IF(0=LEN(ReferenceData!$AH$27),"",ReferenceData!$AH$27),"")</f>
        <v>724297</v>
      </c>
      <c r="AI27">
        <f ca="1">IFERROR(IF(0=LEN(ReferenceData!$AI$27),"",ReferenceData!$AI$27),"")</f>
        <v>907216</v>
      </c>
      <c r="AJ27">
        <f ca="1">IFERROR(IF(0=LEN(ReferenceData!$AJ$27),"",ReferenceData!$AJ$27),"")</f>
        <v>746189</v>
      </c>
      <c r="AK27">
        <f ca="1">IFERROR(IF(0=LEN(ReferenceData!$AK$27),"",ReferenceData!$AK$27),"")</f>
        <v>840386</v>
      </c>
      <c r="AL27">
        <f ca="1">IFERROR(IF(0=LEN(ReferenceData!$AL$27),"",ReferenceData!$AL$27),"")</f>
        <v>771735</v>
      </c>
      <c r="AM27">
        <f ca="1">IFERROR(IF(0=LEN(ReferenceData!$AM$27),"",ReferenceData!$AM$27),"")</f>
        <v>764007</v>
      </c>
      <c r="AN27">
        <f ca="1">IFERROR(IF(0=LEN(ReferenceData!$AN$27),"",ReferenceData!$AN$27),"")</f>
        <v>815886</v>
      </c>
      <c r="AO27">
        <f ca="1">IFERROR(IF(0=LEN(ReferenceData!$AO$27),"",ReferenceData!$AO$27),"")</f>
        <v>783523</v>
      </c>
      <c r="AP27">
        <f ca="1">IFERROR(IF(0=LEN(ReferenceData!$AP$27),"",ReferenceData!$AP$27),"")</f>
        <v>806604</v>
      </c>
      <c r="AQ27">
        <f ca="1">IFERROR(IF(0=LEN(ReferenceData!$AQ$27),"",ReferenceData!$AQ$27),"")</f>
        <v>795580</v>
      </c>
      <c r="AR27">
        <f ca="1">IFERROR(IF(0=LEN(ReferenceData!$AR$27),"",ReferenceData!$AR$27),"")</f>
        <v>725611</v>
      </c>
      <c r="AS27">
        <f ca="1">IFERROR(IF(0=LEN(ReferenceData!$AS$27),"",ReferenceData!$AS$27),"")</f>
        <v>753081</v>
      </c>
      <c r="AT27">
        <f ca="1">IFERROR(IF(0=LEN(ReferenceData!$AT$27),"",ReferenceData!$AT$27),"")</f>
        <v>602180</v>
      </c>
      <c r="AU27">
        <f ca="1">IFERROR(IF(0=LEN(ReferenceData!$AU$27),"",ReferenceData!$AU$27),"")</f>
        <v>628206</v>
      </c>
      <c r="AV27">
        <f ca="1">IFERROR(IF(0=LEN(ReferenceData!$AV$27),"",ReferenceData!$AV$27),"")</f>
        <v>519731</v>
      </c>
      <c r="AW27">
        <f ca="1">IFERROR(IF(0=LEN(ReferenceData!$AW$27),"",ReferenceData!$AW$27),"")</f>
        <v>517664</v>
      </c>
      <c r="AX27">
        <f ca="1">IFERROR(IF(0=LEN(ReferenceData!$AX$27),"",ReferenceData!$AX$27),"")</f>
        <v>538428</v>
      </c>
      <c r="AY27">
        <f ca="1">IFERROR(IF(0=LEN(ReferenceData!$AY$27),"",ReferenceData!$AY$27),"")</f>
        <v>626829</v>
      </c>
      <c r="AZ27">
        <f ca="1">IFERROR(IF(0=LEN(ReferenceData!$AZ$27),"",ReferenceData!$AZ$27),"")</f>
        <v>665261</v>
      </c>
      <c r="BA27">
        <f ca="1">IFERROR(IF(0=LEN(ReferenceData!$BA$27),"",ReferenceData!$BA$27),"")</f>
        <v>599984</v>
      </c>
      <c r="BB27">
        <f ca="1">IFERROR(IF(0=LEN(ReferenceData!$BB$27),"",ReferenceData!$BB$27),"")</f>
        <v>688425</v>
      </c>
      <c r="BC27">
        <f ca="1">IFERROR(IF(0=LEN(ReferenceData!$BC$27),"",ReferenceData!$BC$27),"")</f>
        <v>706955</v>
      </c>
      <c r="BD27">
        <f ca="1">IFERROR(IF(0=LEN(ReferenceData!$BD$27),"",ReferenceData!$BD$27),"")</f>
        <v>663993</v>
      </c>
      <c r="BE27">
        <f ca="1">IFERROR(IF(0=LEN(ReferenceData!$BE$27),"",ReferenceData!$BE$27),"")</f>
        <v>621781</v>
      </c>
      <c r="BF27">
        <f ca="1">IFERROR(IF(0=LEN(ReferenceData!$BF$27),"",ReferenceData!$BF$27),"")</f>
        <v>677168</v>
      </c>
      <c r="BG27">
        <f ca="1">IFERROR(IF(0=LEN(ReferenceData!$BG$27),"",ReferenceData!$BG$27),"")</f>
        <v>573624</v>
      </c>
      <c r="BH27">
        <f ca="1">IFERROR(IF(0=LEN(ReferenceData!$BH$27),"",ReferenceData!$BH$27),"")</f>
        <v>628122</v>
      </c>
      <c r="BI27">
        <f ca="1">IFERROR(IF(0=LEN(ReferenceData!$BI$27),"",ReferenceData!$BI$27),"")</f>
        <v>552821</v>
      </c>
      <c r="BJ27">
        <f ca="1">IFERROR(IF(0=LEN(ReferenceData!$BJ$27),"",ReferenceData!$BJ$27),"")</f>
        <v>596617</v>
      </c>
      <c r="BK27">
        <f ca="1">IFERROR(IF(0=LEN(ReferenceData!$BK$27),"",ReferenceData!$BK$27),"")</f>
        <v>657286</v>
      </c>
      <c r="BL27">
        <f ca="1">IFERROR(IF(0=LEN(ReferenceData!$BL$27),"",ReferenceData!$BL$27),"")</f>
        <v>741647</v>
      </c>
      <c r="BM27">
        <f ca="1">IFERROR(IF(0=LEN(ReferenceData!$BM$27),"",ReferenceData!$BM$27),"")</f>
        <v>621834</v>
      </c>
      <c r="BN27">
        <f ca="1">IFERROR(IF(0=LEN(ReferenceData!$BN$27),"",ReferenceData!$BN$27),"")</f>
        <v>705408</v>
      </c>
      <c r="BO27">
        <f ca="1">IFERROR(IF(0=LEN(ReferenceData!$BO$27),"",ReferenceData!$BO$27),"")</f>
        <v>701205</v>
      </c>
      <c r="BP27">
        <f ca="1">IFERROR(IF(0=LEN(ReferenceData!$BP$27),"",ReferenceData!$BP$27),"")</f>
        <v>679543</v>
      </c>
      <c r="BQ27">
        <f ca="1">IFERROR(IF(0=LEN(ReferenceData!$BQ$27),"",ReferenceData!$BQ$27),"")</f>
        <v>688458</v>
      </c>
      <c r="BR27">
        <f ca="1">IFERROR(IF(0=LEN(ReferenceData!$BR$27),"",ReferenceData!$BR$27),"")</f>
        <v>752189</v>
      </c>
      <c r="BS27">
        <f ca="1">IFERROR(IF(0=LEN(ReferenceData!$BS$27),"",ReferenceData!$BS$27),"")</f>
        <v>687427</v>
      </c>
      <c r="BT27">
        <f ca="1">IFERROR(IF(0=LEN(ReferenceData!$BT$27),"",ReferenceData!$BT$27),"")</f>
        <v>618439</v>
      </c>
      <c r="BU27">
        <f ca="1">IFERROR(IF(0=LEN(ReferenceData!$BU$27),"",ReferenceData!$BU$27),"")</f>
        <v>575258</v>
      </c>
      <c r="BV27">
        <f ca="1">IFERROR(IF(0=LEN(ReferenceData!$BV$27),"",ReferenceData!$BV$27),"")</f>
        <v>661791</v>
      </c>
      <c r="BW27">
        <f ca="1">IFERROR(IF(0=LEN(ReferenceData!$BW$27),"",ReferenceData!$BW$27),"")</f>
        <v>657830</v>
      </c>
      <c r="BX27">
        <f ca="1">IFERROR(IF(0=LEN(ReferenceData!$BX$27),"",ReferenceData!$BX$27),"")</f>
        <v>696919</v>
      </c>
      <c r="BY27">
        <f ca="1">IFERROR(IF(0=LEN(ReferenceData!$BY$27),"",ReferenceData!$BY$27),"")</f>
        <v>612659</v>
      </c>
      <c r="BZ27">
        <f ca="1">IFERROR(IF(0=LEN(ReferenceData!$BZ$27),"",ReferenceData!$BZ$27),"")</f>
        <v>669218</v>
      </c>
      <c r="CA27">
        <f ca="1">IFERROR(IF(0=LEN(ReferenceData!$CA$27),"",ReferenceData!$CA$27),"")</f>
        <v>701619</v>
      </c>
      <c r="CB27">
        <f ca="1">IFERROR(IF(0=LEN(ReferenceData!$CB$27),"",ReferenceData!$CB$27),"")</f>
        <v>692375</v>
      </c>
      <c r="CC27">
        <f ca="1">IFERROR(IF(0=LEN(ReferenceData!$CC$27),"",ReferenceData!$CC$27),"")</f>
        <v>720312</v>
      </c>
      <c r="CD27">
        <f ca="1">IFERROR(IF(0=LEN(ReferenceData!$CD$27),"",ReferenceData!$CD$27),"")</f>
        <v>658727</v>
      </c>
      <c r="CE27">
        <f ca="1">IFERROR(IF(0=LEN(ReferenceData!$CE$27),"",ReferenceData!$CE$27),"")</f>
        <v>648288</v>
      </c>
      <c r="CF27">
        <f ca="1">IFERROR(IF(0=LEN(ReferenceData!$CF$27),"",ReferenceData!$CF$27),"")</f>
        <v>558014</v>
      </c>
      <c r="CG27">
        <f ca="1">IFERROR(IF(0=LEN(ReferenceData!$CG$27),"",ReferenceData!$CG$27),"")</f>
        <v>505382</v>
      </c>
      <c r="CH27">
        <f ca="1">IFERROR(IF(0=LEN(ReferenceData!$CH$27),"",ReferenceData!$CH$27),"")</f>
        <v>498312</v>
      </c>
      <c r="CI27">
        <f ca="1">IFERROR(IF(0=LEN(ReferenceData!$CI$27),"",ReferenceData!$CI$27),"")</f>
        <v>582689</v>
      </c>
      <c r="CJ27">
        <f ca="1">IFERROR(IF(0=LEN(ReferenceData!$CJ$27),"",ReferenceData!$CJ$27),"")</f>
        <v>548929</v>
      </c>
      <c r="CK27">
        <f ca="1">IFERROR(IF(0=LEN(ReferenceData!$CK$27),"",ReferenceData!$CK$27),"")</f>
        <v>534308</v>
      </c>
    </row>
    <row r="28" spans="1:89" x14ac:dyDescent="0.25">
      <c r="A28" t="str">
        <f>IFERROR(IF(0=LEN(ReferenceData!$A$28),"",ReferenceData!$A$28),"")</f>
        <v xml:space="preserve">        Loaded Inbound Containers (TEU)</v>
      </c>
      <c r="B28" t="str">
        <f>IFERROR(IF(0=LEN(ReferenceData!$B$28),"",ReferenceData!$B$28),"")</f>
        <v>LALBLBIM Index</v>
      </c>
      <c r="C28" t="str">
        <f>IFERROR(IF(0=LEN(ReferenceData!$C$28),"",ReferenceData!$C$28),"")</f>
        <v>PX385</v>
      </c>
      <c r="D28" t="str">
        <f>IFERROR(IF(0=LEN(ReferenceData!$D$28),"",ReferenceData!$D$28),"")</f>
        <v>INTERVAL_SUM</v>
      </c>
      <c r="E28" t="str">
        <f>IFERROR(IF(0=LEN(ReferenceData!$E$28),"",ReferenceData!$E$28),"")</f>
        <v>Dynamic</v>
      </c>
      <c r="F28" t="str">
        <f ca="1">IFERROR(IF(0=LEN(ReferenceData!$F$28),"",ReferenceData!$F$28),"")</f>
        <v/>
      </c>
      <c r="G28">
        <f ca="1">IFERROR(IF(0=LEN(ReferenceData!$G$28),"",ReferenceData!$G$28),"")</f>
        <v>408926</v>
      </c>
      <c r="H28">
        <f ca="1">IFERROR(IF(0=LEN(ReferenceData!$H$28),"",ReferenceData!$H$28),"")</f>
        <v>325436</v>
      </c>
      <c r="I28">
        <f ca="1">IFERROR(IF(0=LEN(ReferenceData!$I$28),"",ReferenceData!$I$28),"")</f>
        <v>271086</v>
      </c>
      <c r="J28">
        <f ca="1">IFERROR(IF(0=LEN(ReferenceData!$J$28),"",ReferenceData!$J$28),"")</f>
        <v>274325</v>
      </c>
      <c r="K28">
        <f ca="1">IFERROR(IF(0=LEN(ReferenceData!$K$28),"",ReferenceData!$K$28),"")</f>
        <v>361661</v>
      </c>
      <c r="L28">
        <f ca="1">IFERROR(IF(0=LEN(ReferenceData!$L$28),"",ReferenceData!$L$28),"")</f>
        <v>313444</v>
      </c>
      <c r="M28">
        <f ca="1">IFERROR(IF(0=LEN(ReferenceData!$M$28),"",ReferenceData!$M$28),"")</f>
        <v>279148</v>
      </c>
      <c r="N28">
        <f ca="1">IFERROR(IF(0=LEN(ReferenceData!$N$28),"",ReferenceData!$N$28),"")</f>
        <v>254970</v>
      </c>
      <c r="O28">
        <f ca="1">IFERROR(IF(0=LEN(ReferenceData!$O$28),"",ReferenceData!$O$28),"")</f>
        <v>263394</v>
      </c>
      <c r="P28">
        <f ca="1">IFERROR(IF(0=LEN(ReferenceData!$P$28),"",ReferenceData!$P$28),"")</f>
        <v>241643</v>
      </c>
      <c r="Q28">
        <f ca="1">IFERROR(IF(0=LEN(ReferenceData!$Q$28),"",ReferenceData!$Q$28),"")</f>
        <v>259442</v>
      </c>
      <c r="R28">
        <f ca="1">IFERROR(IF(0=LEN(ReferenceData!$R$28),"",ReferenceData!$R$28),"")</f>
        <v>293924</v>
      </c>
      <c r="S28">
        <f ca="1">IFERROR(IF(0=LEN(ReferenceData!$S$28),"",ReferenceData!$S$28),"")</f>
        <v>342671</v>
      </c>
      <c r="T28">
        <f ca="1">IFERROR(IF(0=LEN(ReferenceData!$T$28),"",ReferenceData!$T$28),"")</f>
        <v>384530</v>
      </c>
      <c r="U28">
        <f ca="1">IFERROR(IF(0=LEN(ReferenceData!$U$28),"",ReferenceData!$U$28),"")</f>
        <v>376175</v>
      </c>
      <c r="V28">
        <f ca="1">IFERROR(IF(0=LEN(ReferenceData!$V$28),"",ReferenceData!$V$28),"")</f>
        <v>415677</v>
      </c>
      <c r="W28">
        <f ca="1">IFERROR(IF(0=LEN(ReferenceData!$W$28),"",ReferenceData!$W$28),"")</f>
        <v>436977</v>
      </c>
      <c r="X28">
        <f ca="1">IFERROR(IF(0=LEN(ReferenceData!$X$28),"",ReferenceData!$X$28),"")</f>
        <v>400803</v>
      </c>
      <c r="Y28">
        <f ca="1">IFERROR(IF(0=LEN(ReferenceData!$Y$28),"",ReferenceData!$Y$28),"")</f>
        <v>427280</v>
      </c>
      <c r="Z28">
        <f ca="1">IFERROR(IF(0=LEN(ReferenceData!$Z$28),"",ReferenceData!$Z$28),"")</f>
        <v>390335</v>
      </c>
      <c r="AA28">
        <f ca="1">IFERROR(IF(0=LEN(ReferenceData!$AA$28),"",ReferenceData!$AA$28),"")</f>
        <v>389334</v>
      </c>
      <c r="AB28">
        <f ca="1">IFERROR(IF(0=LEN(ReferenceData!$AB$28),"",ReferenceData!$AB$28),"")</f>
        <v>358687</v>
      </c>
      <c r="AC28">
        <f ca="1">IFERROR(IF(0=LEN(ReferenceData!$AC$28),"",ReferenceData!$AC$28),"")</f>
        <v>362394</v>
      </c>
      <c r="AD28">
        <f ca="1">IFERROR(IF(0=LEN(ReferenceData!$AD$28),"",ReferenceData!$AD$28),"")</f>
        <v>385000</v>
      </c>
      <c r="AE28">
        <f ca="1">IFERROR(IF(0=LEN(ReferenceData!$AE$28),"",ReferenceData!$AE$28),"")</f>
        <v>370230</v>
      </c>
      <c r="AF28">
        <f ca="1">IFERROR(IF(0=LEN(ReferenceData!$AF$28),"",ReferenceData!$AF$28),"")</f>
        <v>407426</v>
      </c>
      <c r="AG28">
        <f ca="1">IFERROR(IF(0=LEN(ReferenceData!$AG$28),"",ReferenceData!$AG$28),"")</f>
        <v>382940</v>
      </c>
      <c r="AH28">
        <f ca="1">IFERROR(IF(0=LEN(ReferenceData!$AH$28),"",ReferenceData!$AH$28),"")</f>
        <v>357101</v>
      </c>
      <c r="AI28">
        <f ca="1">IFERROR(IF(0=LEN(ReferenceData!$AI$28),"",ReferenceData!$AI$28),"")</f>
        <v>444736</v>
      </c>
      <c r="AJ28">
        <f ca="1">IFERROR(IF(0=LEN(ReferenceData!$AJ$28),"",ReferenceData!$AJ$28),"")</f>
        <v>367151</v>
      </c>
      <c r="AK28">
        <f ca="1">IFERROR(IF(0=LEN(ReferenceData!$AK$28),"",ReferenceData!$AK$28),"")</f>
        <v>408172</v>
      </c>
      <c r="AL28">
        <f ca="1">IFERROR(IF(0=LEN(ReferenceData!$AL$28),"",ReferenceData!$AL$28),"")</f>
        <v>373756</v>
      </c>
      <c r="AM28">
        <f ca="1">IFERROR(IF(0=LEN(ReferenceData!$AM$28),"",ReferenceData!$AM$28),"")</f>
        <v>364255</v>
      </c>
      <c r="AN28">
        <f ca="1">IFERROR(IF(0=LEN(ReferenceData!$AN$28),"",ReferenceData!$AN$28),"")</f>
        <v>406072</v>
      </c>
      <c r="AO28">
        <f ca="1">IFERROR(IF(0=LEN(ReferenceData!$AO$28),"",ReferenceData!$AO$28),"")</f>
        <v>382677</v>
      </c>
      <c r="AP28">
        <f ca="1">IFERROR(IF(0=LEN(ReferenceData!$AP$28),"",ReferenceData!$AP$28),"")</f>
        <v>402408</v>
      </c>
      <c r="AQ28">
        <f ca="1">IFERROR(IF(0=LEN(ReferenceData!$AQ$28),"",ReferenceData!$AQ$28),"")</f>
        <v>405618</v>
      </c>
      <c r="AR28">
        <f ca="1">IFERROR(IF(0=LEN(ReferenceData!$AR$28),"",ReferenceData!$AR$28),"")</f>
        <v>364792</v>
      </c>
      <c r="AS28">
        <f ca="1">IFERROR(IF(0=LEN(ReferenceData!$AS$28),"",ReferenceData!$AS$28),"")</f>
        <v>376807</v>
      </c>
      <c r="AT28">
        <f ca="1">IFERROR(IF(0=LEN(ReferenceData!$AT$28),"",ReferenceData!$AT$28),"")</f>
        <v>300714</v>
      </c>
      <c r="AU28">
        <f ca="1">IFERROR(IF(0=LEN(ReferenceData!$AU$28),"",ReferenceData!$AU$28),"")</f>
        <v>312590</v>
      </c>
      <c r="AV28">
        <f ca="1">IFERROR(IF(0=LEN(ReferenceData!$AV$28),"",ReferenceData!$AV$28),"")</f>
        <v>253540</v>
      </c>
      <c r="AW28">
        <f ca="1">IFERROR(IF(0=LEN(ReferenceData!$AW$28),"",ReferenceData!$AW$28),"")</f>
        <v>234570</v>
      </c>
      <c r="AX28">
        <f ca="1">IFERROR(IF(0=LEN(ReferenceData!$AX$28),"",ReferenceData!$AX$28),"")</f>
        <v>248592</v>
      </c>
      <c r="AY28">
        <f ca="1">IFERROR(IF(0=LEN(ReferenceData!$AY$28),"",ReferenceData!$AY$28),"")</f>
        <v>309961</v>
      </c>
      <c r="AZ28">
        <f ca="1">IFERROR(IF(0=LEN(ReferenceData!$AZ$28),"",ReferenceData!$AZ$28),"")</f>
        <v>323231</v>
      </c>
      <c r="BA28">
        <f ca="1">IFERROR(IF(0=LEN(ReferenceData!$BA$28),"",ReferenceData!$BA$28),"")</f>
        <v>293287</v>
      </c>
      <c r="BB28">
        <f ca="1">IFERROR(IF(0=LEN(ReferenceData!$BB$28),"",ReferenceData!$BB$28),"")</f>
        <v>337062</v>
      </c>
      <c r="BC28">
        <f ca="1">IFERROR(IF(0=LEN(ReferenceData!$BC$28),"",ReferenceData!$BC$28),"")</f>
        <v>354919</v>
      </c>
      <c r="BD28">
        <f ca="1">IFERROR(IF(0=LEN(ReferenceData!$BD$28),"",ReferenceData!$BD$28),"")</f>
        <v>322780</v>
      </c>
      <c r="BE28">
        <f ca="1">IFERROR(IF(0=LEN(ReferenceData!$BE$28),"",ReferenceData!$BE$28),"")</f>
        <v>313350</v>
      </c>
      <c r="BF28">
        <f ca="1">IFERROR(IF(0=LEN(ReferenceData!$BF$28),"",ReferenceData!$BF$28),"")</f>
        <v>331617</v>
      </c>
      <c r="BG28">
        <f ca="1">IFERROR(IF(0=LEN(ReferenceData!$BG$28),"",ReferenceData!$BG$28),"")</f>
        <v>290568</v>
      </c>
      <c r="BH28">
        <f ca="1">IFERROR(IF(0=LEN(ReferenceData!$BH$28),"",ReferenceData!$BH$28),"")</f>
        <v>317883</v>
      </c>
      <c r="BI28">
        <f ca="1">IFERROR(IF(0=LEN(ReferenceData!$BI$28),"",ReferenceData!$BI$28),"")</f>
        <v>247039</v>
      </c>
      <c r="BJ28">
        <f ca="1">IFERROR(IF(0=LEN(ReferenceData!$BJ$28),"",ReferenceData!$BJ$28),"")</f>
        <v>302865</v>
      </c>
      <c r="BK28">
        <f ca="1">IFERROR(IF(0=LEN(ReferenceData!$BK$28),"",ReferenceData!$BK$28),"")</f>
        <v>323838</v>
      </c>
      <c r="BL28">
        <f ca="1">IFERROR(IF(0=LEN(ReferenceData!$BL$28),"",ReferenceData!$BL$28),"")</f>
        <v>373098</v>
      </c>
      <c r="BM28">
        <f ca="1">IFERROR(IF(0=LEN(ReferenceData!$BM$28),"",ReferenceData!$BM$28),"")</f>
        <v>319877</v>
      </c>
      <c r="BN28">
        <f ca="1">IFERROR(IF(0=LEN(ReferenceData!$BN$28),"",ReferenceData!$BN$28),"")</f>
        <v>364084</v>
      </c>
      <c r="BO28">
        <f ca="1">IFERROR(IF(0=LEN(ReferenceData!$BO$28),"",ReferenceData!$BO$28),"")</f>
        <v>357301</v>
      </c>
      <c r="BP28">
        <f ca="1">IFERROR(IF(0=LEN(ReferenceData!$BP$28),"",ReferenceData!$BP$28),"")</f>
        <v>343029</v>
      </c>
      <c r="BQ28">
        <f ca="1">IFERROR(IF(0=LEN(ReferenceData!$BQ$28),"",ReferenceData!$BQ$28),"")</f>
        <v>347736</v>
      </c>
      <c r="BR28">
        <f ca="1">IFERROR(IF(0=LEN(ReferenceData!$BR$28),"",ReferenceData!$BR$28),"")</f>
        <v>384095</v>
      </c>
      <c r="BS28">
        <f ca="1">IFERROR(IF(0=LEN(ReferenceData!$BS$28),"",ReferenceData!$BS$28),"")</f>
        <v>361056</v>
      </c>
      <c r="BT28">
        <f ca="1">IFERROR(IF(0=LEN(ReferenceData!$BT$28),"",ReferenceData!$BT$28),"")</f>
        <v>312376</v>
      </c>
      <c r="BU28">
        <f ca="1">IFERROR(IF(0=LEN(ReferenceData!$BU$28),"",ReferenceData!$BU$28),"")</f>
        <v>267824</v>
      </c>
      <c r="BV28">
        <f ca="1">IFERROR(IF(0=LEN(ReferenceData!$BV$28),"",ReferenceData!$BV$28),"")</f>
        <v>342247</v>
      </c>
      <c r="BW28">
        <f ca="1">IFERROR(IF(0=LEN(ReferenceData!$BW$28),"",ReferenceData!$BW$28),"")</f>
        <v>324656</v>
      </c>
      <c r="BX28">
        <f ca="1">IFERROR(IF(0=LEN(ReferenceData!$BX$28),"",ReferenceData!$BX$28),"")</f>
        <v>345721</v>
      </c>
      <c r="BY28">
        <f ca="1">IFERROR(IF(0=LEN(ReferenceData!$BY$28),"",ReferenceData!$BY$28),"")</f>
        <v>319210</v>
      </c>
      <c r="BZ28">
        <f ca="1">IFERROR(IF(0=LEN(ReferenceData!$BZ$28),"",ReferenceData!$BZ$28),"")</f>
        <v>339013</v>
      </c>
      <c r="CA28">
        <f ca="1">IFERROR(IF(0=LEN(ReferenceData!$CA$28),"",ReferenceData!$CA$28),"")</f>
        <v>366298</v>
      </c>
      <c r="CB28">
        <f ca="1">IFERROR(IF(0=LEN(ReferenceData!$CB$28),"",ReferenceData!$CB$28),"")</f>
        <v>355715</v>
      </c>
      <c r="CC28">
        <f ca="1">IFERROR(IF(0=LEN(ReferenceData!$CC$28),"",ReferenceData!$CC$28),"")</f>
        <v>378820</v>
      </c>
      <c r="CD28">
        <f ca="1">IFERROR(IF(0=LEN(ReferenceData!$CD$28),"",ReferenceData!$CD$28),"")</f>
        <v>335328</v>
      </c>
      <c r="CE28">
        <f ca="1">IFERROR(IF(0=LEN(ReferenceData!$CE$28),"",ReferenceData!$CE$28),"")</f>
        <v>336594</v>
      </c>
      <c r="CF28">
        <f ca="1">IFERROR(IF(0=LEN(ReferenceData!$CF$28),"",ReferenceData!$CF$28),"")</f>
        <v>288207</v>
      </c>
      <c r="CG28">
        <f ca="1">IFERROR(IF(0=LEN(ReferenceData!$CG$28),"",ReferenceData!$CG$28),"")</f>
        <v>249534</v>
      </c>
      <c r="CH28">
        <f ca="1">IFERROR(IF(0=LEN(ReferenceData!$CH$28),"",ReferenceData!$CH$28),"")</f>
        <v>249759</v>
      </c>
      <c r="CI28">
        <f ca="1">IFERROR(IF(0=LEN(ReferenceData!$CI$28),"",ReferenceData!$CI$28),"")</f>
        <v>298990</v>
      </c>
      <c r="CJ28">
        <f ca="1">IFERROR(IF(0=LEN(ReferenceData!$CJ$28),"",ReferenceData!$CJ$28),"")</f>
        <v>271599</v>
      </c>
      <c r="CK28">
        <f ca="1">IFERROR(IF(0=LEN(ReferenceData!$CK$28),"",ReferenceData!$CK$28),"")</f>
        <v>270610</v>
      </c>
    </row>
    <row r="29" spans="1:89" x14ac:dyDescent="0.25">
      <c r="A29" t="str">
        <f>IFERROR(IF(0=LEN(ReferenceData!$A$29),"",ReferenceData!$A$29),"")</f>
        <v xml:space="preserve">        Loaded Outbound Containers (TEU)</v>
      </c>
      <c r="B29" t="str">
        <f>IFERROR(IF(0=LEN(ReferenceData!$B$29),"",ReferenceData!$B$29),"")</f>
        <v>LALBLBEX Index</v>
      </c>
      <c r="C29" t="str">
        <f>IFERROR(IF(0=LEN(ReferenceData!$C$29),"",ReferenceData!$C$29),"")</f>
        <v>PX385</v>
      </c>
      <c r="D29" t="str">
        <f>IFERROR(IF(0=LEN(ReferenceData!$D$29),"",ReferenceData!$D$29),"")</f>
        <v>INTERVAL_SUM</v>
      </c>
      <c r="E29" t="str">
        <f>IFERROR(IF(0=LEN(ReferenceData!$E$29),"",ReferenceData!$E$29),"")</f>
        <v>Dynamic</v>
      </c>
      <c r="F29" t="str">
        <f ca="1">IFERROR(IF(0=LEN(ReferenceData!$F$29),"",ReferenceData!$F$29),"")</f>
        <v/>
      </c>
      <c r="G29">
        <f ca="1">IFERROR(IF(0=LEN(ReferenceData!$G$29),"",ReferenceData!$G$29),"")</f>
        <v>101248</v>
      </c>
      <c r="H29">
        <f ca="1">IFERROR(IF(0=LEN(ReferenceData!$H$29),"",ReferenceData!$H$29),"")</f>
        <v>93402</v>
      </c>
      <c r="I29">
        <f ca="1">IFERROR(IF(0=LEN(ReferenceData!$I$29),"",ReferenceData!$I$29),"")</f>
        <v>90134</v>
      </c>
      <c r="J29">
        <f ca="1">IFERROR(IF(0=LEN(ReferenceData!$J$29),"",ReferenceData!$J$29),"")</f>
        <v>94508</v>
      </c>
      <c r="K29">
        <f ca="1">IFERROR(IF(0=LEN(ReferenceData!$K$29),"",ReferenceData!$K$29),"")</f>
        <v>127870</v>
      </c>
      <c r="L29">
        <f ca="1">IFERROR(IF(0=LEN(ReferenceData!$L$29),"",ReferenceData!$L$29),"")</f>
        <v>122663</v>
      </c>
      <c r="M29">
        <f ca="1">IFERROR(IF(0=LEN(ReferenceData!$M$29),"",ReferenceData!$M$29),"")</f>
        <v>133512</v>
      </c>
      <c r="N29">
        <f ca="1">IFERROR(IF(0=LEN(ReferenceData!$N$29),"",ReferenceData!$N$29),"")</f>
        <v>110919</v>
      </c>
      <c r="O29">
        <f ca="1">IFERROR(IF(0=LEN(ReferenceData!$O$29),"",ReferenceData!$O$29),"")</f>
        <v>105623</v>
      </c>
      <c r="P29">
        <f ca="1">IFERROR(IF(0=LEN(ReferenceData!$P$29),"",ReferenceData!$P$29),"")</f>
        <v>115782</v>
      </c>
      <c r="Q29">
        <f ca="1">IFERROR(IF(0=LEN(ReferenceData!$Q$29),"",ReferenceData!$Q$29),"")</f>
        <v>124988</v>
      </c>
      <c r="R29">
        <f ca="1">IFERROR(IF(0=LEN(ReferenceData!$R$29),"",ReferenceData!$R$29),"")</f>
        <v>119761</v>
      </c>
      <c r="S29">
        <f ca="1">IFERROR(IF(0=LEN(ReferenceData!$S$29),"",ReferenceData!$S$29),"")</f>
        <v>112940</v>
      </c>
      <c r="T29">
        <f ca="1">IFERROR(IF(0=LEN(ReferenceData!$T$29),"",ReferenceData!$T$29),"")</f>
        <v>121408</v>
      </c>
      <c r="U29">
        <f ca="1">IFERROR(IF(0=LEN(ReferenceData!$U$29),"",ReferenceData!$U$29),"")</f>
        <v>109411</v>
      </c>
      <c r="V29">
        <f ca="1">IFERROR(IF(0=LEN(ReferenceData!$V$29),"",ReferenceData!$V$29),"")</f>
        <v>115303</v>
      </c>
      <c r="W29">
        <f ca="1">IFERROR(IF(0=LEN(ReferenceData!$W$29),"",ReferenceData!$W$29),"")</f>
        <v>118234</v>
      </c>
      <c r="X29">
        <f ca="1">IFERROR(IF(0=LEN(ReferenceData!$X$29),"",ReferenceData!$X$29),"")</f>
        <v>121876</v>
      </c>
      <c r="Y29">
        <f ca="1">IFERROR(IF(0=LEN(ReferenceData!$Y$29),"",ReferenceData!$Y$29),"")</f>
        <v>114185</v>
      </c>
      <c r="Z29">
        <f ca="1">IFERROR(IF(0=LEN(ReferenceData!$Z$29),"",ReferenceData!$Z$29),"")</f>
        <v>117935</v>
      </c>
      <c r="AA29">
        <f ca="1">IFERROR(IF(0=LEN(ReferenceData!$AA$29),"",ReferenceData!$AA$29),"")</f>
        <v>123060</v>
      </c>
      <c r="AB29">
        <f ca="1">IFERROR(IF(0=LEN(ReferenceData!$AB$29),"",ReferenceData!$AB$29),"")</f>
        <v>113918</v>
      </c>
      <c r="AC29">
        <f ca="1">IFERROR(IF(0=LEN(ReferenceData!$AC$29),"",ReferenceData!$AC$29),"")</f>
        <v>109821</v>
      </c>
      <c r="AD29">
        <f ca="1">IFERROR(IF(0=LEN(ReferenceData!$AD$29),"",ReferenceData!$AD$29),"")</f>
        <v>122214</v>
      </c>
      <c r="AE29">
        <f ca="1">IFERROR(IF(0=LEN(ReferenceData!$AE$29),"",ReferenceData!$AE$29),"")</f>
        <v>110787</v>
      </c>
      <c r="AF29">
        <f ca="1">IFERROR(IF(0=LEN(ReferenceData!$AF$29),"",ReferenceData!$AF$29),"")</f>
        <v>119485</v>
      </c>
      <c r="AG29">
        <f ca="1">IFERROR(IF(0=LEN(ReferenceData!$AG$29),"",ReferenceData!$AG$29),"")</f>
        <v>109951</v>
      </c>
      <c r="AH29">
        <f ca="1">IFERROR(IF(0=LEN(ReferenceData!$AH$29),"",ReferenceData!$AH$29),"")</f>
        <v>116947</v>
      </c>
      <c r="AI29">
        <f ca="1">IFERROR(IF(0=LEN(ReferenceData!$AI$29),"",ReferenceData!$AI$29),"")</f>
        <v>135345</v>
      </c>
      <c r="AJ29">
        <f ca="1">IFERROR(IF(0=LEN(ReferenceData!$AJ$29),"",ReferenceData!$AJ$29),"")</f>
        <v>124069</v>
      </c>
      <c r="AK29">
        <f ca="1">IFERROR(IF(0=LEN(ReferenceData!$AK$29),"",ReferenceData!$AK$29),"")</f>
        <v>139710</v>
      </c>
      <c r="AL29">
        <f ca="1">IFERROR(IF(0=LEN(ReferenceData!$AL$29),"",ReferenceData!$AL$29),"")</f>
        <v>119416</v>
      </c>
      <c r="AM29">
        <f ca="1">IFERROR(IF(0=LEN(ReferenceData!$AM$29),"",ReferenceData!$AM$29),"")</f>
        <v>116254</v>
      </c>
      <c r="AN29">
        <f ca="1">IFERROR(IF(0=LEN(ReferenceData!$AN$29),"",ReferenceData!$AN$29),"")</f>
        <v>132374</v>
      </c>
      <c r="AO29">
        <f ca="1">IFERROR(IF(0=LEN(ReferenceData!$AO$29),"",ReferenceData!$AO$29),"")</f>
        <v>117283</v>
      </c>
      <c r="AP29">
        <f ca="1">IFERROR(IF(0=LEN(ReferenceData!$AP$29),"",ReferenceData!$AP$29),"")</f>
        <v>114679</v>
      </c>
      <c r="AQ29">
        <f ca="1">IFERROR(IF(0=LEN(ReferenceData!$AQ$29),"",ReferenceData!$AQ$29),"")</f>
        <v>112556</v>
      </c>
      <c r="AR29">
        <f ca="1">IFERROR(IF(0=LEN(ReferenceData!$AR$29),"",ReferenceData!$AR$29),"")</f>
        <v>126177</v>
      </c>
      <c r="AS29">
        <f ca="1">IFERROR(IF(0=LEN(ReferenceData!$AS$29),"",ReferenceData!$AS$29),"")</f>
        <v>138602</v>
      </c>
      <c r="AT29">
        <f ca="1">IFERROR(IF(0=LEN(ReferenceData!$AT$29),"",ReferenceData!$AT$29),"")</f>
        <v>117538</v>
      </c>
      <c r="AU29">
        <f ca="1">IFERROR(IF(0=LEN(ReferenceData!$AU$29),"",ReferenceData!$AU$29),"")</f>
        <v>134556</v>
      </c>
      <c r="AV29">
        <f ca="1">IFERROR(IF(0=LEN(ReferenceData!$AV$29),"",ReferenceData!$AV$29),"")</f>
        <v>102502</v>
      </c>
      <c r="AW29">
        <f ca="1">IFERROR(IF(0=LEN(ReferenceData!$AW$29),"",ReferenceData!$AW$29),"")</f>
        <v>145442</v>
      </c>
      <c r="AX29">
        <f ca="1">IFERROR(IF(0=LEN(ReferenceData!$AX$29),"",ReferenceData!$AX$29),"")</f>
        <v>125559</v>
      </c>
      <c r="AY29">
        <f ca="1">IFERROR(IF(0=LEN(ReferenceData!$AY$29),"",ReferenceData!$AY$29),"")</f>
        <v>108624</v>
      </c>
      <c r="AZ29">
        <f ca="1">IFERROR(IF(0=LEN(ReferenceData!$AZ$29),"",ReferenceData!$AZ$29),"")</f>
        <v>125395</v>
      </c>
      <c r="BA29">
        <f ca="1">IFERROR(IF(0=LEN(ReferenceData!$BA$29),"",ReferenceData!$BA$29),"")</f>
        <v>123705</v>
      </c>
      <c r="BB29">
        <f ca="1">IFERROR(IF(0=LEN(ReferenceData!$BB$29),"",ReferenceData!$BB$29),"")</f>
        <v>131635</v>
      </c>
      <c r="BC29">
        <f ca="1">IFERROR(IF(0=LEN(ReferenceData!$BC$29),"",ReferenceData!$BC$29),"")</f>
        <v>123215</v>
      </c>
      <c r="BD29">
        <f ca="1">IFERROR(IF(0=LEN(ReferenceData!$BD$29),"",ReferenceData!$BD$29),"")</f>
        <v>124975</v>
      </c>
      <c r="BE29">
        <f ca="1">IFERROR(IF(0=LEN(ReferenceData!$BE$29),"",ReferenceData!$BE$29),"")</f>
        <v>111654</v>
      </c>
      <c r="BF29">
        <f ca="1">IFERROR(IF(0=LEN(ReferenceData!$BF$29),"",ReferenceData!$BF$29),"")</f>
        <v>133833</v>
      </c>
      <c r="BG29">
        <f ca="1">IFERROR(IF(0=LEN(ReferenceData!$BG$29),"",ReferenceData!$BG$29),"")</f>
        <v>120577</v>
      </c>
      <c r="BH29">
        <f ca="1">IFERROR(IF(0=LEN(ReferenceData!$BH$29),"",ReferenceData!$BH$29),"")</f>
        <v>123804</v>
      </c>
      <c r="BI29">
        <f ca="1">IFERROR(IF(0=LEN(ReferenceData!$BI$29),"",ReferenceData!$BI$29),"")</f>
        <v>131436</v>
      </c>
      <c r="BJ29">
        <f ca="1">IFERROR(IF(0=LEN(ReferenceData!$BJ$29),"",ReferenceData!$BJ$29),"")</f>
        <v>105287</v>
      </c>
      <c r="BK29">
        <f ca="1">IFERROR(IF(0=LEN(ReferenceData!$BK$29),"",ReferenceData!$BK$29),"")</f>
        <v>117288</v>
      </c>
      <c r="BL29">
        <f ca="1">IFERROR(IF(0=LEN(ReferenceData!$BL$29),"",ReferenceData!$BL$29),"")</f>
        <v>113329</v>
      </c>
      <c r="BM29">
        <f ca="1">IFERROR(IF(0=LEN(ReferenceData!$BM$29),"",ReferenceData!$BM$29),"")</f>
        <v>115774</v>
      </c>
      <c r="BN29">
        <f ca="1">IFERROR(IF(0=LEN(ReferenceData!$BN$29),"",ReferenceData!$BN$29),"")</f>
        <v>119837</v>
      </c>
      <c r="BO29">
        <f ca="1">IFERROR(IF(0=LEN(ReferenceData!$BO$29),"",ReferenceData!$BO$29),"")</f>
        <v>121561</v>
      </c>
      <c r="BP29">
        <f ca="1">IFERROR(IF(0=LEN(ReferenceData!$BP$29),"",ReferenceData!$BP$29),"")</f>
        <v>119546</v>
      </c>
      <c r="BQ29">
        <f ca="1">IFERROR(IF(0=LEN(ReferenceData!$BQ$29),"",ReferenceData!$BQ$29),"")</f>
        <v>119747</v>
      </c>
      <c r="BR29">
        <f ca="1">IFERROR(IF(0=LEN(ReferenceData!$BR$29),"",ReferenceData!$BR$29),"")</f>
        <v>135168</v>
      </c>
      <c r="BS29">
        <f ca="1">IFERROR(IF(0=LEN(ReferenceData!$BS$29),"",ReferenceData!$BS$29),"")</f>
        <v>142412</v>
      </c>
      <c r="BT29">
        <f ca="1">IFERROR(IF(0=LEN(ReferenceData!$BT$29),"",ReferenceData!$BT$29),"")</f>
        <v>141799</v>
      </c>
      <c r="BU29">
        <f ca="1">IFERROR(IF(0=LEN(ReferenceData!$BU$29),"",ReferenceData!$BU$29),"")</f>
        <v>142419</v>
      </c>
      <c r="BV29">
        <f ca="1">IFERROR(IF(0=LEN(ReferenceData!$BV$29),"",ReferenceData!$BV$29),"")</f>
        <v>130916</v>
      </c>
      <c r="BW29">
        <f ca="1">IFERROR(IF(0=LEN(ReferenceData!$BW$29),"",ReferenceData!$BW$29),"")</f>
        <v>120503</v>
      </c>
      <c r="BX29">
        <f ca="1">IFERROR(IF(0=LEN(ReferenceData!$BX$29),"",ReferenceData!$BX$29),"")</f>
        <v>137449</v>
      </c>
      <c r="BY29">
        <f ca="1">IFERROR(IF(0=LEN(ReferenceData!$BY$29),"",ReferenceData!$BY$29),"")</f>
        <v>126364</v>
      </c>
      <c r="BZ29">
        <f ca="1">IFERROR(IF(0=LEN(ReferenceData!$BZ$29),"",ReferenceData!$BZ$29),"")</f>
        <v>126150</v>
      </c>
      <c r="CA29">
        <f ca="1">IFERROR(IF(0=LEN(ReferenceData!$CA$29),"",ReferenceData!$CA$29),"")</f>
        <v>125336</v>
      </c>
      <c r="CB29">
        <f ca="1">IFERROR(IF(0=LEN(ReferenceData!$CB$29),"",ReferenceData!$CB$29),"")</f>
        <v>117290</v>
      </c>
      <c r="CC29">
        <f ca="1">IFERROR(IF(0=LEN(ReferenceData!$CC$29),"",ReferenceData!$CC$29),"")</f>
        <v>126098</v>
      </c>
      <c r="CD29">
        <f ca="1">IFERROR(IF(0=LEN(ReferenceData!$CD$29),"",ReferenceData!$CD$29),"")</f>
        <v>118304</v>
      </c>
      <c r="CE29">
        <f ca="1">IFERROR(IF(0=LEN(ReferenceData!$CE$29),"",ReferenceData!$CE$29),"")</f>
        <v>118786</v>
      </c>
      <c r="CF29">
        <f ca="1">IFERROR(IF(0=LEN(ReferenceData!$CF$29),"",ReferenceData!$CF$29),"")</f>
        <v>116260</v>
      </c>
      <c r="CG29">
        <f ca="1">IFERROR(IF(0=LEN(ReferenceData!$CG$29),"",ReferenceData!$CG$29),"")</f>
        <v>120435</v>
      </c>
      <c r="CH29">
        <f ca="1">IFERROR(IF(0=LEN(ReferenceData!$CH$29),"",ReferenceData!$CH$29),"")</f>
        <v>119811</v>
      </c>
      <c r="CI29">
        <f ca="1">IFERROR(IF(0=LEN(ReferenceData!$CI$29),"",ReferenceData!$CI$29),"")</f>
        <v>118234</v>
      </c>
      <c r="CJ29">
        <f ca="1">IFERROR(IF(0=LEN(ReferenceData!$CJ$29),"",ReferenceData!$CJ$29),"")</f>
        <v>122933</v>
      </c>
      <c r="CK29">
        <f ca="1">IFERROR(IF(0=LEN(ReferenceData!$CK$29),"",ReferenceData!$CK$29),"")</f>
        <v>120897</v>
      </c>
    </row>
    <row r="30" spans="1:89" x14ac:dyDescent="0.25">
      <c r="A30" t="str">
        <f>IFERROR(IF(0=LEN(ReferenceData!$A$30),"",ReferenceData!$A$30),"")</f>
        <v xml:space="preserve">        Empty Containers (TEU)</v>
      </c>
      <c r="B30" t="str">
        <f>IFERROR(IF(0=LEN(ReferenceData!$B$30),"",ReferenceData!$B$30),"")</f>
        <v>LALBLBEM Index</v>
      </c>
      <c r="C30" t="str">
        <f>IFERROR(IF(0=LEN(ReferenceData!$C$30),"",ReferenceData!$C$30),"")</f>
        <v>PX385</v>
      </c>
      <c r="D30" t="str">
        <f>IFERROR(IF(0=LEN(ReferenceData!$D$30),"",ReferenceData!$D$30),"")</f>
        <v>INTERVAL_SUM</v>
      </c>
      <c r="E30" t="str">
        <f>IFERROR(IF(0=LEN(ReferenceData!$E$30),"",ReferenceData!$E$30),"")</f>
        <v>Dynamic</v>
      </c>
      <c r="F30" t="str">
        <f ca="1">IFERROR(IF(0=LEN(ReferenceData!$F$30),"",ReferenceData!$F$30),"")</f>
        <v/>
      </c>
      <c r="G30">
        <f ca="1">IFERROR(IF(0=LEN(ReferenceData!$G$30),"",ReferenceData!$G$30),"")</f>
        <v>319255</v>
      </c>
      <c r="H30">
        <f ca="1">IFERROR(IF(0=LEN(ReferenceData!$H$30),"",ReferenceData!$H$30),"")</f>
        <v>263475</v>
      </c>
      <c r="I30">
        <f ca="1">IFERROR(IF(0=LEN(ReferenceData!$I$30),"",ReferenceData!$I$30),"")</f>
        <v>217030</v>
      </c>
      <c r="J30">
        <f ca="1">IFERROR(IF(0=LEN(ReferenceData!$J$30),"",ReferenceData!$J$30),"")</f>
        <v>228243</v>
      </c>
      <c r="K30">
        <f ca="1">IFERROR(IF(0=LEN(ReferenceData!$K$30),"",ReferenceData!$K$30),"")</f>
        <v>268695</v>
      </c>
      <c r="L30">
        <f ca="1">IFERROR(IF(0=LEN(ReferenceData!$L$30),"",ReferenceData!$L$30),"")</f>
        <v>219942</v>
      </c>
      <c r="M30">
        <f ca="1">IFERROR(IF(0=LEN(ReferenceData!$M$30),"",ReferenceData!$M$30),"")</f>
        <v>191219</v>
      </c>
      <c r="N30">
        <f ca="1">IFERROR(IF(0=LEN(ReferenceData!$N$30),"",ReferenceData!$N$30),"")</f>
        <v>177787</v>
      </c>
      <c r="O30">
        <f ca="1">IFERROR(IF(0=LEN(ReferenceData!$O$30),"",ReferenceData!$O$30),"")</f>
        <v>204756</v>
      </c>
      <c r="P30">
        <f ca="1">IFERROR(IF(0=LEN(ReferenceData!$P$30),"",ReferenceData!$P$30),"")</f>
        <v>186680</v>
      </c>
      <c r="Q30">
        <f ca="1">IFERROR(IF(0=LEN(ReferenceData!$Q$30),"",ReferenceData!$Q$30),"")</f>
        <v>204313</v>
      </c>
      <c r="R30">
        <f ca="1">IFERROR(IF(0=LEN(ReferenceData!$R$30),"",ReferenceData!$R$30),"")</f>
        <v>244743</v>
      </c>
      <c r="S30">
        <f ca="1">IFERROR(IF(0=LEN(ReferenceData!$S$30),"",ReferenceData!$S$30),"")</f>
        <v>286212</v>
      </c>
      <c r="T30">
        <f ca="1">IFERROR(IF(0=LEN(ReferenceData!$T$30),"",ReferenceData!$T$30),"")</f>
        <v>301002</v>
      </c>
      <c r="U30">
        <f ca="1">IFERROR(IF(0=LEN(ReferenceData!$U$30),"",ReferenceData!$U$30),"")</f>
        <v>300257</v>
      </c>
      <c r="V30">
        <f ca="1">IFERROR(IF(0=LEN(ReferenceData!$V$30),"",ReferenceData!$V$30),"")</f>
        <v>304432</v>
      </c>
      <c r="W30">
        <f ca="1">IFERROR(IF(0=LEN(ReferenceData!$W$30),"",ReferenceData!$W$30),"")</f>
        <v>335778</v>
      </c>
      <c r="X30">
        <f ca="1">IFERROR(IF(0=LEN(ReferenceData!$X$30),"",ReferenceData!$X$30),"")</f>
        <v>298040</v>
      </c>
      <c r="Y30">
        <f ca="1">IFERROR(IF(0=LEN(ReferenceData!$Y$30),"",ReferenceData!$Y$30),"")</f>
        <v>321691</v>
      </c>
      <c r="Z30">
        <f ca="1">IFERROR(IF(0=LEN(ReferenceData!$Z$30),"",ReferenceData!$Z$30),"")</f>
        <v>288290</v>
      </c>
      <c r="AA30">
        <f ca="1">IFERROR(IF(0=LEN(ReferenceData!$AA$30),"",ReferenceData!$AA$30),"")</f>
        <v>288550</v>
      </c>
      <c r="AB30">
        <f ca="1">IFERROR(IF(0=LEN(ReferenceData!$AB$30),"",ReferenceData!$AB$30),"")</f>
        <v>281709</v>
      </c>
      <c r="AC30">
        <f ca="1">IFERROR(IF(0=LEN(ReferenceData!$AC$30),"",ReferenceData!$AC$30),"")</f>
        <v>273274</v>
      </c>
      <c r="AD30">
        <f ca="1">IFERROR(IF(0=LEN(ReferenceData!$AD$30),"",ReferenceData!$AD$30),"")</f>
        <v>282502</v>
      </c>
      <c r="AE30">
        <f ca="1">IFERROR(IF(0=LEN(ReferenceData!$AE$30),"",ReferenceData!$AE$30),"")</f>
        <v>267456</v>
      </c>
      <c r="AF30">
        <f ca="1">IFERROR(IF(0=LEN(ReferenceData!$AF$30),"",ReferenceData!$AF$30),"")</f>
        <v>280794</v>
      </c>
      <c r="AG30">
        <f ca="1">IFERROR(IF(0=LEN(ReferenceData!$AG$30),"",ReferenceData!$AG$30),"")</f>
        <v>291955</v>
      </c>
      <c r="AH30">
        <f ca="1">IFERROR(IF(0=LEN(ReferenceData!$AH$30),"",ReferenceData!$AH$30),"")</f>
        <v>250249</v>
      </c>
      <c r="AI30">
        <f ca="1">IFERROR(IF(0=LEN(ReferenceData!$AI$30),"",ReferenceData!$AI$30),"")</f>
        <v>327135</v>
      </c>
      <c r="AJ30">
        <f ca="1">IFERROR(IF(0=LEN(ReferenceData!$AJ$30),"",ReferenceData!$AJ$30),"")</f>
        <v>254969</v>
      </c>
      <c r="AK30">
        <f ca="1">IFERROR(IF(0=LEN(ReferenceData!$AK$30),"",ReferenceData!$AK$30),"")</f>
        <v>292504</v>
      </c>
      <c r="AL30">
        <f ca="1">IFERROR(IF(0=LEN(ReferenceData!$AL$30),"",ReferenceData!$AL$30),"")</f>
        <v>278563</v>
      </c>
      <c r="AM30">
        <f ca="1">IFERROR(IF(0=LEN(ReferenceData!$AM$30),"",ReferenceData!$AM$30),"")</f>
        <v>283498</v>
      </c>
      <c r="AN30">
        <f ca="1">IFERROR(IF(0=LEN(ReferenceData!$AN$30),"",ReferenceData!$AN$30),"")</f>
        <v>277440</v>
      </c>
      <c r="AO30">
        <f ca="1">IFERROR(IF(0=LEN(ReferenceData!$AO$30),"",ReferenceData!$AO$30),"")</f>
        <v>283563</v>
      </c>
      <c r="AP30">
        <f ca="1">IFERROR(IF(0=LEN(ReferenceData!$AP$30),"",ReferenceData!$AP$30),"")</f>
        <v>289517</v>
      </c>
      <c r="AQ30">
        <f ca="1">IFERROR(IF(0=LEN(ReferenceData!$AQ$30),"",ReferenceData!$AQ$30),"")</f>
        <v>277406</v>
      </c>
      <c r="AR30">
        <f ca="1">IFERROR(IF(0=LEN(ReferenceData!$AR$30),"",ReferenceData!$AR$30),"")</f>
        <v>234642</v>
      </c>
      <c r="AS30">
        <f ca="1">IFERROR(IF(0=LEN(ReferenceData!$AS$30),"",ReferenceData!$AS$30),"")</f>
        <v>237672</v>
      </c>
      <c r="AT30">
        <f ca="1">IFERROR(IF(0=LEN(ReferenceData!$AT$30),"",ReferenceData!$AT$30),"")</f>
        <v>183928</v>
      </c>
      <c r="AU30">
        <f ca="1">IFERROR(IF(0=LEN(ReferenceData!$AU$30),"",ReferenceData!$AU$30),"")</f>
        <v>181060</v>
      </c>
      <c r="AV30">
        <f ca="1">IFERROR(IF(0=LEN(ReferenceData!$AV$30),"",ReferenceData!$AV$30),"")</f>
        <v>163689</v>
      </c>
      <c r="AW30">
        <f ca="1">IFERROR(IF(0=LEN(ReferenceData!$AW$30),"",ReferenceData!$AW$30),"")</f>
        <v>137652</v>
      </c>
      <c r="AX30">
        <f ca="1">IFERROR(IF(0=LEN(ReferenceData!$AX$30),"",ReferenceData!$AX$30),"")</f>
        <v>164277</v>
      </c>
      <c r="AY30">
        <f ca="1">IFERROR(IF(0=LEN(ReferenceData!$AY$30),"",ReferenceData!$AY$30),"")</f>
        <v>208244</v>
      </c>
      <c r="AZ30">
        <f ca="1">IFERROR(IF(0=LEN(ReferenceData!$AZ$30),"",ReferenceData!$AZ$30),"")</f>
        <v>216635</v>
      </c>
      <c r="BA30">
        <f ca="1">IFERROR(IF(0=LEN(ReferenceData!$BA$30),"",ReferenceData!$BA$30),"")</f>
        <v>182992</v>
      </c>
      <c r="BB30">
        <f ca="1">IFERROR(IF(0=LEN(ReferenceData!$BB$30),"",ReferenceData!$BB$30),"")</f>
        <v>219728</v>
      </c>
      <c r="BC30">
        <f ca="1">IFERROR(IF(0=LEN(ReferenceData!$BC$30),"",ReferenceData!$BC$30),"")</f>
        <v>228821</v>
      </c>
      <c r="BD30">
        <f ca="1">IFERROR(IF(0=LEN(ReferenceData!$BD$30),"",ReferenceData!$BD$30),"")</f>
        <v>216238</v>
      </c>
      <c r="BE30">
        <f ca="1">IFERROR(IF(0=LEN(ReferenceData!$BE$30),"",ReferenceData!$BE$30),"")</f>
        <v>196777</v>
      </c>
      <c r="BF30">
        <f ca="1">IFERROR(IF(0=LEN(ReferenceData!$BF$30),"",ReferenceData!$BF$30),"")</f>
        <v>211718</v>
      </c>
      <c r="BG30">
        <f ca="1">IFERROR(IF(0=LEN(ReferenceData!$BG$30),"",ReferenceData!$BG$30),"")</f>
        <v>162479</v>
      </c>
      <c r="BH30">
        <f ca="1">IFERROR(IF(0=LEN(ReferenceData!$BH$30),"",ReferenceData!$BH$30),"")</f>
        <v>186435</v>
      </c>
      <c r="BI30">
        <f ca="1">IFERROR(IF(0=LEN(ReferenceData!$BI$30),"",ReferenceData!$BI$30),"")</f>
        <v>174346</v>
      </c>
      <c r="BJ30">
        <f ca="1">IFERROR(IF(0=LEN(ReferenceData!$BJ$30),"",ReferenceData!$BJ$30),"")</f>
        <v>188465</v>
      </c>
      <c r="BK30">
        <f ca="1">IFERROR(IF(0=LEN(ReferenceData!$BK$30),"",ReferenceData!$BK$30),"")</f>
        <v>216160</v>
      </c>
      <c r="BL30">
        <f ca="1">IFERROR(IF(0=LEN(ReferenceData!$BL$30),"",ReferenceData!$BL$30),"")</f>
        <v>255220</v>
      </c>
      <c r="BM30">
        <f ca="1">IFERROR(IF(0=LEN(ReferenceData!$BM$30),"",ReferenceData!$BM$30),"")</f>
        <v>186183</v>
      </c>
      <c r="BN30">
        <f ca="1">IFERROR(IF(0=LEN(ReferenceData!$BN$30),"",ReferenceData!$BN$30),"")</f>
        <v>221487</v>
      </c>
      <c r="BO30">
        <f ca="1">IFERROR(IF(0=LEN(ReferenceData!$BO$30),"",ReferenceData!$BO$30),"")</f>
        <v>222343</v>
      </c>
      <c r="BP30">
        <f ca="1">IFERROR(IF(0=LEN(ReferenceData!$BP$30),"",ReferenceData!$BP$30),"")</f>
        <v>216968</v>
      </c>
      <c r="BQ30">
        <f ca="1">IFERROR(IF(0=LEN(ReferenceData!$BQ$30),"",ReferenceData!$BQ$30),"")</f>
        <v>220975</v>
      </c>
      <c r="BR30">
        <f ca="1">IFERROR(IF(0=LEN(ReferenceData!$BR$30),"",ReferenceData!$BR$30),"")</f>
        <v>232926</v>
      </c>
      <c r="BS30">
        <f ca="1">IFERROR(IF(0=LEN(ReferenceData!$BS$30),"",ReferenceData!$BS$30),"")</f>
        <v>183959</v>
      </c>
      <c r="BT30">
        <f ca="1">IFERROR(IF(0=LEN(ReferenceData!$BT$30),"",ReferenceData!$BT$30),"")</f>
        <v>164264</v>
      </c>
      <c r="BU30">
        <f ca="1">IFERROR(IF(0=LEN(ReferenceData!$BU$30),"",ReferenceData!$BU$30),"")</f>
        <v>165015</v>
      </c>
      <c r="BV30">
        <f ca="1">IFERROR(IF(0=LEN(ReferenceData!$BV$30),"",ReferenceData!$BV$30),"")</f>
        <v>188628</v>
      </c>
      <c r="BW30">
        <f ca="1">IFERROR(IF(0=LEN(ReferenceData!$BW$30),"",ReferenceData!$BW$30),"")</f>
        <v>212671</v>
      </c>
      <c r="BX30">
        <f ca="1">IFERROR(IF(0=LEN(ReferenceData!$BX$30),"",ReferenceData!$BX$30),"")</f>
        <v>213749</v>
      </c>
      <c r="BY30">
        <f ca="1">IFERROR(IF(0=LEN(ReferenceData!$BY$30),"",ReferenceData!$BY$30),"")</f>
        <v>167085</v>
      </c>
      <c r="BZ30">
        <f ca="1">IFERROR(IF(0=LEN(ReferenceData!$BZ$30),"",ReferenceData!$BZ$30),"")</f>
        <v>204055</v>
      </c>
      <c r="CA30">
        <f ca="1">IFERROR(IF(0=LEN(ReferenceData!$CA$30),"",ReferenceData!$CA$30),"")</f>
        <v>209985</v>
      </c>
      <c r="CB30">
        <f ca="1">IFERROR(IF(0=LEN(ReferenceData!$CB$30),"",ReferenceData!$CB$30),"")</f>
        <v>219370</v>
      </c>
      <c r="CC30">
        <f ca="1">IFERROR(IF(0=LEN(ReferenceData!$CC$30),"",ReferenceData!$CC$30),"")</f>
        <v>215394</v>
      </c>
      <c r="CD30">
        <f ca="1">IFERROR(IF(0=LEN(ReferenceData!$CD$30),"",ReferenceData!$CD$30),"")</f>
        <v>205095</v>
      </c>
      <c r="CE30">
        <f ca="1">IFERROR(IF(0=LEN(ReferenceData!$CE$30),"",ReferenceData!$CE$30),"")</f>
        <v>192908</v>
      </c>
      <c r="CF30">
        <f ca="1">IFERROR(IF(0=LEN(ReferenceData!$CF$30),"",ReferenceData!$CF$30),"")</f>
        <v>153547</v>
      </c>
      <c r="CG30">
        <f ca="1">IFERROR(IF(0=LEN(ReferenceData!$CG$30),"",ReferenceData!$CG$30),"")</f>
        <v>135413</v>
      </c>
      <c r="CH30">
        <f ca="1">IFERROR(IF(0=LEN(ReferenceData!$CH$30),"",ReferenceData!$CH$30),"")</f>
        <v>128742</v>
      </c>
      <c r="CI30">
        <f ca="1">IFERROR(IF(0=LEN(ReferenceData!$CI$30),"",ReferenceData!$CI$30),"")</f>
        <v>165465</v>
      </c>
      <c r="CJ30">
        <f ca="1">IFERROR(IF(0=LEN(ReferenceData!$CJ$30),"",ReferenceData!$CJ$30),"")</f>
        <v>154397</v>
      </c>
      <c r="CK30">
        <f ca="1">IFERROR(IF(0=LEN(ReferenceData!$CK$30),"",ReferenceData!$CK$30),"")</f>
        <v>142801</v>
      </c>
    </row>
    <row r="31" spans="1:89" x14ac:dyDescent="0.25">
      <c r="A31" t="str">
        <f>IFERROR(IF(0=LEN(ReferenceData!$A$31),"",ReferenceData!$A$31),"")</f>
        <v xml:space="preserve">    Port of New York New Jersey (TEU)</v>
      </c>
      <c r="B31" t="str">
        <f>IFERROR(IF(0=LEN(ReferenceData!$B$31),"",ReferenceData!$B$31),"")</f>
        <v>PONYTOTL Index</v>
      </c>
      <c r="C31" t="str">
        <f>IFERROR(IF(0=LEN(ReferenceData!$C$31),"",ReferenceData!$C$31),"")</f>
        <v>PX385</v>
      </c>
      <c r="D31" t="str">
        <f>IFERROR(IF(0=LEN(ReferenceData!$D$31),"",ReferenceData!$D$31),"")</f>
        <v>INTERVAL_SUM</v>
      </c>
      <c r="E31" t="str">
        <f>IFERROR(IF(0=LEN(ReferenceData!$E$31),"",ReferenceData!$E$31),"")</f>
        <v>Dynamic</v>
      </c>
      <c r="F31" t="str">
        <f ca="1">IFERROR(IF(0=LEN(ReferenceData!$F$31),"",ReferenceData!$F$31),"")</f>
        <v/>
      </c>
      <c r="G31">
        <f ca="1">IFERROR(IF(0=LEN(ReferenceData!$G$31),"",ReferenceData!$G$31),"")</f>
        <v>439412</v>
      </c>
      <c r="H31">
        <f ca="1">IFERROR(IF(0=LEN(ReferenceData!$H$31),"",ReferenceData!$H$31),"")</f>
        <v>454946</v>
      </c>
      <c r="I31">
        <f ca="1">IFERROR(IF(0=LEN(ReferenceData!$I$31),"",ReferenceData!$I$31),"")</f>
        <v>472334</v>
      </c>
      <c r="J31">
        <f ca="1">IFERROR(IF(0=LEN(ReferenceData!$J$31),"",ReferenceData!$J$31),"")</f>
        <v>428190</v>
      </c>
      <c r="K31">
        <f ca="1">IFERROR(IF(0=LEN(ReferenceData!$K$31),"",ReferenceData!$K$31),"")</f>
        <v>462125</v>
      </c>
      <c r="L31">
        <f ca="1">IFERROR(IF(0=LEN(ReferenceData!$L$31),"",ReferenceData!$L$31),"")</f>
        <v>431191</v>
      </c>
      <c r="M31">
        <f ca="1">IFERROR(IF(0=LEN(ReferenceData!$M$31),"",ReferenceData!$M$31),"")</f>
        <v>404066</v>
      </c>
      <c r="N31">
        <f ca="1">IFERROR(IF(0=LEN(ReferenceData!$N$31),"",ReferenceData!$N$31),"")</f>
        <v>387006</v>
      </c>
      <c r="O31">
        <f ca="1">IFERROR(IF(0=LEN(ReferenceData!$O$31),"",ReferenceData!$O$31),"")</f>
        <v>436250</v>
      </c>
      <c r="P31">
        <f ca="1">IFERROR(IF(0=LEN(ReferenceData!$P$31),"",ReferenceData!$P$31),"")</f>
        <v>498878</v>
      </c>
      <c r="Q31">
        <f ca="1">IFERROR(IF(0=LEN(ReferenceData!$Q$31),"",ReferenceData!$Q$31),"")</f>
        <v>459769</v>
      </c>
      <c r="R31">
        <f ca="1">IFERROR(IF(0=LEN(ReferenceData!$R$31),"",ReferenceData!$R$31),"")</f>
        <v>494778</v>
      </c>
      <c r="S31">
        <f ca="1">IFERROR(IF(0=LEN(ReferenceData!$S$31),"",ReferenceData!$S$31),"")</f>
        <v>526687</v>
      </c>
      <c r="T31">
        <f ca="1">IFERROR(IF(0=LEN(ReferenceData!$T$31),"",ReferenceData!$T$31),"")</f>
        <v>537779</v>
      </c>
      <c r="U31">
        <f ca="1">IFERROR(IF(0=LEN(ReferenceData!$U$31),"",ReferenceData!$U$31),"")</f>
        <v>498792</v>
      </c>
      <c r="V31">
        <f ca="1">IFERROR(IF(0=LEN(ReferenceData!$V$31),"",ReferenceData!$V$31),"")</f>
        <v>550647</v>
      </c>
      <c r="W31">
        <f ca="1">IFERROR(IF(0=LEN(ReferenceData!$W$31),"",ReferenceData!$W$31),"")</f>
        <v>544975</v>
      </c>
      <c r="X31">
        <f ca="1">IFERROR(IF(0=LEN(ReferenceData!$X$31),"",ReferenceData!$X$31),"")</f>
        <v>533194</v>
      </c>
      <c r="Y31">
        <f ca="1">IFERROR(IF(0=LEN(ReferenceData!$Y$31),"",ReferenceData!$Y$31),"")</f>
        <v>562224</v>
      </c>
      <c r="Z31">
        <f ca="1">IFERROR(IF(0=LEN(ReferenceData!$Z$31),"",ReferenceData!$Z$31),"")</f>
        <v>489321</v>
      </c>
      <c r="AA31">
        <f ca="1">IFERROR(IF(0=LEN(ReferenceData!$AA$31),"",ReferenceData!$AA$31),"")</f>
        <v>498878</v>
      </c>
      <c r="AB31">
        <f ca="1">IFERROR(IF(0=LEN(ReferenceData!$AB$31),"",ReferenceData!$AB$31),"")</f>
        <v>498878</v>
      </c>
      <c r="AC31">
        <f ca="1">IFERROR(IF(0=LEN(ReferenceData!$AC$31),"",ReferenceData!$AC$31),"")</f>
        <v>500229</v>
      </c>
      <c r="AD31">
        <f ca="1">IFERROR(IF(0=LEN(ReferenceData!$AD$31),"",ReferenceData!$AD$31),"")</f>
        <v>518785</v>
      </c>
      <c r="AE31">
        <f ca="1">IFERROR(IF(0=LEN(ReferenceData!$AE$31),"",ReferenceData!$AE$31),"")</f>
        <v>479083</v>
      </c>
      <c r="AF31">
        <f ca="1">IFERROR(IF(0=LEN(ReferenceData!$AF$31),"",ReferenceData!$AF$31),"")</f>
        <v>503602</v>
      </c>
      <c r="AG31">
        <f ca="1">IFERROR(IF(0=LEN(ReferenceData!$AG$31),"",ReferenceData!$AG$31),"")</f>
        <v>505104</v>
      </c>
      <c r="AH31">
        <f ca="1">IFERROR(IF(0=LEN(ReferenceData!$AH$31),"",ReferenceData!$AH$31),"")</f>
        <v>499758</v>
      </c>
      <c r="AI31">
        <f ca="1">IFERROR(IF(0=LEN(ReferenceData!$AI$31),"",ReferenceData!$AI$31),"")</f>
        <v>530875</v>
      </c>
      <c r="AJ31">
        <f ca="1">IFERROR(IF(0=LEN(ReferenceData!$AJ$31),"",ReferenceData!$AJ$31),"")</f>
        <v>480936</v>
      </c>
      <c r="AK31">
        <f ca="1">IFERROR(IF(0=LEN(ReferenceData!$AK$31),"",ReferenceData!$AK$31),"")</f>
        <v>519858</v>
      </c>
      <c r="AL31">
        <f ca="1">IFERROR(IF(0=LEN(ReferenceData!$AL$31),"",ReferenceData!$AL$31),"")</f>
        <v>428874</v>
      </c>
      <c r="AM31">
        <f ca="1">IFERROR(IF(0=LEN(ReferenceData!$AM$31),"",ReferenceData!$AM$31),"")</f>
        <v>480130</v>
      </c>
      <c r="AN31">
        <f ca="1">IFERROR(IF(0=LEN(ReferenceData!$AN$31),"",ReferenceData!$AN$31),"")</f>
        <v>462216</v>
      </c>
      <c r="AO31">
        <f ca="1">IFERROR(IF(0=LEN(ReferenceData!$AO$31),"",ReferenceData!$AO$31),"")</f>
        <v>501674</v>
      </c>
      <c r="AP31">
        <f ca="1">IFERROR(IF(0=LEN(ReferenceData!$AP$31),"",ReferenceData!$AP$31),"")</f>
        <v>521384</v>
      </c>
      <c r="AQ31">
        <f ca="1">IFERROR(IF(0=LEN(ReferenceData!$AQ$31),"",ReferenceData!$AQ$31),"")</f>
        <v>489339</v>
      </c>
      <c r="AR31">
        <f ca="1">IFERROR(IF(0=LEN(ReferenceData!$AR$31),"",ReferenceData!$AR$31),"")</f>
        <v>469954</v>
      </c>
      <c r="AS31">
        <f ca="1">IFERROR(IF(0=LEN(ReferenceData!$AS$31),"",ReferenceData!$AS$31),"")</f>
        <v>428819</v>
      </c>
      <c r="AT31">
        <f ca="1">IFERROR(IF(0=LEN(ReferenceData!$AT$31),"",ReferenceData!$AT$31),"")</f>
        <v>361823</v>
      </c>
      <c r="AU31">
        <f ca="1">IFERROR(IF(0=LEN(ReferenceData!$AU$31),"",ReferenceData!$AU$31),"")</f>
        <v>361466</v>
      </c>
      <c r="AV31">
        <f ca="1">IFERROR(IF(0=LEN(ReferenceData!$AV$31),"",ReferenceData!$AV$31),"")</f>
        <v>381386</v>
      </c>
      <c r="AW31">
        <f ca="1">IFERROR(IF(0=LEN(ReferenceData!$AW$31),"",ReferenceData!$AW$31),"")</f>
        <v>408291</v>
      </c>
      <c r="AX31">
        <f ca="1">IFERROR(IF(0=LEN(ReferenceData!$AX$31),"",ReferenceData!$AX$31),"")</f>
        <v>414246</v>
      </c>
      <c r="AY31">
        <f ca="1">IFERROR(IF(0=LEN(ReferenceData!$AY$31),"",ReferenceData!$AY$31),"")</f>
        <v>441131</v>
      </c>
      <c r="AZ31">
        <f ca="1">IFERROR(IF(0=LEN(ReferenceData!$AZ$31),"",ReferenceData!$AZ$31),"")</f>
        <v>399732</v>
      </c>
      <c r="BA31">
        <f ca="1">IFERROR(IF(0=LEN(ReferenceData!$BA$31),"",ReferenceData!$BA$31),"")</f>
        <v>420545</v>
      </c>
      <c r="BB31">
        <f ca="1">IFERROR(IF(0=LEN(ReferenceData!$BB$31),"",ReferenceData!$BB$31),"")</f>
        <v>466699</v>
      </c>
      <c r="BC31">
        <f ca="1">IFERROR(IF(0=LEN(ReferenceData!$BC$31),"",ReferenceData!$BC$31),"")</f>
        <v>432097</v>
      </c>
      <c r="BD31">
        <f ca="1">IFERROR(IF(0=LEN(ReferenceData!$BD$31),"",ReferenceData!$BD$31),"")</f>
        <v>469778</v>
      </c>
      <c r="BE31">
        <f ca="1">IFERROR(IF(0=LEN(ReferenceData!$BE$31),"",ReferenceData!$BE$31),"")</f>
        <v>454987</v>
      </c>
      <c r="BF31">
        <f ca="1">IFERROR(IF(0=LEN(ReferenceData!$BF$31),"",ReferenceData!$BF$31),"")</f>
        <v>424371</v>
      </c>
      <c r="BG31">
        <f ca="1">IFERROR(IF(0=LEN(ReferenceData!$BG$31),"",ReferenceData!$BG$31),"")</f>
        <v>472995</v>
      </c>
      <c r="BH31">
        <f ca="1">IFERROR(IF(0=LEN(ReferenceData!$BH$31),"",ReferenceData!$BH$31),"")</f>
        <v>429136</v>
      </c>
      <c r="BI31">
        <f ca="1">IFERROR(IF(0=LEN(ReferenceData!$BI$31),"",ReferenceData!$BI$31),"")</f>
        <v>413019</v>
      </c>
      <c r="BJ31">
        <f ca="1">IFERROR(IF(0=LEN(ReferenceData!$BJ$31),"",ReferenceData!$BJ$31),"")</f>
        <v>408881</v>
      </c>
      <c r="BK31">
        <f ca="1">IFERROR(IF(0=LEN(ReferenceData!$BK$31),"",ReferenceData!$BK$31),"")</f>
        <v>439178</v>
      </c>
      <c r="BL31">
        <f ca="1">IFERROR(IF(0=LEN(ReferenceData!$BL$31),"",ReferenceData!$BL$31),"")</f>
        <v>433259</v>
      </c>
      <c r="BM31">
        <f ca="1">IFERROR(IF(0=LEN(ReferenceData!$BM$31),"",ReferenceData!$BM$31),"")</f>
        <v>417241</v>
      </c>
      <c r="BN31">
        <f ca="1">IFERROR(IF(0=LEN(ReferenceData!$BN$31),"",ReferenceData!$BN$31),"")</f>
        <v>470384</v>
      </c>
      <c r="BO31">
        <f ca="1">IFERROR(IF(0=LEN(ReferenceData!$BO$31),"",ReferenceData!$BO$31),"")</f>
        <v>420836</v>
      </c>
      <c r="BP31">
        <f ca="1">IFERROR(IF(0=LEN(ReferenceData!$BP$31),"",ReferenceData!$BP$31),"")</f>
        <v>458682</v>
      </c>
      <c r="BQ31">
        <f ca="1">IFERROR(IF(0=LEN(ReferenceData!$BQ$31),"",ReferenceData!$BQ$31),"")</f>
        <v>438534</v>
      </c>
      <c r="BR31">
        <f ca="1">IFERROR(IF(0=LEN(ReferenceData!$BR$31),"",ReferenceData!$BR$31),"")</f>
        <v>439986</v>
      </c>
      <c r="BS31">
        <f ca="1">IFERROR(IF(0=LEN(ReferenceData!$BS$31),"",ReferenceData!$BS$31),"")</f>
        <v>432422</v>
      </c>
      <c r="BT31">
        <f ca="1">IFERROR(IF(0=LEN(ReferenceData!$BT$31),"",ReferenceData!$BT$31),"")</f>
        <v>407746</v>
      </c>
      <c r="BU31">
        <f ca="1">IFERROR(IF(0=LEN(ReferenceData!$BU$31),"",ReferenceData!$BU$31),"")</f>
        <v>420567</v>
      </c>
      <c r="BV31">
        <f ca="1">IFERROR(IF(0=LEN(ReferenceData!$BV$31),"",ReferenceData!$BV$31),"")</f>
        <v>391340</v>
      </c>
      <c r="BW31">
        <f ca="1">IFERROR(IF(0=LEN(ReferenceData!$BW$31),"",ReferenceData!$BW$31),"")</f>
        <v>421896</v>
      </c>
      <c r="BX31">
        <f ca="1">IFERROR(IF(0=LEN(ReferenceData!$BX$31),"",ReferenceData!$BX$31),"")</f>
        <v>395459</v>
      </c>
      <c r="BY31">
        <f ca="1">IFERROR(IF(0=LEN(ReferenceData!$BY$31),"",ReferenceData!$BY$31),"")</f>
        <v>413830</v>
      </c>
      <c r="BZ31">
        <f ca="1">IFERROR(IF(0=LEN(ReferenceData!$BZ$31),"",ReferenceData!$BZ$31),"")</f>
        <v>426932</v>
      </c>
      <c r="CA31">
        <f ca="1">IFERROR(IF(0=LEN(ReferenceData!$CA$31),"",ReferenceData!$CA$31),"")</f>
        <v>401492</v>
      </c>
      <c r="CB31">
        <f ca="1">IFERROR(IF(0=LEN(ReferenceData!$CB$31),"",ReferenceData!$CB$31),"")</f>
        <v>446160</v>
      </c>
      <c r="CC31">
        <f ca="1">IFERROR(IF(0=LEN(ReferenceData!$CC$31),"",ReferenceData!$CC$31),"")</f>
        <v>404454</v>
      </c>
      <c r="CD31">
        <f ca="1">IFERROR(IF(0=LEN(ReferenceData!$CD$31),"",ReferenceData!$CD$31),"")</f>
        <v>413524</v>
      </c>
      <c r="CE31">
        <f ca="1">IFERROR(IF(0=LEN(ReferenceData!$CE$31),"",ReferenceData!$CE$31),"")</f>
        <v>402753</v>
      </c>
      <c r="CF31">
        <f ca="1">IFERROR(IF(0=LEN(ReferenceData!$CF$31),"",ReferenceData!$CF$31),"")</f>
        <v>398283</v>
      </c>
      <c r="CG31">
        <f ca="1">IFERROR(IF(0=LEN(ReferenceData!$CG$31),"",ReferenceData!$CG$31),"")</f>
        <v>364892</v>
      </c>
      <c r="CH31">
        <f ca="1">IFERROR(IF(0=LEN(ReferenceData!$CH$31),"",ReferenceData!$CH$31),"")</f>
        <v>368513</v>
      </c>
      <c r="CI31">
        <f ca="1">IFERROR(IF(0=LEN(ReferenceData!$CI$31),"",ReferenceData!$CI$31),"")</f>
        <v>421896</v>
      </c>
      <c r="CJ31">
        <f ca="1">IFERROR(IF(0=LEN(ReferenceData!$CJ$31),"",ReferenceData!$CJ$31),"")</f>
        <v>376282</v>
      </c>
      <c r="CK31">
        <f ca="1">IFERROR(IF(0=LEN(ReferenceData!$CK$31),"",ReferenceData!$CK$31),"")</f>
        <v>386639</v>
      </c>
    </row>
    <row r="32" spans="1:89" x14ac:dyDescent="0.25">
      <c r="A32" t="str">
        <f>IFERROR(IF(0=LEN(ReferenceData!$A$32),"",ReferenceData!$A$32),"")</f>
        <v xml:space="preserve">    Port of Savannah (TEU)</v>
      </c>
      <c r="B32" t="str">
        <f>IFERROR(IF(0=LEN(ReferenceData!$B$32),"",ReferenceData!$B$32),"")</f>
        <v>POSATOTL Index</v>
      </c>
      <c r="C32" t="str">
        <f>IFERROR(IF(0=LEN(ReferenceData!$C$32),"",ReferenceData!$C$32),"")</f>
        <v>PX385</v>
      </c>
      <c r="D32" t="str">
        <f>IFERROR(IF(0=LEN(ReferenceData!$D$32),"",ReferenceData!$D$32),"")</f>
        <v>INTERVAL_SUM</v>
      </c>
      <c r="E32" t="str">
        <f>IFERROR(IF(0=LEN(ReferenceData!$E$32),"",ReferenceData!$E$32),"")</f>
        <v>Dynamic</v>
      </c>
      <c r="F32" t="str">
        <f ca="1">IFERROR(IF(0=LEN(ReferenceData!$F$32),"",ReferenceData!$F$32),"")</f>
        <v/>
      </c>
      <c r="G32" t="str">
        <f ca="1">IFERROR(IF(0=LEN(ReferenceData!$G$32),"",ReferenceData!$G$32),"")</f>
        <v/>
      </c>
      <c r="H32">
        <f ca="1">IFERROR(IF(0=LEN(ReferenceData!$H$32),"",ReferenceData!$H$32),"")</f>
        <v>413294</v>
      </c>
      <c r="I32">
        <f ca="1">IFERROR(IF(0=LEN(ReferenceData!$I$32),"",ReferenceData!$I$32),"")</f>
        <v>447587</v>
      </c>
      <c r="J32">
        <f ca="1">IFERROR(IF(0=LEN(ReferenceData!$J$32),"",ReferenceData!$J$32),"")</f>
        <v>381825</v>
      </c>
      <c r="K32">
        <f ca="1">IFERROR(IF(0=LEN(ReferenceData!$K$32),"",ReferenceData!$K$32),"")</f>
        <v>400511</v>
      </c>
      <c r="L32">
        <f ca="1">IFERROR(IF(0=LEN(ReferenceData!$L$32),"",ReferenceData!$L$32),"")</f>
        <v>408686</v>
      </c>
      <c r="M32">
        <f ca="1">IFERROR(IF(0=LEN(ReferenceData!$M$32),"",ReferenceData!$M$32),"")</f>
        <v>367880</v>
      </c>
      <c r="N32">
        <f ca="1">IFERROR(IF(0=LEN(ReferenceData!$N$32),"",ReferenceData!$N$32),"")</f>
        <v>394793</v>
      </c>
      <c r="O32">
        <f ca="1">IFERROR(IF(0=LEN(ReferenceData!$O$32),"",ReferenceData!$O$32),"")</f>
        <v>421714</v>
      </c>
      <c r="P32">
        <f ca="1">IFERROR(IF(0=LEN(ReferenceData!$P$32),"",ReferenceData!$P$32),"")</f>
        <v>440759</v>
      </c>
      <c r="Q32">
        <f ca="1">IFERROR(IF(0=LEN(ReferenceData!$Q$32),"",ReferenceData!$Q$32),"")</f>
        <v>464883</v>
      </c>
      <c r="R32">
        <f ca="1">IFERROR(IF(0=LEN(ReferenceData!$R$32),"",ReferenceData!$R$32),"")</f>
        <v>552806</v>
      </c>
      <c r="S32">
        <f ca="1">IFERROR(IF(0=LEN(ReferenceData!$S$32),"",ReferenceData!$S$32),"")</f>
        <v>436279</v>
      </c>
      <c r="T32">
        <f ca="1">IFERROR(IF(0=LEN(ReferenceData!$T$32),"",ReferenceData!$T$32),"")</f>
        <v>575513</v>
      </c>
      <c r="U32">
        <f ca="1">IFERROR(IF(0=LEN(ReferenceData!$U$32),"",ReferenceData!$U$32),"")</f>
        <v>530800</v>
      </c>
      <c r="V32">
        <f ca="1">IFERROR(IF(0=LEN(ReferenceData!$V$32),"",ReferenceData!$V$32),"")</f>
        <v>494107</v>
      </c>
      <c r="W32">
        <f ca="1">IFERROR(IF(0=LEN(ReferenceData!$W$32),"",ReferenceData!$W$32),"")</f>
        <v>519388</v>
      </c>
      <c r="X32">
        <f ca="1">IFERROR(IF(0=LEN(ReferenceData!$X$32),"",ReferenceData!$X$32),"")</f>
        <v>495782</v>
      </c>
      <c r="Y32">
        <f ca="1">IFERROR(IF(0=LEN(ReferenceData!$Y$32),"",ReferenceData!$Y$32),"")</f>
        <v>444690</v>
      </c>
      <c r="Z32">
        <f ca="1">IFERROR(IF(0=LEN(ReferenceData!$Z$32),"",ReferenceData!$Z$32),"")</f>
        <v>460413</v>
      </c>
      <c r="AA32">
        <f ca="1">IFERROR(IF(0=LEN(ReferenceData!$AA$32),"",ReferenceData!$AA$32),"")</f>
        <v>476713</v>
      </c>
      <c r="AB32">
        <f ca="1">IFERROR(IF(0=LEN(ReferenceData!$AB$32),"",ReferenceData!$AB$32),"")</f>
        <v>464951</v>
      </c>
      <c r="AC32">
        <f ca="1">IFERROR(IF(0=LEN(ReferenceData!$AC$32),"",ReferenceData!$AC$32),"")</f>
        <v>495749</v>
      </c>
      <c r="AD32">
        <f ca="1">IFERROR(IF(0=LEN(ReferenceData!$AD$32),"",ReferenceData!$AD$32),"")</f>
        <v>504347</v>
      </c>
      <c r="AE32">
        <f ca="1">IFERROR(IF(0=LEN(ReferenceData!$AE$32),"",ReferenceData!$AE$32),"")</f>
        <v>472062</v>
      </c>
      <c r="AF32">
        <f ca="1">IFERROR(IF(0=LEN(ReferenceData!$AF$32),"",ReferenceData!$AF$32),"")</f>
        <v>485595</v>
      </c>
      <c r="AG32">
        <f ca="1">IFERROR(IF(0=LEN(ReferenceData!$AG$32),"",ReferenceData!$AG$32),"")</f>
        <v>449916</v>
      </c>
      <c r="AH32">
        <f ca="1">IFERROR(IF(0=LEN(ReferenceData!$AH$32),"",ReferenceData!$AH$32),"")</f>
        <v>446815</v>
      </c>
      <c r="AI32">
        <f ca="1">IFERROR(IF(0=LEN(ReferenceData!$AI$32),"",ReferenceData!$AI$32),"")</f>
        <v>478620</v>
      </c>
      <c r="AJ32">
        <f ca="1">IFERROR(IF(0=LEN(ReferenceData!$AJ$32),"",ReferenceData!$AJ$32),"")</f>
        <v>466633</v>
      </c>
      <c r="AK32">
        <f ca="1">IFERROR(IF(0=LEN(ReferenceData!$AK$32),"",ReferenceData!$AK$32),"")</f>
        <v>498064</v>
      </c>
      <c r="AL32">
        <f ca="1">IFERROR(IF(0=LEN(ReferenceData!$AL$32),"",ReferenceData!$AL$32),"")</f>
        <v>390804</v>
      </c>
      <c r="AM32">
        <f ca="1">IFERROR(IF(0=LEN(ReferenceData!$AM$32),"",ReferenceData!$AM$32),"")</f>
        <v>459608</v>
      </c>
      <c r="AN32">
        <f ca="1">IFERROR(IF(0=LEN(ReferenceData!$AN$32),"",ReferenceData!$AN$32),"")</f>
        <v>447519</v>
      </c>
      <c r="AO32">
        <f ca="1">IFERROR(IF(0=LEN(ReferenceData!$AO$32),"",ReferenceData!$AO$32),"")</f>
        <v>464804</v>
      </c>
      <c r="AP32">
        <f ca="1">IFERROR(IF(0=LEN(ReferenceData!$AP$32),"",ReferenceData!$AP$32),"")</f>
        <v>464095</v>
      </c>
      <c r="AQ32">
        <f ca="1">IFERROR(IF(0=LEN(ReferenceData!$AQ$32),"",ReferenceData!$AQ$32),"")</f>
        <v>412138</v>
      </c>
      <c r="AR32">
        <f ca="1">IFERROR(IF(0=LEN(ReferenceData!$AR$32),"",ReferenceData!$AR$32),"")</f>
        <v>441596</v>
      </c>
      <c r="AS32">
        <f ca="1">IFERROR(IF(0=LEN(ReferenceData!$AS$32),"",ReferenceData!$AS$32),"")</f>
        <v>360697</v>
      </c>
      <c r="AT32">
        <f ca="1">IFERROR(IF(0=LEN(ReferenceData!$AT$32),"",ReferenceData!$AT$32),"")</f>
        <v>338287</v>
      </c>
      <c r="AU32">
        <f ca="1">IFERROR(IF(0=LEN(ReferenceData!$AU$32),"",ReferenceData!$AU$32),"")</f>
        <v>337359</v>
      </c>
      <c r="AV32">
        <f ca="1">IFERROR(IF(0=LEN(ReferenceData!$AV$32),"",ReferenceData!$AV$32),"")</f>
        <v>337890</v>
      </c>
      <c r="AW32">
        <f ca="1">IFERROR(IF(0=LEN(ReferenceData!$AW$32),"",ReferenceData!$AW$32),"")</f>
        <v>335789</v>
      </c>
      <c r="AX32">
        <f ca="1">IFERROR(IF(0=LEN(ReferenceData!$AX$32),"",ReferenceData!$AX$32),"")</f>
        <v>364405</v>
      </c>
      <c r="AY32">
        <f ca="1">IFERROR(IF(0=LEN(ReferenceData!$AY$32),"",ReferenceData!$AY$32),"")</f>
        <v>377671</v>
      </c>
      <c r="AZ32">
        <f ca="1">IFERROR(IF(0=LEN(ReferenceData!$AZ$32),"",ReferenceData!$AZ$32),"")</f>
        <v>360834</v>
      </c>
      <c r="BA32">
        <f ca="1">IFERROR(IF(0=LEN(ReferenceData!$BA$32),"",ReferenceData!$BA$32),"")</f>
        <v>362964</v>
      </c>
      <c r="BB32">
        <f ca="1">IFERROR(IF(0=LEN(ReferenceData!$BB$32),"",ReferenceData!$BB$32),"")</f>
        <v>428381</v>
      </c>
      <c r="BC32">
        <f ca="1">IFERROR(IF(0=LEN(ReferenceData!$BC$32),"",ReferenceData!$BC$32),"")</f>
        <v>369999</v>
      </c>
      <c r="BD32">
        <f ca="1">IFERROR(IF(0=LEN(ReferenceData!$BD$32),"",ReferenceData!$BD$32),"")</f>
        <v>437747</v>
      </c>
      <c r="BE32">
        <f ca="1">IFERROR(IF(0=LEN(ReferenceData!$BE$32),"",ReferenceData!$BE$32),"")</f>
        <v>387022</v>
      </c>
      <c r="BF32">
        <f ca="1">IFERROR(IF(0=LEN(ReferenceData!$BF$32),"",ReferenceData!$BF$32),"")</f>
        <v>361906</v>
      </c>
      <c r="BG32">
        <f ca="1">IFERROR(IF(0=LEN(ReferenceData!$BG$32),"",ReferenceData!$BG$32),"")</f>
        <v>373394</v>
      </c>
      <c r="BH32">
        <f ca="1">IFERROR(IF(0=LEN(ReferenceData!$BH$32),"",ReferenceData!$BH$32),"")</f>
        <v>364481</v>
      </c>
      <c r="BI32">
        <f ca="1">IFERROR(IF(0=LEN(ReferenceData!$BI$32),"",ReferenceData!$BI$32),"")</f>
        <v>410326</v>
      </c>
      <c r="BJ32">
        <f ca="1">IFERROR(IF(0=LEN(ReferenceData!$BJ$32),"",ReferenceData!$BJ$32),"")</f>
        <v>312042</v>
      </c>
      <c r="BK32">
        <f ca="1">IFERROR(IF(0=LEN(ReferenceData!$BK$32),"",ReferenceData!$BK$32),"")</f>
        <v>430079</v>
      </c>
      <c r="BL32">
        <f ca="1">IFERROR(IF(0=LEN(ReferenceData!$BL$32),"",ReferenceData!$BL$32),"")</f>
        <v>351366</v>
      </c>
      <c r="BM32">
        <f ca="1">IFERROR(IF(0=LEN(ReferenceData!$BM$32),"",ReferenceData!$BM$32),"")</f>
        <v>344506</v>
      </c>
      <c r="BN32">
        <f ca="1">IFERROR(IF(0=LEN(ReferenceData!$BN$32),"",ReferenceData!$BN$32),"")</f>
        <v>413778</v>
      </c>
      <c r="BO32">
        <f ca="1">IFERROR(IF(0=LEN(ReferenceData!$BO$32),"",ReferenceData!$BO$32),"")</f>
        <v>364150</v>
      </c>
      <c r="BP32">
        <f ca="1">IFERROR(IF(0=LEN(ReferenceData!$BP$32),"",ReferenceData!$BP$32),"")</f>
        <v>375844</v>
      </c>
      <c r="BQ32">
        <f ca="1">IFERROR(IF(0=LEN(ReferenceData!$BQ$32),"",ReferenceData!$BQ$32),"")</f>
        <v>378767</v>
      </c>
      <c r="BR32">
        <f ca="1">IFERROR(IF(0=LEN(ReferenceData!$BR$32),"",ReferenceData!$BR$32),"")</f>
        <v>370726</v>
      </c>
      <c r="BS32">
        <f ca="1">IFERROR(IF(0=LEN(ReferenceData!$BS$32),"",ReferenceData!$BS$32),"")</f>
        <v>361029</v>
      </c>
      <c r="BT32">
        <f ca="1">IFERROR(IF(0=LEN(ReferenceData!$BT$32),"",ReferenceData!$BT$32),"")</f>
        <v>356717</v>
      </c>
      <c r="BU32">
        <f ca="1">IFERROR(IF(0=LEN(ReferenceData!$BU$32),"",ReferenceData!$BU$32),"")</f>
        <v>355208</v>
      </c>
      <c r="BV32">
        <f ca="1">IFERROR(IF(0=LEN(ReferenceData!$BV$32),"",ReferenceData!$BV$32),"")</f>
        <v>341094</v>
      </c>
      <c r="BW32">
        <f ca="1">IFERROR(IF(0=LEN(ReferenceData!$BW$32),"",ReferenceData!$BW$32),"")</f>
        <v>338793</v>
      </c>
      <c r="BX32">
        <f ca="1">IFERROR(IF(0=LEN(ReferenceData!$BX$32),"",ReferenceData!$BX$32),"")</f>
        <v>323117</v>
      </c>
      <c r="BY32">
        <f ca="1">IFERROR(IF(0=LEN(ReferenceData!$BY$32),"",ReferenceData!$BY$32),"")</f>
        <v>309147</v>
      </c>
      <c r="BZ32">
        <f ca="1">IFERROR(IF(0=LEN(ReferenceData!$BZ$32),"",ReferenceData!$BZ$32),"")</f>
        <v>409814</v>
      </c>
      <c r="CA32">
        <f ca="1">IFERROR(IF(0=LEN(ReferenceData!$CA$32),"",ReferenceData!$CA$32),"")</f>
        <v>325141</v>
      </c>
      <c r="CB32">
        <f ca="1">IFERROR(IF(0=LEN(ReferenceData!$CB$32),"",ReferenceData!$CB$32),"")</f>
        <v>348297</v>
      </c>
      <c r="CC32">
        <f ca="1">IFERROR(IF(0=LEN(ReferenceData!$CC$32),"",ReferenceData!$CC$32),"")</f>
        <v>336099</v>
      </c>
      <c r="CD32">
        <f ca="1">IFERROR(IF(0=LEN(ReferenceData!$CD$32),"",ReferenceData!$CD$32),"")</f>
        <v>337711</v>
      </c>
      <c r="CE32">
        <f ca="1">IFERROR(IF(0=LEN(ReferenceData!$CE$32),"",ReferenceData!$CE$32),"")</f>
        <v>350104</v>
      </c>
      <c r="CF32">
        <f ca="1">IFERROR(IF(0=LEN(ReferenceData!$CF$32),"",ReferenceData!$CF$32),"")</f>
        <v>333006</v>
      </c>
      <c r="CG32">
        <f ca="1">IFERROR(IF(0=LEN(ReferenceData!$CG$32),"",ReferenceData!$CG$32),"")</f>
        <v>311770</v>
      </c>
      <c r="CH32">
        <f ca="1">IFERROR(IF(0=LEN(ReferenceData!$CH$32),"",ReferenceData!$CH$32),"")</f>
        <v>330539</v>
      </c>
      <c r="CI32">
        <f ca="1">IFERROR(IF(0=LEN(ReferenceData!$CI$32),"",ReferenceData!$CI$32),"")</f>
        <v>331468</v>
      </c>
      <c r="CJ32">
        <f ca="1">IFERROR(IF(0=LEN(ReferenceData!$CJ$32),"",ReferenceData!$CJ$32),"")</f>
        <v>292173</v>
      </c>
      <c r="CK32">
        <f ca="1">IFERROR(IF(0=LEN(ReferenceData!$CK$32),"",ReferenceData!$CK$32),"")</f>
        <v>300671</v>
      </c>
    </row>
    <row r="33" spans="1:89" x14ac:dyDescent="0.25">
      <c r="A33" t="str">
        <f>IFERROR(IF(0=LEN(ReferenceData!$A$33),"",ReferenceData!$A$33),"")</f>
        <v xml:space="preserve">    Port of Vancouver (TEU)</v>
      </c>
      <c r="B33" t="str">
        <f>IFERROR(IF(0=LEN(ReferenceData!$B$33),"",ReferenceData!$B$33),"")</f>
        <v>PVANTOTL Index</v>
      </c>
      <c r="C33" t="str">
        <f>IFERROR(IF(0=LEN(ReferenceData!$C$33),"",ReferenceData!$C$33),"")</f>
        <v>PX385</v>
      </c>
      <c r="D33" t="str">
        <f>IFERROR(IF(0=LEN(ReferenceData!$D$33),"",ReferenceData!$D$33),"")</f>
        <v>INTERVAL_SUM</v>
      </c>
      <c r="E33" t="str">
        <f>IFERROR(IF(0=LEN(ReferenceData!$E$33),"",ReferenceData!$E$33),"")</f>
        <v>Dynamic</v>
      </c>
      <c r="F33" t="str">
        <f ca="1">IFERROR(IF(0=LEN(ReferenceData!$F$33),"",ReferenceData!$F$33),"")</f>
        <v/>
      </c>
      <c r="G33">
        <f ca="1">IFERROR(IF(0=LEN(ReferenceData!$G$33),"",ReferenceData!$G$33),"")</f>
        <v>286241</v>
      </c>
      <c r="H33">
        <f ca="1">IFERROR(IF(0=LEN(ReferenceData!$H$33),"",ReferenceData!$H$33),"")</f>
        <v>253978</v>
      </c>
      <c r="I33">
        <f ca="1">IFERROR(IF(0=LEN(ReferenceData!$I$33),"",ReferenceData!$I$33),"")</f>
        <v>197511</v>
      </c>
      <c r="J33">
        <f ca="1">IFERROR(IF(0=LEN(ReferenceData!$J$33),"",ReferenceData!$J$33),"")</f>
        <v>285162</v>
      </c>
      <c r="K33">
        <f ca="1">IFERROR(IF(0=LEN(ReferenceData!$K$33),"",ReferenceData!$K$33),"")</f>
        <v>280296</v>
      </c>
      <c r="L33">
        <f ca="1">IFERROR(IF(0=LEN(ReferenceData!$L$33),"",ReferenceData!$L$33),"")</f>
        <v>281171</v>
      </c>
      <c r="M33">
        <f ca="1">IFERROR(IF(0=LEN(ReferenceData!$M$33),"",ReferenceData!$M$33),"")</f>
        <v>226852</v>
      </c>
      <c r="N33">
        <f ca="1">IFERROR(IF(0=LEN(ReferenceData!$N$33),"",ReferenceData!$N$33),"")</f>
        <v>233950</v>
      </c>
      <c r="O33">
        <f ca="1">IFERROR(IF(0=LEN(ReferenceData!$O$33),"",ReferenceData!$O$33),"")</f>
        <v>247473</v>
      </c>
      <c r="P33">
        <f ca="1">IFERROR(IF(0=LEN(ReferenceData!$P$33),"",ReferenceData!$P$33),"")</f>
        <v>207013</v>
      </c>
      <c r="Q33">
        <f ca="1">IFERROR(IF(0=LEN(ReferenceData!$Q$33),"",ReferenceData!$Q$33),"")</f>
        <v>275601</v>
      </c>
      <c r="R33">
        <f ca="1">IFERROR(IF(0=LEN(ReferenceData!$R$33),"",ReferenceData!$R$33),"")</f>
        <v>308542</v>
      </c>
      <c r="S33">
        <f ca="1">IFERROR(IF(0=LEN(ReferenceData!$S$33),"",ReferenceData!$S$33),"")</f>
        <v>325187</v>
      </c>
      <c r="T33">
        <f ca="1">IFERROR(IF(0=LEN(ReferenceData!$T$33),"",ReferenceData!$T$33),"")</f>
        <v>331874</v>
      </c>
      <c r="U33">
        <f ca="1">IFERROR(IF(0=LEN(ReferenceData!$U$33),"",ReferenceData!$U$33),"")</f>
        <v>305600</v>
      </c>
      <c r="V33">
        <f ca="1">IFERROR(IF(0=LEN(ReferenceData!$V$33),"",ReferenceData!$V$33),"")</f>
        <v>319894</v>
      </c>
      <c r="W33">
        <f ca="1">IFERROR(IF(0=LEN(ReferenceData!$W$33),"",ReferenceData!$W$33),"")</f>
        <v>320182</v>
      </c>
      <c r="X33">
        <f ca="1">IFERROR(IF(0=LEN(ReferenceData!$X$33),"",ReferenceData!$X$33),"")</f>
        <v>327562</v>
      </c>
      <c r="Y33">
        <f ca="1">IFERROR(IF(0=LEN(ReferenceData!$Y$33),"",ReferenceData!$Y$33),"")</f>
        <v>330693</v>
      </c>
      <c r="Z33">
        <f ca="1">IFERROR(IF(0=LEN(ReferenceData!$Z$33),"",ReferenceData!$Z$33),"")</f>
        <v>252536</v>
      </c>
      <c r="AA33">
        <f ca="1">IFERROR(IF(0=LEN(ReferenceData!$AA$33),"",ReferenceData!$AA$33),"")</f>
        <v>252612</v>
      </c>
      <c r="AB33">
        <f ca="1">IFERROR(IF(0=LEN(ReferenceData!$AB$33),"",ReferenceData!$AB$33),"")</f>
        <v>254617</v>
      </c>
      <c r="AC33">
        <f ca="1">IFERROR(IF(0=LEN(ReferenceData!$AC$33),"",ReferenceData!$AC$33),"")</f>
        <v>240583</v>
      </c>
      <c r="AD33">
        <f ca="1">IFERROR(IF(0=LEN(ReferenceData!$AD$33),"",ReferenceData!$AD$33),"")</f>
        <v>327146</v>
      </c>
      <c r="AE33">
        <f ca="1">IFERROR(IF(0=LEN(ReferenceData!$AE$33),"",ReferenceData!$AE$33),"")</f>
        <v>311855</v>
      </c>
      <c r="AF33">
        <f ca="1">IFERROR(IF(0=LEN(ReferenceData!$AF$33),"",ReferenceData!$AF$33),"")</f>
        <v>336695</v>
      </c>
      <c r="AG33">
        <f ca="1">IFERROR(IF(0=LEN(ReferenceData!$AG$33),"",ReferenceData!$AG$33),"")</f>
        <v>265593</v>
      </c>
      <c r="AH33">
        <f ca="1">IFERROR(IF(0=LEN(ReferenceData!$AH$33),"",ReferenceData!$AH$33),"")</f>
        <v>302003</v>
      </c>
      <c r="AI33">
        <f ca="1">IFERROR(IF(0=LEN(ReferenceData!$AI$33),"",ReferenceData!$AI$33),"")</f>
        <v>371855</v>
      </c>
      <c r="AJ33">
        <f ca="1">IFERROR(IF(0=LEN(ReferenceData!$AJ$33),"",ReferenceData!$AJ$33),"")</f>
        <v>337271</v>
      </c>
      <c r="AK33">
        <f ca="1">IFERROR(IF(0=LEN(ReferenceData!$AK$33),"",ReferenceData!$AK$33),"")</f>
        <v>332258</v>
      </c>
      <c r="AL33">
        <f ca="1">IFERROR(IF(0=LEN(ReferenceData!$AL$33),"",ReferenceData!$AL$33),"")</f>
        <v>280733</v>
      </c>
      <c r="AM33">
        <f ca="1">IFERROR(IF(0=LEN(ReferenceData!$AM$33),"",ReferenceData!$AM$33),"")</f>
        <v>319972</v>
      </c>
      <c r="AN33">
        <f ca="1">IFERROR(IF(0=LEN(ReferenceData!$AN$33),"",ReferenceData!$AN$33),"")</f>
        <v>321302</v>
      </c>
      <c r="AO33">
        <f ca="1">IFERROR(IF(0=LEN(ReferenceData!$AO$33),"",ReferenceData!$AO$33),"")</f>
        <v>315721</v>
      </c>
      <c r="AP33">
        <f ca="1">IFERROR(IF(0=LEN(ReferenceData!$AP$33),"",ReferenceData!$AP$33),"")</f>
        <v>359384</v>
      </c>
      <c r="AQ33">
        <f ca="1">IFERROR(IF(0=LEN(ReferenceData!$AQ$33),"",ReferenceData!$AQ$33),"")</f>
        <v>302737</v>
      </c>
      <c r="AR33">
        <f ca="1">IFERROR(IF(0=LEN(ReferenceData!$AR$33),"",ReferenceData!$AR$33),"")</f>
        <v>300341</v>
      </c>
      <c r="AS33">
        <f ca="1">IFERROR(IF(0=LEN(ReferenceData!$AS$33),"",ReferenceData!$AS$33),"")</f>
        <v>303559</v>
      </c>
      <c r="AT33">
        <f ca="1">IFERROR(IF(0=LEN(ReferenceData!$AT$33),"",ReferenceData!$AT$33),"")</f>
        <v>275171</v>
      </c>
      <c r="AU33">
        <f ca="1">IFERROR(IF(0=LEN(ReferenceData!$AU$33),"",ReferenceData!$AU$33),"")</f>
        <v>276230</v>
      </c>
      <c r="AV33">
        <f ca="1">IFERROR(IF(0=LEN(ReferenceData!$AV$33),"",ReferenceData!$AV$33),"")</f>
        <v>278223</v>
      </c>
      <c r="AW33">
        <f ca="1">IFERROR(IF(0=LEN(ReferenceData!$AW$33),"",ReferenceData!$AW$33),"")</f>
        <v>237696</v>
      </c>
      <c r="AX33">
        <f ca="1">IFERROR(IF(0=LEN(ReferenceData!$AX$33),"",ReferenceData!$AX$33),"")</f>
        <v>231560</v>
      </c>
      <c r="AY33">
        <f ca="1">IFERROR(IF(0=LEN(ReferenceData!$AY$33),"",ReferenceData!$AY$33),"")</f>
        <v>265599</v>
      </c>
      <c r="AZ33">
        <f ca="1">IFERROR(IF(0=LEN(ReferenceData!$AZ$33),"",ReferenceData!$AZ$33),"")</f>
        <v>271868</v>
      </c>
      <c r="BA33">
        <f ca="1">IFERROR(IF(0=LEN(ReferenceData!$BA$33),"",ReferenceData!$BA$33),"")</f>
        <v>257943</v>
      </c>
      <c r="BB33">
        <f ca="1">IFERROR(IF(0=LEN(ReferenceData!$BB$33),"",ReferenceData!$BB$33),"")</f>
        <v>272899</v>
      </c>
      <c r="BC33">
        <f ca="1">IFERROR(IF(0=LEN(ReferenceData!$BC$33),"",ReferenceData!$BC$33),"")</f>
        <v>303835</v>
      </c>
      <c r="BD33">
        <f ca="1">IFERROR(IF(0=LEN(ReferenceData!$BD$33),"",ReferenceData!$BD$33),"")</f>
        <v>295765</v>
      </c>
      <c r="BE33">
        <f ca="1">IFERROR(IF(0=LEN(ReferenceData!$BE$33),"",ReferenceData!$BE$33),"")</f>
        <v>301174</v>
      </c>
      <c r="BF33">
        <f ca="1">IFERROR(IF(0=LEN(ReferenceData!$BF$33),"",ReferenceData!$BF$33),"")</f>
        <v>285593</v>
      </c>
      <c r="BG33">
        <f ca="1">IFERROR(IF(0=LEN(ReferenceData!$BG$33),"",ReferenceData!$BG$33),"")</f>
        <v>276115</v>
      </c>
      <c r="BH33">
        <f ca="1">IFERROR(IF(0=LEN(ReferenceData!$BH$33),"",ReferenceData!$BH$33),"")</f>
        <v>290630</v>
      </c>
      <c r="BI33">
        <f ca="1">IFERROR(IF(0=LEN(ReferenceData!$BI$33),"",ReferenceData!$BI$33),"")</f>
        <v>269681</v>
      </c>
      <c r="BJ33">
        <f ca="1">IFERROR(IF(0=LEN(ReferenceData!$BJ$33),"",ReferenceData!$BJ$33),"")</f>
        <v>259831</v>
      </c>
      <c r="BK33">
        <f ca="1">IFERROR(IF(0=LEN(ReferenceData!$BK$33),"",ReferenceData!$BK$33),"")</f>
        <v>313527</v>
      </c>
      <c r="BL33">
        <f ca="1">IFERROR(IF(0=LEN(ReferenceData!$BL$33),"",ReferenceData!$BL$33),"")</f>
        <v>271715</v>
      </c>
      <c r="BM33">
        <f ca="1">IFERROR(IF(0=LEN(ReferenceData!$BM$33),"",ReferenceData!$BM$33),"")</f>
        <v>305325</v>
      </c>
      <c r="BN33">
        <f ca="1">IFERROR(IF(0=LEN(ReferenceData!$BN$33),"",ReferenceData!$BN$33),"")</f>
        <v>299258</v>
      </c>
      <c r="BO33">
        <f ca="1">IFERROR(IF(0=LEN(ReferenceData!$BO$33),"",ReferenceData!$BO$33),"")</f>
        <v>310982</v>
      </c>
      <c r="BP33">
        <f ca="1">IFERROR(IF(0=LEN(ReferenceData!$BP$33),"",ReferenceData!$BP$33),"")</f>
        <v>273638</v>
      </c>
      <c r="BQ33">
        <f ca="1">IFERROR(IF(0=LEN(ReferenceData!$BQ$33),"",ReferenceData!$BQ$33),"")</f>
        <v>298093</v>
      </c>
      <c r="BR33">
        <f ca="1">IFERROR(IF(0=LEN(ReferenceData!$BR$33),"",ReferenceData!$BR$33),"")</f>
        <v>285082</v>
      </c>
      <c r="BS33">
        <f ca="1">IFERROR(IF(0=LEN(ReferenceData!$BS$33),"",ReferenceData!$BS$33),"")</f>
        <v>292273</v>
      </c>
      <c r="BT33">
        <f ca="1">IFERROR(IF(0=LEN(ReferenceData!$BT$33),"",ReferenceData!$BT$33),"")</f>
        <v>258869</v>
      </c>
      <c r="BU33">
        <f ca="1">IFERROR(IF(0=LEN(ReferenceData!$BU$33),"",ReferenceData!$BU$33),"")</f>
        <v>286563</v>
      </c>
      <c r="BV33">
        <f ca="1">IFERROR(IF(0=LEN(ReferenceData!$BV$33),"",ReferenceData!$BV$33),"")</f>
        <v>248583</v>
      </c>
      <c r="BW33">
        <f ca="1">IFERROR(IF(0=LEN(ReferenceData!$BW$33),"",ReferenceData!$BW$33),"")</f>
        <v>266071</v>
      </c>
      <c r="BX33">
        <f ca="1">IFERROR(IF(0=LEN(ReferenceData!$BX$33),"",ReferenceData!$BX$33),"")</f>
        <v>270488</v>
      </c>
      <c r="BY33">
        <f ca="1">IFERROR(IF(0=LEN(ReferenceData!$BY$33),"",ReferenceData!$BY$33),"")</f>
        <v>289576</v>
      </c>
      <c r="BZ33">
        <f ca="1">IFERROR(IF(0=LEN(ReferenceData!$BZ$33),"",ReferenceData!$BZ$33),"")</f>
        <v>277257</v>
      </c>
      <c r="CA33">
        <f ca="1">IFERROR(IF(0=LEN(ReferenceData!$CA$33),"",ReferenceData!$CA$33),"")</f>
        <v>284965</v>
      </c>
      <c r="CB33">
        <f ca="1">IFERROR(IF(0=LEN(ReferenceData!$CB$33),"",ReferenceData!$CB$33),"")</f>
        <v>278538</v>
      </c>
      <c r="CC33">
        <f ca="1">IFERROR(IF(0=LEN(ReferenceData!$CC$33),"",ReferenceData!$CC$33),"")</f>
        <v>292867</v>
      </c>
      <c r="CD33">
        <f ca="1">IFERROR(IF(0=LEN(ReferenceData!$CD$33),"",ReferenceData!$CD$33),"")</f>
        <v>270895</v>
      </c>
      <c r="CE33">
        <f ca="1">IFERROR(IF(0=LEN(ReferenceData!$CE$33),"",ReferenceData!$CE$33),"")</f>
        <v>289948</v>
      </c>
      <c r="CF33">
        <f ca="1">IFERROR(IF(0=LEN(ReferenceData!$CF$33),"",ReferenceData!$CF$33),"")</f>
        <v>257451</v>
      </c>
      <c r="CG33">
        <f ca="1">IFERROR(IF(0=LEN(ReferenceData!$CG$33),"",ReferenceData!$CG$33),"")</f>
        <v>250204</v>
      </c>
      <c r="CH33">
        <f ca="1">IFERROR(IF(0=LEN(ReferenceData!$CH$33),"",ReferenceData!$CH$33),"")</f>
        <v>250514</v>
      </c>
      <c r="CI33">
        <f ca="1">IFERROR(IF(0=LEN(ReferenceData!$CI$33),"",ReferenceData!$CI$33),"")</f>
        <v>239522</v>
      </c>
      <c r="CJ33">
        <f ca="1">IFERROR(IF(0=LEN(ReferenceData!$CJ$33),"",ReferenceData!$CJ$33),"")</f>
        <v>239090</v>
      </c>
      <c r="CK33">
        <f ca="1">IFERROR(IF(0=LEN(ReferenceData!$CK$33),"",ReferenceData!$CK$33),"")</f>
        <v>245883</v>
      </c>
    </row>
    <row r="34" spans="1:89" x14ac:dyDescent="0.25">
      <c r="A34" t="str">
        <f>IFERROR(IF(0=LEN(ReferenceData!$A$34),"",ReferenceData!$A$34),"")</f>
        <v xml:space="preserve">    Ports of Seattle/Tacoma Seaport Alliance (TEU)</v>
      </c>
      <c r="B34" t="str">
        <f>IFERROR(IF(0=LEN(ReferenceData!$B$34),"",ReferenceData!$B$34),"")</f>
        <v>SEAXTOTL Index</v>
      </c>
      <c r="C34" t="str">
        <f>IFERROR(IF(0=LEN(ReferenceData!$C$34),"",ReferenceData!$C$34),"")</f>
        <v>PX385</v>
      </c>
      <c r="D34" t="str">
        <f>IFERROR(IF(0=LEN(ReferenceData!$D$34),"",ReferenceData!$D$34),"")</f>
        <v>INTERVAL_SUM</v>
      </c>
      <c r="E34" t="str">
        <f>IFERROR(IF(0=LEN(ReferenceData!$E$34),"",ReferenceData!$E$34),"")</f>
        <v>Dynamic</v>
      </c>
      <c r="F34" t="str">
        <f ca="1">IFERROR(IF(0=LEN(ReferenceData!$F$34),"",ReferenceData!$F$34),"")</f>
        <v/>
      </c>
      <c r="G34">
        <f ca="1">IFERROR(IF(0=LEN(ReferenceData!$G$34),"",ReferenceData!$G$34),"")</f>
        <v>329609</v>
      </c>
      <c r="H34">
        <f ca="1">IFERROR(IF(0=LEN(ReferenceData!$H$34),"",ReferenceData!$H$34),"")</f>
        <v>242700</v>
      </c>
      <c r="I34">
        <f ca="1">IFERROR(IF(0=LEN(ReferenceData!$I$34),"",ReferenceData!$I$34),"")</f>
        <v>234875</v>
      </c>
      <c r="J34">
        <f ca="1">IFERROR(IF(0=LEN(ReferenceData!$J$34),"",ReferenceData!$J$34),"")</f>
        <v>254458</v>
      </c>
      <c r="K34">
        <f ca="1">IFERROR(IF(0=LEN(ReferenceData!$K$34),"",ReferenceData!$K$34),"")</f>
        <v>229974</v>
      </c>
      <c r="L34">
        <f ca="1">IFERROR(IF(0=LEN(ReferenceData!$L$34),"",ReferenceData!$L$34),"")</f>
        <v>232321</v>
      </c>
      <c r="M34">
        <f ca="1">IFERROR(IF(0=LEN(ReferenceData!$M$34),"",ReferenceData!$M$34),"")</f>
        <v>240979</v>
      </c>
      <c r="N34">
        <f ca="1">IFERROR(IF(0=LEN(ReferenceData!$N$34),"",ReferenceData!$N$34),"")</f>
        <v>225747</v>
      </c>
      <c r="O34">
        <f ca="1">IFERROR(IF(0=LEN(ReferenceData!$O$34),"",ReferenceData!$O$34),"")</f>
        <v>213095</v>
      </c>
      <c r="P34">
        <f ca="1">IFERROR(IF(0=LEN(ReferenceData!$P$34),"",ReferenceData!$P$34),"")</f>
        <v>231799</v>
      </c>
      <c r="Q34">
        <f ca="1">IFERROR(IF(0=LEN(ReferenceData!$Q$34),"",ReferenceData!$Q$34),"")</f>
        <v>247037</v>
      </c>
      <c r="R34">
        <f ca="1">IFERROR(IF(0=LEN(ReferenceData!$R$34),"",ReferenceData!$R$34),"")</f>
        <v>272129</v>
      </c>
      <c r="S34">
        <f ca="1">IFERROR(IF(0=LEN(ReferenceData!$S$34),"",ReferenceData!$S$34),"")</f>
        <v>285315</v>
      </c>
      <c r="T34">
        <f ca="1">IFERROR(IF(0=LEN(ReferenceData!$T$34),"",ReferenceData!$T$34),"")</f>
        <v>280436</v>
      </c>
      <c r="U34">
        <f ca="1">IFERROR(IF(0=LEN(ReferenceData!$U$34),"",ReferenceData!$U$34),"")</f>
        <v>260572</v>
      </c>
      <c r="V34">
        <f ca="1">IFERROR(IF(0=LEN(ReferenceData!$V$34),"",ReferenceData!$V$34),"")</f>
        <v>309123</v>
      </c>
      <c r="W34">
        <f ca="1">IFERROR(IF(0=LEN(ReferenceData!$W$34),"",ReferenceData!$W$34),"")</f>
        <v>329740</v>
      </c>
      <c r="X34">
        <f ca="1">IFERROR(IF(0=LEN(ReferenceData!$X$34),"",ReferenceData!$X$34),"")</f>
        <v>266635</v>
      </c>
      <c r="Y34">
        <f ca="1">IFERROR(IF(0=LEN(ReferenceData!$Y$34),"",ReferenceData!$Y$34),"")</f>
        <v>330906</v>
      </c>
      <c r="Z34">
        <f ca="1">IFERROR(IF(0=LEN(ReferenceData!$Z$34),"",ReferenceData!$Z$34),"")</f>
        <v>298046</v>
      </c>
      <c r="AA34">
        <f ca="1">IFERROR(IF(0=LEN(ReferenceData!$AA$34),"",ReferenceData!$AA$34),"")</f>
        <v>272281</v>
      </c>
      <c r="AB34">
        <f ca="1">IFERROR(IF(0=LEN(ReferenceData!$AB$34),"",ReferenceData!$AB$34),"")</f>
        <v>254102</v>
      </c>
      <c r="AC34">
        <f ca="1">IFERROR(IF(0=LEN(ReferenceData!$AC$34),"",ReferenceData!$AC$34),"")</f>
        <v>325604</v>
      </c>
      <c r="AD34">
        <f ca="1">IFERROR(IF(0=LEN(ReferenceData!$AD$34),"",ReferenceData!$AD$34),"")</f>
        <v>314801</v>
      </c>
      <c r="AE34">
        <f ca="1">IFERROR(IF(0=LEN(ReferenceData!$AE$34),"",ReferenceData!$AE$34),"")</f>
        <v>337513</v>
      </c>
      <c r="AF34">
        <f ca="1">IFERROR(IF(0=LEN(ReferenceData!$AF$34),"",ReferenceData!$AF$34),"")</f>
        <v>313127</v>
      </c>
      <c r="AG34">
        <f ca="1">IFERROR(IF(0=LEN(ReferenceData!$AG$34),"",ReferenceData!$AG$34),"")</f>
        <v>309722</v>
      </c>
      <c r="AH34">
        <f ca="1">IFERROR(IF(0=LEN(ReferenceData!$AH$34),"",ReferenceData!$AH$34),"")</f>
        <v>344573</v>
      </c>
      <c r="AI34">
        <f ca="1">IFERROR(IF(0=LEN(ReferenceData!$AI$34),"",ReferenceData!$AI$34),"")</f>
        <v>336397</v>
      </c>
      <c r="AJ34">
        <f ca="1">IFERROR(IF(0=LEN(ReferenceData!$AJ$34),"",ReferenceData!$AJ$34),"")</f>
        <v>303642</v>
      </c>
      <c r="AK34">
        <f ca="1">IFERROR(IF(0=LEN(ReferenceData!$AK$34),"",ReferenceData!$AK$34),"")</f>
        <v>339322</v>
      </c>
      <c r="AL34">
        <f ca="1">IFERROR(IF(0=LEN(ReferenceData!$AL$34),"",ReferenceData!$AL$34),"")</f>
        <v>268216</v>
      </c>
      <c r="AM34">
        <f ca="1">IFERROR(IF(0=LEN(ReferenceData!$AM$34),"",ReferenceData!$AM$34),"")</f>
        <v>289187</v>
      </c>
      <c r="AN34">
        <f ca="1">IFERROR(IF(0=LEN(ReferenceData!$AN$34),"",ReferenceData!$AN$34),"")</f>
        <v>301814</v>
      </c>
      <c r="AO34">
        <f ca="1">IFERROR(IF(0=LEN(ReferenceData!$AO$34),"",ReferenceData!$AO$34),"")</f>
        <v>301932</v>
      </c>
      <c r="AP34">
        <f ca="1">IFERROR(IF(0=LEN(ReferenceData!$AP$34),"",ReferenceData!$AP$34),"")</f>
        <v>296892</v>
      </c>
      <c r="AQ34">
        <f ca="1">IFERROR(IF(0=LEN(ReferenceData!$AQ$34),"",ReferenceData!$AQ$34),"")</f>
        <v>308682</v>
      </c>
      <c r="AR34">
        <f ca="1">IFERROR(IF(0=LEN(ReferenceData!$AR$34),"",ReferenceData!$AR$34),"")</f>
        <v>276407</v>
      </c>
      <c r="AS34">
        <f ca="1">IFERROR(IF(0=LEN(ReferenceData!$AS$34),"",ReferenceData!$AS$34),"")</f>
        <v>270388</v>
      </c>
      <c r="AT34">
        <f ca="1">IFERROR(IF(0=LEN(ReferenceData!$AT$34),"",ReferenceData!$AT$34),"")</f>
        <v>287036</v>
      </c>
      <c r="AU34">
        <f ca="1">IFERROR(IF(0=LEN(ReferenceData!$AU$34),"",ReferenceData!$AU$34),"")</f>
        <v>240671</v>
      </c>
      <c r="AV34">
        <f ca="1">IFERROR(IF(0=LEN(ReferenceData!$AV$34),"",ReferenceData!$AV$34),"")</f>
        <v>247675</v>
      </c>
      <c r="AW34">
        <f ca="1">IFERROR(IF(0=LEN(ReferenceData!$AW$34),"",ReferenceData!$AW$34),"")</f>
        <v>264133</v>
      </c>
      <c r="AX34">
        <f ca="1">IFERROR(IF(0=LEN(ReferenceData!$AX$34),"",ReferenceData!$AX$34),"")</f>
        <v>260932</v>
      </c>
      <c r="AY34">
        <f ca="1">IFERROR(IF(0=LEN(ReferenceData!$AY$34),"",ReferenceData!$AY$34),"")</f>
        <v>263816</v>
      </c>
      <c r="AZ34">
        <f ca="1">IFERROR(IF(0=LEN(ReferenceData!$AZ$34),"",ReferenceData!$AZ$34),"")</f>
        <v>284452</v>
      </c>
      <c r="BA34">
        <f ca="1">IFERROR(IF(0=LEN(ReferenceData!$BA$34),"",ReferenceData!$BA$34),"")</f>
        <v>271178</v>
      </c>
      <c r="BB34">
        <f ca="1">IFERROR(IF(0=LEN(ReferenceData!$BB$34),"",ReferenceData!$BB$34),"")</f>
        <v>310066</v>
      </c>
      <c r="BC34">
        <f ca="1">IFERROR(IF(0=LEN(ReferenceData!$BC$34),"",ReferenceData!$BC$34),"")</f>
        <v>347278</v>
      </c>
      <c r="BD34">
        <f ca="1">IFERROR(IF(0=LEN(ReferenceData!$BD$34),"",ReferenceData!$BD$34),"")</f>
        <v>320564</v>
      </c>
      <c r="BE34">
        <f ca="1">IFERROR(IF(0=LEN(ReferenceData!$BE$34),"",ReferenceData!$BE$34),"")</f>
        <v>326515</v>
      </c>
      <c r="BF34">
        <f ca="1">IFERROR(IF(0=LEN(ReferenceData!$BF$34),"",ReferenceData!$BF$34),"")</f>
        <v>343221</v>
      </c>
      <c r="BG34">
        <f ca="1">IFERROR(IF(0=LEN(ReferenceData!$BG$34),"",ReferenceData!$BG$34),"")</f>
        <v>315792</v>
      </c>
      <c r="BH34">
        <f ca="1">IFERROR(IF(0=LEN(ReferenceData!$BH$34),"",ReferenceData!$BH$34),"")</f>
        <v>323948</v>
      </c>
      <c r="BI34">
        <f ca="1">IFERROR(IF(0=LEN(ReferenceData!$BI$34),"",ReferenceData!$BI$34),"")</f>
        <v>336828</v>
      </c>
      <c r="BJ34">
        <f ca="1">IFERROR(IF(0=LEN(ReferenceData!$BJ$34),"",ReferenceData!$BJ$34),"")</f>
        <v>269233</v>
      </c>
      <c r="BK34">
        <f ca="1">IFERROR(IF(0=LEN(ReferenceData!$BK$34),"",ReferenceData!$BK$34),"")</f>
        <v>326228</v>
      </c>
      <c r="BL34">
        <f ca="1">IFERROR(IF(0=LEN(ReferenceData!$BL$34),"",ReferenceData!$BL$34),"")</f>
        <v>349055</v>
      </c>
      <c r="BM34">
        <f ca="1">IFERROR(IF(0=LEN(ReferenceData!$BM$34),"",ReferenceData!$BM$34),"")</f>
        <v>319242</v>
      </c>
      <c r="BN34">
        <f ca="1">IFERROR(IF(0=LEN(ReferenceData!$BN$34),"",ReferenceData!$BN$34),"")</f>
        <v>333995</v>
      </c>
      <c r="BO34">
        <f ca="1">IFERROR(IF(0=LEN(ReferenceData!$BO$34),"",ReferenceData!$BO$34),"")</f>
        <v>373845</v>
      </c>
      <c r="BP34">
        <f ca="1">IFERROR(IF(0=LEN(ReferenceData!$BP$34),"",ReferenceData!$BP$34),"")</f>
        <v>314321</v>
      </c>
      <c r="BQ34">
        <f ca="1">IFERROR(IF(0=LEN(ReferenceData!$BQ$34),"",ReferenceData!$BQ$34),"")</f>
        <v>327462</v>
      </c>
      <c r="BR34">
        <f ca="1">IFERROR(IF(0=LEN(ReferenceData!$BR$34),"",ReferenceData!$BR$34),"")</f>
        <v>351284</v>
      </c>
      <c r="BS34">
        <f ca="1">IFERROR(IF(0=LEN(ReferenceData!$BS$34),"",ReferenceData!$BS$34),"")</f>
        <v>309243</v>
      </c>
      <c r="BT34">
        <f ca="1">IFERROR(IF(0=LEN(ReferenceData!$BT$34),"",ReferenceData!$BT$34),"")</f>
        <v>279715</v>
      </c>
      <c r="BU34">
        <f ca="1">IFERROR(IF(0=LEN(ReferenceData!$BU$34),"",ReferenceData!$BU$34),"")</f>
        <v>302516</v>
      </c>
      <c r="BV34">
        <f ca="1">IFERROR(IF(0=LEN(ReferenceData!$BV$34),"",ReferenceData!$BV$34),"")</f>
        <v>280737</v>
      </c>
      <c r="BW34">
        <f ca="1">IFERROR(IF(0=LEN(ReferenceData!$BW$34),"",ReferenceData!$BW$34),"")</f>
        <v>256212</v>
      </c>
      <c r="BX34">
        <f ca="1">IFERROR(IF(0=LEN(ReferenceData!$BX$34),"",ReferenceData!$BX$34),"")</f>
        <v>312782</v>
      </c>
      <c r="BY34">
        <f ca="1">IFERROR(IF(0=LEN(ReferenceData!$BY$34),"",ReferenceData!$BY$34),"")</f>
        <v>299150</v>
      </c>
      <c r="BZ34">
        <f ca="1">IFERROR(IF(0=LEN(ReferenceData!$BZ$34),"",ReferenceData!$BZ$34),"")</f>
        <v>303951</v>
      </c>
      <c r="CA34">
        <f ca="1">IFERROR(IF(0=LEN(ReferenceData!$CA$34),"",ReferenceData!$CA$34),"")</f>
        <v>323477</v>
      </c>
      <c r="CB34">
        <f ca="1">IFERROR(IF(0=LEN(ReferenceData!$CB$34),"",ReferenceData!$CB$34),"")</f>
        <v>337719</v>
      </c>
      <c r="CC34">
        <f ca="1">IFERROR(IF(0=LEN(ReferenceData!$CC$34),"",ReferenceData!$CC$34),"")</f>
        <v>295968</v>
      </c>
      <c r="CD34">
        <f ca="1">IFERROR(IF(0=LEN(ReferenceData!$CD$34),"",ReferenceData!$CD$34),"")</f>
        <v>323409</v>
      </c>
      <c r="CE34">
        <f ca="1">IFERROR(IF(0=LEN(ReferenceData!$CE$34),"",ReferenceData!$CE$34),"")</f>
        <v>323581</v>
      </c>
      <c r="CF34">
        <f ca="1">IFERROR(IF(0=LEN(ReferenceData!$CF$34),"",ReferenceData!$CF$34),"")</f>
        <v>282772</v>
      </c>
      <c r="CG34">
        <f ca="1">IFERROR(IF(0=LEN(ReferenceData!$CG$34),"",ReferenceData!$CG$34),"")</f>
        <v>334473</v>
      </c>
      <c r="CH34">
        <f ca="1">IFERROR(IF(0=LEN(ReferenceData!$CH$34),"",ReferenceData!$CH$34),"")</f>
        <v>263718</v>
      </c>
      <c r="CI34">
        <f ca="1">IFERROR(IF(0=LEN(ReferenceData!$CI$34),"",ReferenceData!$CI$34),"")</f>
        <v>301174</v>
      </c>
      <c r="CJ34">
        <f ca="1">IFERROR(IF(0=LEN(ReferenceData!$CJ$34),"",ReferenceData!$CJ$34),"")</f>
        <v>316217</v>
      </c>
      <c r="CK34">
        <f ca="1">IFERROR(IF(0=LEN(ReferenceData!$CK$34),"",ReferenceData!$CK$34),"")</f>
        <v>336379</v>
      </c>
    </row>
    <row r="35" spans="1:89" x14ac:dyDescent="0.25">
      <c r="A35" t="str">
        <f>IFERROR(IF(0=LEN(ReferenceData!$A$35),"",ReferenceData!$A$35),"")</f>
        <v xml:space="preserve">    Port of Oakland (TEU)</v>
      </c>
      <c r="B35" t="str">
        <f>IFERROR(IF(0=LEN(ReferenceData!$B$35),"",ReferenceData!$B$35),"")</f>
        <v>POOKTOTL Index</v>
      </c>
      <c r="C35" t="str">
        <f>IFERROR(IF(0=LEN(ReferenceData!$C$35),"",ReferenceData!$C$35),"")</f>
        <v>PX385</v>
      </c>
      <c r="D35" t="str">
        <f>IFERROR(IF(0=LEN(ReferenceData!$D$35),"",ReferenceData!$D$35),"")</f>
        <v>INTERVAL_SUM</v>
      </c>
      <c r="E35" t="str">
        <f>IFERROR(IF(0=LEN(ReferenceData!$E$35),"",ReferenceData!$E$35),"")</f>
        <v>Dynamic</v>
      </c>
      <c r="F35" t="str">
        <f ca="1">IFERROR(IF(0=LEN(ReferenceData!$F$35),"",ReferenceData!$F$35),"")</f>
        <v/>
      </c>
      <c r="G35">
        <f ca="1">IFERROR(IF(0=LEN(ReferenceData!$G$35),"",ReferenceData!$G$35),"")</f>
        <v>171822</v>
      </c>
      <c r="H35">
        <f ca="1">IFERROR(IF(0=LEN(ReferenceData!$H$35),"",ReferenceData!$H$35),"")</f>
        <v>179160.5</v>
      </c>
      <c r="I35">
        <f ca="1">IFERROR(IF(0=LEN(ReferenceData!$I$35),"",ReferenceData!$I$35),"")</f>
        <v>181555.25</v>
      </c>
      <c r="J35">
        <f ca="1">IFERROR(IF(0=LEN(ReferenceData!$J$35),"",ReferenceData!$J$35),"")</f>
        <v>155827.25</v>
      </c>
      <c r="K35">
        <f ca="1">IFERROR(IF(0=LEN(ReferenceData!$K$35),"",ReferenceData!$K$35),"")</f>
        <v>178513.25</v>
      </c>
      <c r="L35">
        <f ca="1">IFERROR(IF(0=LEN(ReferenceData!$L$35),"",ReferenceData!$L$35),"")</f>
        <v>174481.5</v>
      </c>
      <c r="M35">
        <f ca="1">IFERROR(IF(0=LEN(ReferenceData!$M$35),"",ReferenceData!$M$35),"")</f>
        <v>170267.5</v>
      </c>
      <c r="N35">
        <f ca="1">IFERROR(IF(0=LEN(ReferenceData!$N$35),"",ReferenceData!$N$35),"")</f>
        <v>153836.75</v>
      </c>
      <c r="O35">
        <f ca="1">IFERROR(IF(0=LEN(ReferenceData!$O$35),"",ReferenceData!$O$35),"")</f>
        <v>179227.75</v>
      </c>
      <c r="P35">
        <f ca="1">IFERROR(IF(0=LEN(ReferenceData!$P$35),"",ReferenceData!$P$35),"")</f>
        <v>163027.25</v>
      </c>
      <c r="Q35">
        <f ca="1">IFERROR(IF(0=LEN(ReferenceData!$Q$35),"",ReferenceData!$Q$35),"")</f>
        <v>184606.25</v>
      </c>
      <c r="R35">
        <f ca="1">IFERROR(IF(0=LEN(ReferenceData!$R$35),"",ReferenceData!$R$35),"")</f>
        <v>202487</v>
      </c>
      <c r="S35">
        <f ca="1">IFERROR(IF(0=LEN(ReferenceData!$S$35),"",ReferenceData!$S$35),"")</f>
        <v>184729.45</v>
      </c>
      <c r="T35">
        <f ca="1">IFERROR(IF(0=LEN(ReferenceData!$T$35),"",ReferenceData!$T$35),"")</f>
        <v>211122.5</v>
      </c>
      <c r="U35">
        <f ca="1">IFERROR(IF(0=LEN(ReferenceData!$U$35),"",ReferenceData!$U$35),"")</f>
        <v>160356</v>
      </c>
      <c r="V35">
        <f ca="1">IFERROR(IF(0=LEN(ReferenceData!$V$35),"",ReferenceData!$V$35),"")</f>
        <v>216096</v>
      </c>
      <c r="W35">
        <f ca="1">IFERROR(IF(0=LEN(ReferenceData!$W$35),"",ReferenceData!$W$35),"")</f>
        <v>224301.5</v>
      </c>
      <c r="X35">
        <f ca="1">IFERROR(IF(0=LEN(ReferenceData!$X$35),"",ReferenceData!$X$35),"")</f>
        <v>188442</v>
      </c>
      <c r="Y35">
        <f ca="1">IFERROR(IF(0=LEN(ReferenceData!$Y$35),"",ReferenceData!$Y$35),"")</f>
        <v>214460.5</v>
      </c>
      <c r="Z35">
        <f ca="1">IFERROR(IF(0=LEN(ReferenceData!$Z$35),"",ReferenceData!$Z$35),"")</f>
        <v>194784</v>
      </c>
      <c r="AA35">
        <f ca="1">IFERROR(IF(0=LEN(ReferenceData!$AA$35),"",ReferenceData!$AA$35),"")</f>
        <v>193194.75</v>
      </c>
      <c r="AB35">
        <f ca="1">IFERROR(IF(0=LEN(ReferenceData!$AB$35),"",ReferenceData!$AB$35),"")</f>
        <v>169650</v>
      </c>
      <c r="AC35">
        <f ca="1">IFERROR(IF(0=LEN(ReferenceData!$AC$35),"",ReferenceData!$AC$35),"")</f>
        <v>189096.1</v>
      </c>
      <c r="AD35">
        <f ca="1">IFERROR(IF(0=LEN(ReferenceData!$AD$35),"",ReferenceData!$AD$35),"")</f>
        <v>173307.85</v>
      </c>
      <c r="AE35">
        <f ca="1">IFERROR(IF(0=LEN(ReferenceData!$AE$35),"",ReferenceData!$AE$35),"")</f>
        <v>183272.75</v>
      </c>
      <c r="AF35">
        <f ca="1">IFERROR(IF(0=LEN(ReferenceData!$AF$35),"",ReferenceData!$AF$35),"")</f>
        <v>220050.3</v>
      </c>
      <c r="AG35">
        <f ca="1">IFERROR(IF(0=LEN(ReferenceData!$AG$35),"",ReferenceData!$AG$35),"")</f>
        <v>211394.35</v>
      </c>
      <c r="AH35">
        <f ca="1">IFERROR(IF(0=LEN(ReferenceData!$AH$35),"",ReferenceData!$AH$35),"")</f>
        <v>222482.9</v>
      </c>
      <c r="AI35">
        <f ca="1">IFERROR(IF(0=LEN(ReferenceData!$AI$35),"",ReferenceData!$AI$35),"")</f>
        <v>226407.9</v>
      </c>
      <c r="AJ35">
        <f ca="1">IFERROR(IF(0=LEN(ReferenceData!$AJ$35),"",ReferenceData!$AJ$35),"")</f>
        <v>221837.5</v>
      </c>
      <c r="AK35">
        <f ca="1">IFERROR(IF(0=LEN(ReferenceData!$AK$35),"",ReferenceData!$AK$35),"")</f>
        <v>241467.15</v>
      </c>
      <c r="AL35">
        <f ca="1">IFERROR(IF(0=LEN(ReferenceData!$AL$35),"",ReferenceData!$AL$35),"")</f>
        <v>190488.5</v>
      </c>
      <c r="AM35">
        <f ca="1">IFERROR(IF(0=LEN(ReferenceData!$AM$35),"",ReferenceData!$AM$35),"")</f>
        <v>199097.7</v>
      </c>
      <c r="AN35">
        <f ca="1">IFERROR(IF(0=LEN(ReferenceData!$AN$35),"",ReferenceData!$AN$35),"")</f>
        <v>208339.25</v>
      </c>
      <c r="AO35">
        <f ca="1">IFERROR(IF(0=LEN(ReferenceData!$AO$35),"",ReferenceData!$AO$35),"")</f>
        <v>197694.7</v>
      </c>
      <c r="AP35">
        <f ca="1">IFERROR(IF(0=LEN(ReferenceData!$AP$35),"",ReferenceData!$AP$35),"")</f>
        <v>216664</v>
      </c>
      <c r="AQ35">
        <f ca="1">IFERROR(IF(0=LEN(ReferenceData!$AQ$35),"",ReferenceData!$AQ$35),"")</f>
        <v>225806.5</v>
      </c>
      <c r="AR35">
        <f ca="1">IFERROR(IF(0=LEN(ReferenceData!$AR$35),"",ReferenceData!$AR$35),"")</f>
        <v>225489.15</v>
      </c>
      <c r="AS35">
        <f ca="1">IFERROR(IF(0=LEN(ReferenceData!$AS$35),"",ReferenceData!$AS$35),"")</f>
        <v>219080.3</v>
      </c>
      <c r="AT35">
        <f ca="1">IFERROR(IF(0=LEN(ReferenceData!$AT$35),"",ReferenceData!$AT$35),"")</f>
        <v>199011.45</v>
      </c>
      <c r="AU35">
        <f ca="1">IFERROR(IF(0=LEN(ReferenceData!$AU$35),"",ReferenceData!$AU$35),"")</f>
        <v>185594.7</v>
      </c>
      <c r="AV35">
        <f ca="1">IFERROR(IF(0=LEN(ReferenceData!$AV$35),"",ReferenceData!$AV$35),"")</f>
        <v>201918.4</v>
      </c>
      <c r="AW35">
        <f ca="1">IFERROR(IF(0=LEN(ReferenceData!$AW$35),"",ReferenceData!$AW$35),"")</f>
        <v>190187.7</v>
      </c>
      <c r="AX35">
        <f ca="1">IFERROR(IF(0=LEN(ReferenceData!$AX$35),"",ReferenceData!$AX$35),"")</f>
        <v>180874.9</v>
      </c>
      <c r="AY35">
        <f ca="1">IFERROR(IF(0=LEN(ReferenceData!$AY$35),"",ReferenceData!$AY$35),"")</f>
        <v>211227.95</v>
      </c>
      <c r="AZ35">
        <f ca="1">IFERROR(IF(0=LEN(ReferenceData!$AZ$35),"",ReferenceData!$AZ$35),"")</f>
        <v>193963.3</v>
      </c>
      <c r="BA35">
        <f ca="1">IFERROR(IF(0=LEN(ReferenceData!$BA$35),"",ReferenceData!$BA$35),"")</f>
        <v>197360.35</v>
      </c>
      <c r="BB35">
        <f ca="1">IFERROR(IF(0=LEN(ReferenceData!$BB$35),"",ReferenceData!$BB$35),"")</f>
        <v>204879.8</v>
      </c>
      <c r="BC35">
        <f ca="1">IFERROR(IF(0=LEN(ReferenceData!$BC$35),"",ReferenceData!$BC$35),"")</f>
        <v>206544.2</v>
      </c>
      <c r="BD35">
        <f ca="1">IFERROR(IF(0=LEN(ReferenceData!$BD$35),"",ReferenceData!$BD$35),"")</f>
        <v>224537</v>
      </c>
      <c r="BE35">
        <f ca="1">IFERROR(IF(0=LEN(ReferenceData!$BE$35),"",ReferenceData!$BE$35),"")</f>
        <v>218191.45</v>
      </c>
      <c r="BF35">
        <f ca="1">IFERROR(IF(0=LEN(ReferenceData!$BF$35),"",ReferenceData!$BF$35),"")</f>
        <v>203730.15</v>
      </c>
      <c r="BG35">
        <f ca="1">IFERROR(IF(0=LEN(ReferenceData!$BG$35),"",ReferenceData!$BG$35),"")</f>
        <v>223101.15</v>
      </c>
      <c r="BH35">
        <f ca="1">IFERROR(IF(0=LEN(ReferenceData!$BH$35),"",ReferenceData!$BH$35),"")</f>
        <v>216002.8</v>
      </c>
      <c r="BI35">
        <f ca="1">IFERROR(IF(0=LEN(ReferenceData!$BI$35),"",ReferenceData!$BI$35),"")</f>
        <v>213972.45</v>
      </c>
      <c r="BJ35">
        <f ca="1">IFERROR(IF(0=LEN(ReferenceData!$BJ$35),"",ReferenceData!$BJ$35),"")</f>
        <v>185684.75</v>
      </c>
      <c r="BK35">
        <f ca="1">IFERROR(IF(0=LEN(ReferenceData!$BK$35),"",ReferenceData!$BK$35),"")</f>
        <v>212493.3</v>
      </c>
      <c r="BL35">
        <f ca="1">IFERROR(IF(0=LEN(ReferenceData!$BL$35),"",ReferenceData!$BL$35),"")</f>
        <v>220922.3</v>
      </c>
      <c r="BM35">
        <f ca="1">IFERROR(IF(0=LEN(ReferenceData!$BM$35),"",ReferenceData!$BM$35),"")</f>
        <v>219124.6</v>
      </c>
      <c r="BN35">
        <f ca="1">IFERROR(IF(0=LEN(ReferenceData!$BN$35),"",ReferenceData!$BN$35),"")</f>
        <v>226052.4</v>
      </c>
      <c r="BO35">
        <f ca="1">IFERROR(IF(0=LEN(ReferenceData!$BO$35),"",ReferenceData!$BO$35),"")</f>
        <v>220068.2</v>
      </c>
      <c r="BP35">
        <f ca="1">IFERROR(IF(0=LEN(ReferenceData!$BP$35),"",ReferenceData!$BP$35),"")</f>
        <v>231188.3</v>
      </c>
      <c r="BQ35">
        <f ca="1">IFERROR(IF(0=LEN(ReferenceData!$BQ$35),"",ReferenceData!$BQ$35),"")</f>
        <v>217407.35</v>
      </c>
      <c r="BR35">
        <f ca="1">IFERROR(IF(0=LEN(ReferenceData!$BR$35),"",ReferenceData!$BR$35),"")</f>
        <v>215496</v>
      </c>
      <c r="BS35">
        <f ca="1">IFERROR(IF(0=LEN(ReferenceData!$BS$35),"",ReferenceData!$BS$35),"")</f>
        <v>204766.6</v>
      </c>
      <c r="BT35">
        <f ca="1">IFERROR(IF(0=LEN(ReferenceData!$BT$35),"",ReferenceData!$BT$35),"")</f>
        <v>204017.05</v>
      </c>
      <c r="BU35">
        <f ca="1">IFERROR(IF(0=LEN(ReferenceData!$BU$35),"",ReferenceData!$BU$35),"")</f>
        <v>193340.9</v>
      </c>
      <c r="BV35">
        <f ca="1">IFERROR(IF(0=LEN(ReferenceData!$BV$35),"",ReferenceData!$BV$35),"")</f>
        <v>188174.7</v>
      </c>
      <c r="BW35">
        <f ca="1">IFERROR(IF(0=LEN(ReferenceData!$BW$35),"",ReferenceData!$BW$35),"")</f>
        <v>205840.25</v>
      </c>
      <c r="BX35">
        <f ca="1">IFERROR(IF(0=LEN(ReferenceData!$BX$35),"",ReferenceData!$BX$35),"")</f>
        <v>206835.75</v>
      </c>
      <c r="BY35">
        <f ca="1">IFERROR(IF(0=LEN(ReferenceData!$BY$35),"",ReferenceData!$BY$35),"")</f>
        <v>186068.85</v>
      </c>
      <c r="BZ35">
        <f ca="1">IFERROR(IF(0=LEN(ReferenceData!$BZ$35),"",ReferenceData!$BZ$35),"")</f>
        <v>209913.55</v>
      </c>
      <c r="CA35">
        <f ca="1">IFERROR(IF(0=LEN(ReferenceData!$CA$35),"",ReferenceData!$CA$35),"")</f>
        <v>211470.15</v>
      </c>
      <c r="CB35">
        <f ca="1">IFERROR(IF(0=LEN(ReferenceData!$CB$35),"",ReferenceData!$CB$35),"")</f>
        <v>212655.1</v>
      </c>
      <c r="CC35">
        <f ca="1">IFERROR(IF(0=LEN(ReferenceData!$CC$35),"",ReferenceData!$CC$35),"")</f>
        <v>209889.5</v>
      </c>
      <c r="CD35">
        <f ca="1">IFERROR(IF(0=LEN(ReferenceData!$CD$35),"",ReferenceData!$CD$35),"")</f>
        <v>204255.1</v>
      </c>
      <c r="CE35">
        <f ca="1">IFERROR(IF(0=LEN(ReferenceData!$CE$35),"",ReferenceData!$CE$35),"")</f>
        <v>210959.95</v>
      </c>
      <c r="CF35">
        <f ca="1">IFERROR(IF(0=LEN(ReferenceData!$CF$35),"",ReferenceData!$CF$35),"")</f>
        <v>197500.75</v>
      </c>
      <c r="CG35">
        <f ca="1">IFERROR(IF(0=LEN(ReferenceData!$CG$35),"",ReferenceData!$CG$35),"")</f>
        <v>199076.55</v>
      </c>
      <c r="CH35">
        <f ca="1">IFERROR(IF(0=LEN(ReferenceData!$CH$35),"",ReferenceData!$CH$35),"")</f>
        <v>174901.7</v>
      </c>
      <c r="CI35">
        <f ca="1">IFERROR(IF(0=LEN(ReferenceData!$CI$35),"",ReferenceData!$CI$35),"")</f>
        <v>197309.6</v>
      </c>
      <c r="CJ35">
        <f ca="1">IFERROR(IF(0=LEN(ReferenceData!$CJ$35),"",ReferenceData!$CJ$35),"")</f>
        <v>199155</v>
      </c>
      <c r="CK35">
        <f ca="1">IFERROR(IF(0=LEN(ReferenceData!$CK$35),"",ReferenceData!$CK$35),"")</f>
        <v>196980</v>
      </c>
    </row>
    <row r="36" spans="1:89" x14ac:dyDescent="0.25">
      <c r="A36" t="str">
        <f>IFERROR(IF(0=LEN(ReferenceData!$A$36),"",ReferenceData!$A$36),"")</f>
        <v xml:space="preserve">    Port of Virginia (TEU)</v>
      </c>
      <c r="B36" t="str">
        <f>IFERROR(IF(0=LEN(ReferenceData!$B$36),"",ReferenceData!$B$36),"")</f>
        <v>POVATOTL Index</v>
      </c>
      <c r="C36" t="str">
        <f>IFERROR(IF(0=LEN(ReferenceData!$C$36),"",ReferenceData!$C$36),"")</f>
        <v>PX385</v>
      </c>
      <c r="D36" t="str">
        <f>IFERROR(IF(0=LEN(ReferenceData!$D$36),"",ReferenceData!$D$36),"")</f>
        <v>INTERVAL_SUM</v>
      </c>
      <c r="E36" t="str">
        <f>IFERROR(IF(0=LEN(ReferenceData!$E$36),"",ReferenceData!$E$36),"")</f>
        <v>Dynamic</v>
      </c>
      <c r="F36" t="str">
        <f ca="1">IFERROR(IF(0=LEN(ReferenceData!$F$36),"",ReferenceData!$F$36),"")</f>
        <v/>
      </c>
      <c r="G36" t="str">
        <f ca="1">IFERROR(IF(0=LEN(ReferenceData!$G$36),"",ReferenceData!$G$36),"")</f>
        <v/>
      </c>
      <c r="H36">
        <f ca="1">IFERROR(IF(0=LEN(ReferenceData!$H$36),"",ReferenceData!$H$36),"")</f>
        <v>287232.25</v>
      </c>
      <c r="I36">
        <f ca="1">IFERROR(IF(0=LEN(ReferenceData!$I$36),"",ReferenceData!$I$36),"")</f>
        <v>298202.25</v>
      </c>
      <c r="J36">
        <f ca="1">IFERROR(IF(0=LEN(ReferenceData!$J$36),"",ReferenceData!$J$36),"")</f>
        <v>263997.5</v>
      </c>
      <c r="K36">
        <f ca="1">IFERROR(IF(0=LEN(ReferenceData!$K$36),"",ReferenceData!$K$36),"")</f>
        <v>265874.5</v>
      </c>
      <c r="L36">
        <f ca="1">IFERROR(IF(0=LEN(ReferenceData!$L$36),"",ReferenceData!$L$36),"")</f>
        <v>256414.25</v>
      </c>
      <c r="M36">
        <f ca="1">IFERROR(IF(0=LEN(ReferenceData!$M$36),"",ReferenceData!$M$36),"")</f>
        <v>248814.5</v>
      </c>
      <c r="N36">
        <f ca="1">IFERROR(IF(0=LEN(ReferenceData!$N$36),"",ReferenceData!$N$36),"")</f>
        <v>256966.75</v>
      </c>
      <c r="O36">
        <f ca="1">IFERROR(IF(0=LEN(ReferenceData!$O$36),"",ReferenceData!$O$36),"")</f>
        <v>288379.5</v>
      </c>
      <c r="P36">
        <f ca="1">IFERROR(IF(0=LEN(ReferenceData!$P$36),"",ReferenceData!$P$36),"")</f>
        <v>273964.75</v>
      </c>
      <c r="Q36">
        <f ca="1">IFERROR(IF(0=LEN(ReferenceData!$Q$36),"",ReferenceData!$Q$36),"")</f>
        <v>285943.25</v>
      </c>
      <c r="R36">
        <f ca="1">IFERROR(IF(0=LEN(ReferenceData!$R$36),"",ReferenceData!$R$36),"")</f>
        <v>318452.25</v>
      </c>
      <c r="S36">
        <f ca="1">IFERROR(IF(0=LEN(ReferenceData!$S$36),"",ReferenceData!$S$36),"")</f>
        <v>312230.25</v>
      </c>
      <c r="T36">
        <f ca="1">IFERROR(IF(0=LEN(ReferenceData!$T$36),"",ReferenceData!$T$36),"")</f>
        <v>340925.5</v>
      </c>
      <c r="U36">
        <f ca="1">IFERROR(IF(0=LEN(ReferenceData!$U$36),"",ReferenceData!$U$36),"")</f>
        <v>317690.5</v>
      </c>
      <c r="V36">
        <f ca="1">IFERROR(IF(0=LEN(ReferenceData!$V$36),"",ReferenceData!$V$36),"")</f>
        <v>316249.5</v>
      </c>
      <c r="W36">
        <f ca="1">IFERROR(IF(0=LEN(ReferenceData!$W$36),"",ReferenceData!$W$36),"")</f>
        <v>341611</v>
      </c>
      <c r="X36">
        <f ca="1">IFERROR(IF(0=LEN(ReferenceData!$X$36),"",ReferenceData!$X$36),"")</f>
        <v>323244</v>
      </c>
      <c r="Y36">
        <f ca="1">IFERROR(IF(0=LEN(ReferenceData!$Y$36),"",ReferenceData!$Y$36),"")</f>
        <v>314698</v>
      </c>
      <c r="Z36">
        <f ca="1">IFERROR(IF(0=LEN(ReferenceData!$Z$36),"",ReferenceData!$Z$36),"")</f>
        <v>296201</v>
      </c>
      <c r="AA36">
        <f ca="1">IFERROR(IF(0=LEN(ReferenceData!$AA$36),"",ReferenceData!$AA$36),"")</f>
        <v>262019.75</v>
      </c>
      <c r="AB36">
        <f ca="1">IFERROR(IF(0=LEN(ReferenceData!$AB$36),"",ReferenceData!$AB$36),"")</f>
        <v>325527</v>
      </c>
      <c r="AC36">
        <f ca="1">IFERROR(IF(0=LEN(ReferenceData!$AC$36),"",ReferenceData!$AC$36),"")</f>
        <v>290759</v>
      </c>
      <c r="AD36">
        <f ca="1">IFERROR(IF(0=LEN(ReferenceData!$AD$36),"",ReferenceData!$AD$36),"")</f>
        <v>318481.5</v>
      </c>
      <c r="AE36">
        <f ca="1">IFERROR(IF(0=LEN(ReferenceData!$AE$36),"",ReferenceData!$AE$36),"")</f>
        <v>306215.75</v>
      </c>
      <c r="AF36">
        <f ca="1">IFERROR(IF(0=LEN(ReferenceData!$AF$36),"",ReferenceData!$AF$36),"")</f>
        <v>307023.25</v>
      </c>
      <c r="AG36">
        <f ca="1">IFERROR(IF(0=LEN(ReferenceData!$AG$36),"",ReferenceData!$AG$36),"")</f>
        <v>293126.25</v>
      </c>
      <c r="AH36">
        <f ca="1">IFERROR(IF(0=LEN(ReferenceData!$AH$36),"",ReferenceData!$AH$36),"")</f>
        <v>281346</v>
      </c>
      <c r="AI36">
        <f ca="1">IFERROR(IF(0=LEN(ReferenceData!$AI$36),"",ReferenceData!$AI$36),"")</f>
        <v>314941.5</v>
      </c>
      <c r="AJ36">
        <f ca="1">IFERROR(IF(0=LEN(ReferenceData!$AJ$36),"",ReferenceData!$AJ$36),"")</f>
        <v>286405.25</v>
      </c>
      <c r="AK36">
        <f ca="1">IFERROR(IF(0=LEN(ReferenceData!$AK$36),"",ReferenceData!$AK$36),"")</f>
        <v>279514</v>
      </c>
      <c r="AL36">
        <f ca="1">IFERROR(IF(0=LEN(ReferenceData!$AL$36),"",ReferenceData!$AL$36),"")</f>
        <v>248525.5</v>
      </c>
      <c r="AM36">
        <f ca="1">IFERROR(IF(0=LEN(ReferenceData!$AM$36),"",ReferenceData!$AM$36),"")</f>
        <v>270968.75</v>
      </c>
      <c r="AN36">
        <f ca="1">IFERROR(IF(0=LEN(ReferenceData!$AN$36),"",ReferenceData!$AN$36),"")</f>
        <v>260401</v>
      </c>
      <c r="AO36">
        <f ca="1">IFERROR(IF(0=LEN(ReferenceData!$AO$36),"",ReferenceData!$AO$36),"")</f>
        <v>279868.25</v>
      </c>
      <c r="AP36">
        <f ca="1">IFERROR(IF(0=LEN(ReferenceData!$AP$36),"",ReferenceData!$AP$36),"")</f>
        <v>274215</v>
      </c>
      <c r="AQ36">
        <f ca="1">IFERROR(IF(0=LEN(ReferenceData!$AQ$36),"",ReferenceData!$AQ$36),"")</f>
        <v>256438.5</v>
      </c>
      <c r="AR36">
        <f ca="1">IFERROR(IF(0=LEN(ReferenceData!$AR$36),"",ReferenceData!$AR$36),"")</f>
        <v>247348.5</v>
      </c>
      <c r="AS36">
        <f ca="1">IFERROR(IF(0=LEN(ReferenceData!$AS$36),"",ReferenceData!$AS$36),"")</f>
        <v>221028</v>
      </c>
      <c r="AT36">
        <f ca="1">IFERROR(IF(0=LEN(ReferenceData!$AT$36),"",ReferenceData!$AT$36),"")</f>
        <v>210669.25</v>
      </c>
      <c r="AU36">
        <f ca="1">IFERROR(IF(0=LEN(ReferenceData!$AU$36),"",ReferenceData!$AU$36),"")</f>
        <v>201837.25</v>
      </c>
      <c r="AV36">
        <f ca="1">IFERROR(IF(0=LEN(ReferenceData!$AV$36),"",ReferenceData!$AV$36),"")</f>
        <v>207244.25</v>
      </c>
      <c r="AW36">
        <f ca="1">IFERROR(IF(0=LEN(ReferenceData!$AW$36),"",ReferenceData!$AW$36),"")</f>
        <v>219315.25</v>
      </c>
      <c r="AX36">
        <f ca="1">IFERROR(IF(0=LEN(ReferenceData!$AX$36),"",ReferenceData!$AX$36),"")</f>
        <v>207815.75</v>
      </c>
      <c r="AY36">
        <f ca="1">IFERROR(IF(0=LEN(ReferenceData!$AY$36),"",ReferenceData!$AY$36),"")</f>
        <v>227233.5</v>
      </c>
      <c r="AZ36">
        <f ca="1">IFERROR(IF(0=LEN(ReferenceData!$AZ$36),"",ReferenceData!$AZ$36),"")</f>
        <v>224901.75</v>
      </c>
      <c r="BA36">
        <f ca="1">IFERROR(IF(0=LEN(ReferenceData!$BA$36),"",ReferenceData!$BA$36),"")</f>
        <v>226981.5</v>
      </c>
      <c r="BB36">
        <f ca="1">IFERROR(IF(0=LEN(ReferenceData!$BB$36),"",ReferenceData!$BB$36),"")</f>
        <v>266976</v>
      </c>
      <c r="BC36">
        <f ca="1">IFERROR(IF(0=LEN(ReferenceData!$BC$36),"",ReferenceData!$BC$36),"")</f>
        <v>241415.5</v>
      </c>
      <c r="BD36">
        <f ca="1">IFERROR(IF(0=LEN(ReferenceData!$BD$36),"",ReferenceData!$BD$36),"")</f>
        <v>257675.25</v>
      </c>
      <c r="BE36">
        <f ca="1">IFERROR(IF(0=LEN(ReferenceData!$BE$36),"",ReferenceData!$BE$36),"")</f>
        <v>265559.25</v>
      </c>
      <c r="BF36">
        <f ca="1">IFERROR(IF(0=LEN(ReferenceData!$BF$36),"",ReferenceData!$BF$36),"")</f>
        <v>239329</v>
      </c>
      <c r="BG36">
        <f ca="1">IFERROR(IF(0=LEN(ReferenceData!$BG$36),"",ReferenceData!$BG$36),"")</f>
        <v>260893.5</v>
      </c>
      <c r="BH36">
        <f ca="1">IFERROR(IF(0=LEN(ReferenceData!$BH$36),"",ReferenceData!$BH$36),"")</f>
        <v>245933.25</v>
      </c>
      <c r="BI36">
        <f ca="1">IFERROR(IF(0=LEN(ReferenceData!$BI$36),"",ReferenceData!$BI$36),"")</f>
        <v>240035.25</v>
      </c>
      <c r="BJ36">
        <f ca="1">IFERROR(IF(0=LEN(ReferenceData!$BJ$36),"",ReferenceData!$BJ$36),"")</f>
        <v>228151.25</v>
      </c>
      <c r="BK36">
        <f ca="1">IFERROR(IF(0=LEN(ReferenceData!$BK$36),"",ReferenceData!$BK$36),"")</f>
        <v>240110.5</v>
      </c>
      <c r="BL36">
        <f ca="1">IFERROR(IF(0=LEN(ReferenceData!$BL$36),"",ReferenceData!$BL$36),"")</f>
        <v>241120.5</v>
      </c>
      <c r="BM36">
        <f ca="1">IFERROR(IF(0=LEN(ReferenceData!$BM$36),"",ReferenceData!$BM$36),"")</f>
        <v>239890</v>
      </c>
      <c r="BN36">
        <f ca="1">IFERROR(IF(0=LEN(ReferenceData!$BN$36),"",ReferenceData!$BN$36),"")</f>
        <v>270538</v>
      </c>
      <c r="BO36">
        <f ca="1">IFERROR(IF(0=LEN(ReferenceData!$BO$36),"",ReferenceData!$BO$36),"")</f>
        <v>221354.75</v>
      </c>
      <c r="BP36">
        <f ca="1">IFERROR(IF(0=LEN(ReferenceData!$BP$36),"",ReferenceData!$BP$36),"")</f>
        <v>258820.5</v>
      </c>
      <c r="BQ36">
        <f ca="1">IFERROR(IF(0=LEN(ReferenceData!$BQ$36),"",ReferenceData!$BQ$36),"")</f>
        <v>252679</v>
      </c>
      <c r="BR36">
        <f ca="1">IFERROR(IF(0=LEN(ReferenceData!$BR$36),"",ReferenceData!$BR$36),"")</f>
        <v>223839.5</v>
      </c>
      <c r="BS36">
        <f ca="1">IFERROR(IF(0=LEN(ReferenceData!$BS$36),"",ReferenceData!$BS$36),"")</f>
        <v>236890.5</v>
      </c>
      <c r="BT36">
        <f ca="1">IFERROR(IF(0=LEN(ReferenceData!$BT$36),"",ReferenceData!$BT$36),"")</f>
        <v>219281</v>
      </c>
      <c r="BU36">
        <f ca="1">IFERROR(IF(0=LEN(ReferenceData!$BU$36),"",ReferenceData!$BU$36),"")</f>
        <v>252230.25</v>
      </c>
      <c r="BV36">
        <f ca="1">IFERROR(IF(0=LEN(ReferenceData!$BV$36),"",ReferenceData!$BV$36),"")</f>
        <v>218726.5</v>
      </c>
      <c r="BW36">
        <f ca="1">IFERROR(IF(0=LEN(ReferenceData!$BW$36),"",ReferenceData!$BW$36),"")</f>
        <v>220533.75</v>
      </c>
      <c r="BX36">
        <f ca="1">IFERROR(IF(0=LEN(ReferenceData!$BX$36),"",ReferenceData!$BX$36),"")</f>
        <v>237524.5</v>
      </c>
      <c r="BY36">
        <f ca="1">IFERROR(IF(0=LEN(ReferenceData!$BY$36),"",ReferenceData!$BY$36),"")</f>
        <v>240570</v>
      </c>
      <c r="BZ36">
        <f ca="1">IFERROR(IF(0=LEN(ReferenceData!$BZ$36),"",ReferenceData!$BZ$36),"")</f>
        <v>265489.75</v>
      </c>
      <c r="CA36">
        <f ca="1">IFERROR(IF(0=LEN(ReferenceData!$CA$36),"",ReferenceData!$CA$36),"")</f>
        <v>237815.5</v>
      </c>
      <c r="CB36">
        <f ca="1">IFERROR(IF(0=LEN(ReferenceData!$CB$36),"",ReferenceData!$CB$36),"")</f>
        <v>240604.5</v>
      </c>
      <c r="CC36">
        <f ca="1">IFERROR(IF(0=LEN(ReferenceData!$CC$36),"",ReferenceData!$CC$36),"")</f>
        <v>234230</v>
      </c>
      <c r="CD36">
        <f ca="1">IFERROR(IF(0=LEN(ReferenceData!$CD$36),"",ReferenceData!$CD$36),"")</f>
        <v>231674.75</v>
      </c>
      <c r="CE36">
        <f ca="1">IFERROR(IF(0=LEN(ReferenceData!$CE$36),"",ReferenceData!$CE$36),"")</f>
        <v>246871.25</v>
      </c>
      <c r="CF36">
        <f ca="1">IFERROR(IF(0=LEN(ReferenceData!$CF$36),"",ReferenceData!$CF$36),"")</f>
        <v>225196.25</v>
      </c>
      <c r="CG36">
        <f ca="1">IFERROR(IF(0=LEN(ReferenceData!$CG$36),"",ReferenceData!$CG$36),"")</f>
        <v>232148.25</v>
      </c>
      <c r="CH36">
        <f ca="1">IFERROR(IF(0=LEN(ReferenceData!$CH$36),"",ReferenceData!$CH$36),"")</f>
        <v>220375.5</v>
      </c>
      <c r="CI36">
        <f ca="1">IFERROR(IF(0=LEN(ReferenceData!$CI$36),"",ReferenceData!$CI$36),"")</f>
        <v>228516</v>
      </c>
      <c r="CJ36">
        <f ca="1">IFERROR(IF(0=LEN(ReferenceData!$CJ$36),"",ReferenceData!$CJ$36),"")</f>
        <v>229624.25</v>
      </c>
      <c r="CK36">
        <f ca="1">IFERROR(IF(0=LEN(ReferenceData!$CK$36),"",ReferenceData!$CK$36),"")</f>
        <v>236155.25</v>
      </c>
    </row>
    <row r="37" spans="1:89" x14ac:dyDescent="0.25">
      <c r="A37" t="str">
        <f>IFERROR(IF(0=LEN(ReferenceData!$A$37),"",ReferenceData!$A$37),"")</f>
        <v xml:space="preserve">    Port of Houston (TEU)</v>
      </c>
      <c r="B37" t="str">
        <f>IFERROR(IF(0=LEN(ReferenceData!$B$37),"",ReferenceData!$B$37),"")</f>
        <v>TEUHTOTL Index</v>
      </c>
      <c r="C37" t="str">
        <f>IFERROR(IF(0=LEN(ReferenceData!$C$37),"",ReferenceData!$C$37),"")</f>
        <v>PX385</v>
      </c>
      <c r="D37" t="str">
        <f>IFERROR(IF(0=LEN(ReferenceData!$D$37),"",ReferenceData!$D$37),"")</f>
        <v>INTERVAL_SUM</v>
      </c>
      <c r="E37" t="str">
        <f>IFERROR(IF(0=LEN(ReferenceData!$E$37),"",ReferenceData!$E$37),"")</f>
        <v>Dynamic</v>
      </c>
      <c r="F37" t="str">
        <f ca="1">IFERROR(IF(0=LEN(ReferenceData!$F$37),"",ReferenceData!$F$37),"")</f>
        <v/>
      </c>
      <c r="G37">
        <f ca="1">IFERROR(IF(0=LEN(ReferenceData!$G$37),"",ReferenceData!$G$37),"")</f>
        <v>325588</v>
      </c>
      <c r="H37">
        <f ca="1">IFERROR(IF(0=LEN(ReferenceData!$H$37),"",ReferenceData!$H$37),"")</f>
        <v>307624</v>
      </c>
      <c r="I37">
        <f ca="1">IFERROR(IF(0=LEN(ReferenceData!$I$37),"",ReferenceData!$I$37),"")</f>
        <v>344163</v>
      </c>
      <c r="J37">
        <f ca="1">IFERROR(IF(0=LEN(ReferenceData!$J$37),"",ReferenceData!$J$37),"")</f>
        <v>315983</v>
      </c>
      <c r="K37">
        <f ca="1">IFERROR(IF(0=LEN(ReferenceData!$K$37),"",ReferenceData!$K$37),"")</f>
        <v>300482</v>
      </c>
      <c r="L37">
        <f ca="1">IFERROR(IF(0=LEN(ReferenceData!$L$37),"",ReferenceData!$L$37),"")</f>
        <v>307879</v>
      </c>
      <c r="M37">
        <f ca="1">IFERROR(IF(0=LEN(ReferenceData!$M$37),"",ReferenceData!$M$37),"")</f>
        <v>300589</v>
      </c>
      <c r="N37">
        <f ca="1">IFERROR(IF(0=LEN(ReferenceData!$N$37),"",ReferenceData!$N$37),"")</f>
        <v>313452</v>
      </c>
      <c r="O37">
        <f ca="1">IFERROR(IF(0=LEN(ReferenceData!$O$37),"",ReferenceData!$O$37),"")</f>
        <v>319990</v>
      </c>
      <c r="P37">
        <f ca="1">IFERROR(IF(0=LEN(ReferenceData!$P$37),"",ReferenceData!$P$37),"")</f>
        <v>292027</v>
      </c>
      <c r="Q37">
        <f ca="1">IFERROR(IF(0=LEN(ReferenceData!$Q$37),"",ReferenceData!$Q$37),"")</f>
        <v>348950</v>
      </c>
      <c r="R37">
        <f ca="1">IFERROR(IF(0=LEN(ReferenceData!$R$37),"",ReferenceData!$R$37),"")</f>
        <v>371994</v>
      </c>
      <c r="S37">
        <f ca="1">IFERROR(IF(0=LEN(ReferenceData!$S$37),"",ReferenceData!$S$37),"")</f>
        <v>353524</v>
      </c>
      <c r="T37">
        <f ca="1">IFERROR(IF(0=LEN(ReferenceData!$T$37),"",ReferenceData!$T$37),"")</f>
        <v>382842</v>
      </c>
      <c r="U37">
        <f ca="1">IFERROR(IF(0=LEN(ReferenceData!$U$37),"",ReferenceData!$U$37),"")</f>
        <v>328498</v>
      </c>
      <c r="V37">
        <f ca="1">IFERROR(IF(0=LEN(ReferenceData!$V$37),"",ReferenceData!$V$37),"")</f>
        <v>323823</v>
      </c>
      <c r="W37">
        <f ca="1">IFERROR(IF(0=LEN(ReferenceData!$W$37),"",ReferenceData!$W$37),"")</f>
        <v>335366</v>
      </c>
      <c r="X37">
        <f ca="1">IFERROR(IF(0=LEN(ReferenceData!$X$37),"",ReferenceData!$X$37),"")</f>
        <v>334493</v>
      </c>
      <c r="Y37">
        <f ca="1">IFERROR(IF(0=LEN(ReferenceData!$Y$37),"",ReferenceData!$Y$37),"")</f>
        <v>308557</v>
      </c>
      <c r="Z37">
        <f ca="1">IFERROR(IF(0=LEN(ReferenceData!$Z$37),"",ReferenceData!$Z$37),"")</f>
        <v>271399</v>
      </c>
      <c r="AA37">
        <f ca="1">IFERROR(IF(0=LEN(ReferenceData!$AA$37),"",ReferenceData!$AA$37),"")</f>
        <v>323427</v>
      </c>
      <c r="AB37">
        <f ca="1">IFERROR(IF(0=LEN(ReferenceData!$AB$37),"",ReferenceData!$AB$37),"")</f>
        <v>303204</v>
      </c>
      <c r="AC37">
        <f ca="1">IFERROR(IF(0=LEN(ReferenceData!$AC$37),"",ReferenceData!$AC$37),"")</f>
        <v>314576</v>
      </c>
      <c r="AD37">
        <f ca="1">IFERROR(IF(0=LEN(ReferenceData!$AD$37),"",ReferenceData!$AD$37),"")</f>
        <v>328486</v>
      </c>
      <c r="AE37">
        <f ca="1">IFERROR(IF(0=LEN(ReferenceData!$AE$37),"",ReferenceData!$AE$37),"")</f>
        <v>281500</v>
      </c>
      <c r="AF37">
        <f ca="1">IFERROR(IF(0=LEN(ReferenceData!$AF$37),"",ReferenceData!$AF$37),"")</f>
        <v>320086</v>
      </c>
      <c r="AG37">
        <f ca="1">IFERROR(IF(0=LEN(ReferenceData!$AG$37),"",ReferenceData!$AG$37),"")</f>
        <v>297621</v>
      </c>
      <c r="AH37">
        <f ca="1">IFERROR(IF(0=LEN(ReferenceData!$AH$37),"",ReferenceData!$AH$37),"")</f>
        <v>292587</v>
      </c>
      <c r="AI37">
        <f ca="1">IFERROR(IF(0=LEN(ReferenceData!$AI$37),"",ReferenceData!$AI$37),"")</f>
        <v>288127</v>
      </c>
      <c r="AJ37">
        <f ca="1">IFERROR(IF(0=LEN(ReferenceData!$AJ$37),"",ReferenceData!$AJ$37),"")</f>
        <v>275840</v>
      </c>
      <c r="AK37">
        <f ca="1">IFERROR(IF(0=LEN(ReferenceData!$AK$37),"",ReferenceData!$AK$37),"")</f>
        <v>297397</v>
      </c>
      <c r="AL37">
        <f ca="1">IFERROR(IF(0=LEN(ReferenceData!$AL$37),"",ReferenceData!$AL$37),"")</f>
        <v>198763</v>
      </c>
      <c r="AM37">
        <f ca="1">IFERROR(IF(0=LEN(ReferenceData!$AM$37),"",ReferenceData!$AM$37),"")</f>
        <v>255039</v>
      </c>
      <c r="AN37">
        <f ca="1">IFERROR(IF(0=LEN(ReferenceData!$AN$37),"",ReferenceData!$AN$37),"")</f>
        <v>264626</v>
      </c>
      <c r="AO37">
        <f ca="1">IFERROR(IF(0=LEN(ReferenceData!$AO$37),"",ReferenceData!$AO$37),"")</f>
        <v>262930</v>
      </c>
      <c r="AP37">
        <f ca="1">IFERROR(IF(0=LEN(ReferenceData!$AP$37),"",ReferenceData!$AP$37),"")</f>
        <v>296210</v>
      </c>
      <c r="AQ37">
        <f ca="1">IFERROR(IF(0=LEN(ReferenceData!$AQ$37),"",ReferenceData!$AQ$37),"")</f>
        <v>254405</v>
      </c>
      <c r="AR37">
        <f ca="1">IFERROR(IF(0=LEN(ReferenceData!$AR$37),"",ReferenceData!$AR$37),"")</f>
        <v>248630</v>
      </c>
      <c r="AS37">
        <f ca="1">IFERROR(IF(0=LEN(ReferenceData!$AS$37),"",ReferenceData!$AS$37),"")</f>
        <v>234737</v>
      </c>
      <c r="AT37">
        <f ca="1">IFERROR(IF(0=LEN(ReferenceData!$AT$37),"",ReferenceData!$AT$37),"")</f>
        <v>210932</v>
      </c>
      <c r="AU37">
        <f ca="1">IFERROR(IF(0=LEN(ReferenceData!$AU$37),"",ReferenceData!$AU$37),"")</f>
        <v>222250</v>
      </c>
      <c r="AV37">
        <f ca="1">IFERROR(IF(0=LEN(ReferenceData!$AV$37),"",ReferenceData!$AV$37),"")</f>
        <v>221540</v>
      </c>
      <c r="AW37">
        <f ca="1">IFERROR(IF(0=LEN(ReferenceData!$AW$37),"",ReferenceData!$AW$37),"")</f>
        <v>248840</v>
      </c>
      <c r="AX37">
        <f ca="1">IFERROR(IF(0=LEN(ReferenceData!$AX$37),"",ReferenceData!$AX$37),"")</f>
        <v>255474</v>
      </c>
      <c r="AY37">
        <f ca="1">IFERROR(IF(0=LEN(ReferenceData!$AY$37),"",ReferenceData!$AY$37),"")</f>
        <v>268773</v>
      </c>
      <c r="AZ37">
        <f ca="1">IFERROR(IF(0=LEN(ReferenceData!$AZ$37),"",ReferenceData!$AZ$37),"")</f>
        <v>250946</v>
      </c>
      <c r="BA37">
        <f ca="1">IFERROR(IF(0=LEN(ReferenceData!$BA$37),"",ReferenceData!$BA$37),"")</f>
        <v>245738</v>
      </c>
      <c r="BB37">
        <f ca="1">IFERROR(IF(0=LEN(ReferenceData!$BB$37),"",ReferenceData!$BB$37),"")</f>
        <v>258571</v>
      </c>
      <c r="BC37">
        <f ca="1">IFERROR(IF(0=LEN(ReferenceData!$BC$37),"",ReferenceData!$BC$37),"")</f>
        <v>251524</v>
      </c>
      <c r="BD37">
        <f ca="1">IFERROR(IF(0=LEN(ReferenceData!$BD$37),"",ReferenceData!$BD$37),"")</f>
        <v>259110</v>
      </c>
      <c r="BE37">
        <f ca="1">IFERROR(IF(0=LEN(ReferenceData!$BE$37),"",ReferenceData!$BE$37),"")</f>
        <v>259993</v>
      </c>
      <c r="BF37">
        <f ca="1">IFERROR(IF(0=LEN(ReferenceData!$BF$37),"",ReferenceData!$BF$37),"")</f>
        <v>251488</v>
      </c>
      <c r="BG37">
        <f ca="1">IFERROR(IF(0=LEN(ReferenceData!$BG$37),"",ReferenceData!$BG$37),"")</f>
        <v>263061</v>
      </c>
      <c r="BH37">
        <f ca="1">IFERROR(IF(0=LEN(ReferenceData!$BH$37),"",ReferenceData!$BH$37),"")</f>
        <v>252693</v>
      </c>
      <c r="BI37">
        <f ca="1">IFERROR(IF(0=LEN(ReferenceData!$BI$37),"",ReferenceData!$BI$37),"")</f>
        <v>280721</v>
      </c>
      <c r="BJ37">
        <f ca="1">IFERROR(IF(0=LEN(ReferenceData!$BJ$37),"",ReferenceData!$BJ$37),"")</f>
        <v>198494</v>
      </c>
      <c r="BK37">
        <f ca="1">IFERROR(IF(0=LEN(ReferenceData!$BK$37),"",ReferenceData!$BK$37),"")</f>
        <v>214952</v>
      </c>
      <c r="BL37">
        <f ca="1">IFERROR(IF(0=LEN(ReferenceData!$BL$37),"",ReferenceData!$BL$37),"")</f>
        <v>221358</v>
      </c>
      <c r="BM37">
        <f ca="1">IFERROR(IF(0=LEN(ReferenceData!$BM$37),"",ReferenceData!$BM$37),"")</f>
        <v>226343</v>
      </c>
      <c r="BN37">
        <f ca="1">IFERROR(IF(0=LEN(ReferenceData!$BN$37),"",ReferenceData!$BN$37),"")</f>
        <v>240982</v>
      </c>
      <c r="BO37">
        <f ca="1">IFERROR(IF(0=LEN(ReferenceData!$BO$37),"",ReferenceData!$BO$37),"")</f>
        <v>230331</v>
      </c>
      <c r="BP37">
        <f ca="1">IFERROR(IF(0=LEN(ReferenceData!$BP$37),"",ReferenceData!$BP$37),"")</f>
        <v>238644</v>
      </c>
      <c r="BQ37">
        <f ca="1">IFERROR(IF(0=LEN(ReferenceData!$BQ$37),"",ReferenceData!$BQ$37),"")</f>
        <v>236032</v>
      </c>
      <c r="BR37">
        <f ca="1">IFERROR(IF(0=LEN(ReferenceData!$BR$37),"",ReferenceData!$BR$37),"")</f>
        <v>223890</v>
      </c>
      <c r="BS37">
        <f ca="1">IFERROR(IF(0=LEN(ReferenceData!$BS$37),"",ReferenceData!$BS$37),"")</f>
        <v>245996</v>
      </c>
      <c r="BT37">
        <f ca="1">IFERROR(IF(0=LEN(ReferenceData!$BT$37),"",ReferenceData!$BT$37),"")</f>
        <v>218799</v>
      </c>
      <c r="BU37">
        <f ca="1">IFERROR(IF(0=LEN(ReferenceData!$BU$37),"",ReferenceData!$BU$37),"")</f>
        <v>229158</v>
      </c>
      <c r="BV37">
        <f ca="1">IFERROR(IF(0=LEN(ReferenceData!$BV$37),"",ReferenceData!$BV$37),"")</f>
        <v>198621</v>
      </c>
      <c r="BW37">
        <f ca="1">IFERROR(IF(0=LEN(ReferenceData!$BW$37),"",ReferenceData!$BW$37),"")</f>
        <v>189696</v>
      </c>
      <c r="BX37">
        <f ca="1">IFERROR(IF(0=LEN(ReferenceData!$BX$37),"",ReferenceData!$BX$37),"")</f>
        <v>208257</v>
      </c>
      <c r="BY37">
        <f ca="1">IFERROR(IF(0=LEN(ReferenceData!$BY$37),"",ReferenceData!$BY$37),"")</f>
        <v>195875</v>
      </c>
      <c r="BZ37">
        <f ca="1">IFERROR(IF(0=LEN(ReferenceData!$BZ$37),"",ReferenceData!$BZ$37),"")</f>
        <v>223127</v>
      </c>
      <c r="CA37">
        <f ca="1">IFERROR(IF(0=LEN(ReferenceData!$CA$37),"",ReferenceData!$CA$37),"")</f>
        <v>226483</v>
      </c>
      <c r="CB37">
        <f ca="1">IFERROR(IF(0=LEN(ReferenceData!$CB$37),"",ReferenceData!$CB$37),"")</f>
        <v>166353</v>
      </c>
      <c r="CC37">
        <f ca="1">IFERROR(IF(0=LEN(ReferenceData!$CC$37),"",ReferenceData!$CC$37),"")</f>
        <v>203010</v>
      </c>
      <c r="CD37">
        <f ca="1">IFERROR(IF(0=LEN(ReferenceData!$CD$37),"",ReferenceData!$CD$37),"")</f>
        <v>212843</v>
      </c>
      <c r="CE37">
        <f ca="1">IFERROR(IF(0=LEN(ReferenceData!$CE$37),"",ReferenceData!$CE$37),"")</f>
        <v>213893</v>
      </c>
      <c r="CF37">
        <f ca="1">IFERROR(IF(0=LEN(ReferenceData!$CF$37),"",ReferenceData!$CF$37),"")</f>
        <v>201804</v>
      </c>
      <c r="CG37">
        <f ca="1">IFERROR(IF(0=LEN(ReferenceData!$CG$37),"",ReferenceData!$CG$37),"")</f>
        <v>221661</v>
      </c>
      <c r="CH37">
        <f ca="1">IFERROR(IF(0=LEN(ReferenceData!$CH$37),"",ReferenceData!$CH$37),"")</f>
        <v>188861</v>
      </c>
      <c r="CI37">
        <f ca="1">IFERROR(IF(0=LEN(ReferenceData!$CI$37),"",ReferenceData!$CI$37),"")</f>
        <v>196940</v>
      </c>
      <c r="CJ37">
        <f ca="1">IFERROR(IF(0=LEN(ReferenceData!$CJ$37),"",ReferenceData!$CJ$37),"")</f>
        <v>173256</v>
      </c>
      <c r="CK37">
        <f ca="1">IFERROR(IF(0=LEN(ReferenceData!$CK$37),"",ReferenceData!$CK$37),"")</f>
        <v>178693</v>
      </c>
    </row>
    <row r="38" spans="1:89" x14ac:dyDescent="0.25">
      <c r="A38" t="str">
        <f>IFERROR(IF(0=LEN(ReferenceData!$A$38),"",ReferenceData!$A$38),"")</f>
        <v xml:space="preserve">    Port of Charleston (TEU)</v>
      </c>
      <c r="B38" t="str">
        <f>IFERROR(IF(0=LEN(ReferenceData!$B$38),"",ReferenceData!$B$38),"")</f>
        <v>POCHTOTL Index</v>
      </c>
      <c r="C38" t="str">
        <f>IFERROR(IF(0=LEN(ReferenceData!$C$38),"",ReferenceData!$C$38),"")</f>
        <v>PX385</v>
      </c>
      <c r="D38" t="str">
        <f>IFERROR(IF(0=LEN(ReferenceData!$D$38),"",ReferenceData!$D$38),"")</f>
        <v>INTERVAL_SUM</v>
      </c>
      <c r="E38" t="str">
        <f>IFERROR(IF(0=LEN(ReferenceData!$E$38),"",ReferenceData!$E$38),"")</f>
        <v>Dynamic</v>
      </c>
      <c r="F38" t="str">
        <f ca="1">IFERROR(IF(0=LEN(ReferenceData!$F$38),"",ReferenceData!$F$38),"")</f>
        <v/>
      </c>
      <c r="G38">
        <f ca="1">IFERROR(IF(0=LEN(ReferenceData!$G$38),"",ReferenceData!$G$38),"")</f>
        <v>199208</v>
      </c>
      <c r="H38">
        <f ca="1">IFERROR(IF(0=LEN(ReferenceData!$H$38),"",ReferenceData!$H$38),"")</f>
        <v>203169</v>
      </c>
      <c r="I38">
        <f ca="1">IFERROR(IF(0=LEN(ReferenceData!$I$38),"",ReferenceData!$I$38),"")</f>
        <v>208134</v>
      </c>
      <c r="J38">
        <f ca="1">IFERROR(IF(0=LEN(ReferenceData!$J$38),"",ReferenceData!$J$38),"")</f>
        <v>203091</v>
      </c>
      <c r="K38">
        <f ca="1">IFERROR(IF(0=LEN(ReferenceData!$K$38),"",ReferenceData!$K$38),"")</f>
        <v>198824</v>
      </c>
      <c r="L38">
        <f ca="1">IFERROR(IF(0=LEN(ReferenceData!$L$38),"",ReferenceData!$L$38),"")</f>
        <v>214101</v>
      </c>
      <c r="M38">
        <f ca="1">IFERROR(IF(0=LEN(ReferenceData!$M$38),"",ReferenceData!$M$38),"")</f>
        <v>193085</v>
      </c>
      <c r="N38">
        <f ca="1">IFERROR(IF(0=LEN(ReferenceData!$N$38),"",ReferenceData!$N$38),"")</f>
        <v>201418</v>
      </c>
      <c r="O38">
        <f ca="1">IFERROR(IF(0=LEN(ReferenceData!$O$38),"",ReferenceData!$O$38),"")</f>
        <v>215238</v>
      </c>
      <c r="P38">
        <f ca="1">IFERROR(IF(0=LEN(ReferenceData!$P$38),"",ReferenceData!$P$38),"")</f>
        <v>219351</v>
      </c>
      <c r="Q38">
        <f ca="1">IFERROR(IF(0=LEN(ReferenceData!$Q$38),"",ReferenceData!$Q$38),"")</f>
        <v>213073</v>
      </c>
      <c r="R38">
        <f ca="1">IFERROR(IF(0=LEN(ReferenceData!$R$38),"",ReferenceData!$R$38),"")</f>
        <v>256879</v>
      </c>
      <c r="S38">
        <f ca="1">IFERROR(IF(0=LEN(ReferenceData!$S$38),"",ReferenceData!$S$38),"")</f>
        <v>226807</v>
      </c>
      <c r="T38">
        <f ca="1">IFERROR(IF(0=LEN(ReferenceData!$T$38),"",ReferenceData!$T$38),"")</f>
        <v>223411</v>
      </c>
      <c r="U38">
        <f ca="1">IFERROR(IF(0=LEN(ReferenceData!$U$38),"",ReferenceData!$U$38),"")</f>
        <v>216097</v>
      </c>
      <c r="V38">
        <f ca="1">IFERROR(IF(0=LEN(ReferenceData!$V$38),"",ReferenceData!$V$38),"")</f>
        <v>196225</v>
      </c>
      <c r="W38">
        <f ca="1">IFERROR(IF(0=LEN(ReferenceData!$W$38),"",ReferenceData!$W$38),"")</f>
        <v>255104</v>
      </c>
      <c r="X38">
        <f ca="1">IFERROR(IF(0=LEN(ReferenceData!$X$38),"",ReferenceData!$X$38),"")</f>
        <v>264099</v>
      </c>
      <c r="Y38">
        <f ca="1">IFERROR(IF(0=LEN(ReferenceData!$Y$38),"",ReferenceData!$Y$38),"")</f>
        <v>264334</v>
      </c>
      <c r="Z38">
        <f ca="1">IFERROR(IF(0=LEN(ReferenceData!$Z$38),"",ReferenceData!$Z$38),"")</f>
        <v>230420</v>
      </c>
      <c r="AA38">
        <f ca="1">IFERROR(IF(0=LEN(ReferenceData!$AA$38),"",ReferenceData!$AA$38),"")</f>
        <v>226515</v>
      </c>
      <c r="AB38">
        <f ca="1">IFERROR(IF(0=LEN(ReferenceData!$AB$38),"",ReferenceData!$AB$38),"")</f>
        <v>246198</v>
      </c>
      <c r="AC38">
        <f ca="1">IFERROR(IF(0=LEN(ReferenceData!$AC$38),"",ReferenceData!$AC$38),"")</f>
        <v>250711</v>
      </c>
      <c r="AD38">
        <f ca="1">IFERROR(IF(0=LEN(ReferenceData!$AD$38),"",ReferenceData!$AD$38),"")</f>
        <v>234923</v>
      </c>
      <c r="AE38">
        <f ca="1">IFERROR(IF(0=LEN(ReferenceData!$AE$38),"",ReferenceData!$AE$38),"")</f>
        <v>205008</v>
      </c>
      <c r="AF38">
        <f ca="1">IFERROR(IF(0=LEN(ReferenceData!$AF$38),"",ReferenceData!$AF$38),"")</f>
        <v>234688</v>
      </c>
      <c r="AG38">
        <f ca="1">IFERROR(IF(0=LEN(ReferenceData!$AG$38),"",ReferenceData!$AG$38),"")</f>
        <v>244821</v>
      </c>
      <c r="AH38">
        <f ca="1">IFERROR(IF(0=LEN(ReferenceData!$AH$38),"",ReferenceData!$AH$38),"")</f>
        <v>231758</v>
      </c>
      <c r="AI38">
        <f ca="1">IFERROR(IF(0=LEN(ReferenceData!$AI$38),"",ReferenceData!$AI$38),"")</f>
        <v>230870</v>
      </c>
      <c r="AJ38">
        <f ca="1">IFERROR(IF(0=LEN(ReferenceData!$AJ$38),"",ReferenceData!$AJ$38),"")</f>
        <v>225136</v>
      </c>
      <c r="AK38">
        <f ca="1">IFERROR(IF(0=LEN(ReferenceData!$AK$38),"",ReferenceData!$AK$38),"")</f>
        <v>248796</v>
      </c>
      <c r="AL38">
        <f ca="1">IFERROR(IF(0=LEN(ReferenceData!$AL$38),"",ReferenceData!$AL$38),"")</f>
        <v>182269</v>
      </c>
      <c r="AM38">
        <f ca="1">IFERROR(IF(0=LEN(ReferenceData!$AM$38),"",ReferenceData!$AM$38),"")</f>
        <v>216265</v>
      </c>
      <c r="AN38">
        <f ca="1">IFERROR(IF(0=LEN(ReferenceData!$AN$38),"",ReferenceData!$AN$38),"")</f>
        <v>209606</v>
      </c>
      <c r="AO38">
        <f ca="1">IFERROR(IF(0=LEN(ReferenceData!$AO$38),"",ReferenceData!$AO$38),"")</f>
        <v>207066</v>
      </c>
      <c r="AP38">
        <f ca="1">IFERROR(IF(0=LEN(ReferenceData!$AP$38),"",ReferenceData!$AP$38),"")</f>
        <v>216196</v>
      </c>
      <c r="AQ38">
        <f ca="1">IFERROR(IF(0=LEN(ReferenceData!$AQ$38),"",ReferenceData!$AQ$38),"")</f>
        <v>195101</v>
      </c>
      <c r="AR38">
        <f ca="1">IFERROR(IF(0=LEN(ReferenceData!$AR$38),"",ReferenceData!$AR$38),"")</f>
        <v>208837</v>
      </c>
      <c r="AS38">
        <f ca="1">IFERROR(IF(0=LEN(ReferenceData!$AS$38),"",ReferenceData!$AS$38),"")</f>
        <v>176974</v>
      </c>
      <c r="AT38">
        <f ca="1">IFERROR(IF(0=LEN(ReferenceData!$AT$38),"",ReferenceData!$AT$38),"")</f>
        <v>156494</v>
      </c>
      <c r="AU38">
        <f ca="1">IFERROR(IF(0=LEN(ReferenceData!$AU$38),"",ReferenceData!$AU$38),"")</f>
        <v>169705</v>
      </c>
      <c r="AV38">
        <f ca="1">IFERROR(IF(0=LEN(ReferenceData!$AV$38),"",ReferenceData!$AV$38),"")</f>
        <v>176152</v>
      </c>
      <c r="AW38">
        <f ca="1">IFERROR(IF(0=LEN(ReferenceData!$AW$38),"",ReferenceData!$AW$38),"")</f>
        <v>185631</v>
      </c>
      <c r="AX38">
        <f ca="1">IFERROR(IF(0=LEN(ReferenceData!$AX$38),"",ReferenceData!$AX$38),"")</f>
        <v>197214</v>
      </c>
      <c r="AY38">
        <f ca="1">IFERROR(IF(0=LEN(ReferenceData!$AY$38),"",ReferenceData!$AY$38),"")</f>
        <v>211020</v>
      </c>
      <c r="AZ38">
        <f ca="1">IFERROR(IF(0=LEN(ReferenceData!$AZ$38),"",ReferenceData!$AZ$38),"")</f>
        <v>187882</v>
      </c>
      <c r="BA38">
        <f ca="1">IFERROR(IF(0=LEN(ReferenceData!$BA$38),"",ReferenceData!$BA$38),"")</f>
        <v>184928</v>
      </c>
      <c r="BB38">
        <f ca="1">IFERROR(IF(0=LEN(ReferenceData!$BB$38),"",ReferenceData!$BB$38),"")</f>
        <v>217360</v>
      </c>
      <c r="BC38">
        <f ca="1">IFERROR(IF(0=LEN(ReferenceData!$BC$38),"",ReferenceData!$BC$38),"")</f>
        <v>194948</v>
      </c>
      <c r="BD38">
        <f ca="1">IFERROR(IF(0=LEN(ReferenceData!$BD$38),"",ReferenceData!$BD$38),"")</f>
        <v>233110</v>
      </c>
      <c r="BE38">
        <f ca="1">IFERROR(IF(0=LEN(ReferenceData!$BE$38),"",ReferenceData!$BE$38),"")</f>
        <v>210542</v>
      </c>
      <c r="BF38">
        <f ca="1">IFERROR(IF(0=LEN(ReferenceData!$BF$38),"",ReferenceData!$BF$38),"")</f>
        <v>200406</v>
      </c>
      <c r="BG38">
        <f ca="1">IFERROR(IF(0=LEN(ReferenceData!$BG$38),"",ReferenceData!$BG$38),"")</f>
        <v>204457</v>
      </c>
      <c r="BH38">
        <f ca="1">IFERROR(IF(0=LEN(ReferenceData!$BH$38),"",ReferenceData!$BH$38),"")</f>
        <v>204621</v>
      </c>
      <c r="BI38">
        <f ca="1">IFERROR(IF(0=LEN(ReferenceData!$BI$38),"",ReferenceData!$BI$38),"")</f>
        <v>214113</v>
      </c>
      <c r="BJ38">
        <f ca="1">IFERROR(IF(0=LEN(ReferenceData!$BJ$38),"",ReferenceData!$BJ$38),"")</f>
        <v>178131</v>
      </c>
      <c r="BK38">
        <f ca="1">IFERROR(IF(0=LEN(ReferenceData!$BK$38),"",ReferenceData!$BK$38),"")</f>
        <v>205689</v>
      </c>
      <c r="BL38">
        <f ca="1">IFERROR(IF(0=LEN(ReferenceData!$BL$38),"",ReferenceData!$BL$38),"")</f>
        <v>199701</v>
      </c>
      <c r="BM38">
        <f ca="1">IFERROR(IF(0=LEN(ReferenceData!$BM$38),"",ReferenceData!$BM$38),"")</f>
        <v>188583</v>
      </c>
      <c r="BN38">
        <f ca="1">IFERROR(IF(0=LEN(ReferenceData!$BN$38),"",ReferenceData!$BN$38),"")</f>
        <v>217035</v>
      </c>
      <c r="BO38">
        <f ca="1">IFERROR(IF(0=LEN(ReferenceData!$BO$38),"",ReferenceData!$BO$38),"")</f>
        <v>173226</v>
      </c>
      <c r="BP38">
        <f ca="1">IFERROR(IF(0=LEN(ReferenceData!$BP$38),"",ReferenceData!$BP$38),"")</f>
        <v>206541</v>
      </c>
      <c r="BQ38">
        <f ca="1">IFERROR(IF(0=LEN(ReferenceData!$BQ$38),"",ReferenceData!$BQ$38),"")</f>
        <v>200594</v>
      </c>
      <c r="BR38">
        <f ca="1">IFERROR(IF(0=LEN(ReferenceData!$BR$38),"",ReferenceData!$BR$38),"")</f>
        <v>201163</v>
      </c>
      <c r="BS38">
        <f ca="1">IFERROR(IF(0=LEN(ReferenceData!$BS$38),"",ReferenceData!$BS$38),"")</f>
        <v>197437</v>
      </c>
      <c r="BT38">
        <f ca="1">IFERROR(IF(0=LEN(ReferenceData!$BT$38),"",ReferenceData!$BT$38),"")</f>
        <v>196439</v>
      </c>
      <c r="BU38">
        <f ca="1">IFERROR(IF(0=LEN(ReferenceData!$BU$38),"",ReferenceData!$BU$38),"")</f>
        <v>199659</v>
      </c>
      <c r="BV38">
        <f ca="1">IFERROR(IF(0=LEN(ReferenceData!$BV$38),"",ReferenceData!$BV$38),"")</f>
        <v>168480</v>
      </c>
      <c r="BW38">
        <f ca="1">IFERROR(IF(0=LEN(ReferenceData!$BW$38),"",ReferenceData!$BW$38),"")</f>
        <v>167398</v>
      </c>
      <c r="BX38">
        <f ca="1">IFERROR(IF(0=LEN(ReferenceData!$BX$38),"",ReferenceData!$BX$38),"")</f>
        <v>182884</v>
      </c>
      <c r="BY38">
        <f ca="1">IFERROR(IF(0=LEN(ReferenceData!$BY$38),"",ReferenceData!$BY$38),"")</f>
        <v>163592</v>
      </c>
      <c r="BZ38">
        <f ca="1">IFERROR(IF(0=LEN(ReferenceData!$BZ$38),"",ReferenceData!$BZ$38),"")</f>
        <v>182827</v>
      </c>
      <c r="CA38">
        <f ca="1">IFERROR(IF(0=LEN(ReferenceData!$CA$38),"",ReferenceData!$CA$38),"")</f>
        <v>179856</v>
      </c>
      <c r="CB38">
        <f ca="1">IFERROR(IF(0=LEN(ReferenceData!$CB$38),"",ReferenceData!$CB$38),"")</f>
        <v>177728</v>
      </c>
      <c r="CC38">
        <f ca="1">IFERROR(IF(0=LEN(ReferenceData!$CC$38),"",ReferenceData!$CC$38),"")</f>
        <v>182411</v>
      </c>
      <c r="CD38">
        <f ca="1">IFERROR(IF(0=LEN(ReferenceData!$CD$38),"",ReferenceData!$CD$38),"")</f>
        <v>183237</v>
      </c>
      <c r="CE38">
        <f ca="1">IFERROR(IF(0=LEN(ReferenceData!$CE$38),"",ReferenceData!$CE$38),"")</f>
        <v>182452</v>
      </c>
      <c r="CF38">
        <f ca="1">IFERROR(IF(0=LEN(ReferenceData!$CF$38),"",ReferenceData!$CF$38),"")</f>
        <v>189315</v>
      </c>
      <c r="CG38">
        <f ca="1">IFERROR(IF(0=LEN(ReferenceData!$CG$38),"",ReferenceData!$CG$38),"")</f>
        <v>192411</v>
      </c>
      <c r="CH38">
        <f ca="1">IFERROR(IF(0=LEN(ReferenceData!$CH$38),"",ReferenceData!$CH$38),"")</f>
        <v>175820</v>
      </c>
      <c r="CI38">
        <f ca="1">IFERROR(IF(0=LEN(ReferenceData!$CI$38),"",ReferenceData!$CI$38),"")</f>
        <v>185018</v>
      </c>
      <c r="CJ38">
        <f ca="1">IFERROR(IF(0=LEN(ReferenceData!$CJ$38),"",ReferenceData!$CJ$38),"")</f>
        <v>164480</v>
      </c>
      <c r="CK38">
        <f ca="1">IFERROR(IF(0=LEN(ReferenceData!$CK$38),"",ReferenceData!$CK$38),"")</f>
        <v>175217</v>
      </c>
    </row>
    <row r="39" spans="1:89" x14ac:dyDescent="0.25">
      <c r="A39" t="str">
        <f>IFERROR(IF(0=LEN(ReferenceData!$A$39),"",ReferenceData!$A$39),"")</f>
        <v xml:space="preserve">    Port of Prince Rupert (TEU)</v>
      </c>
      <c r="B39" t="str">
        <f>IFERROR(IF(0=LEN(ReferenceData!$B$39),"",ReferenceData!$B$39),"")</f>
        <v>PRPSTTTE Index</v>
      </c>
      <c r="C39" t="str">
        <f>IFERROR(IF(0=LEN(ReferenceData!$C$39),"",ReferenceData!$C$39),"")</f>
        <v>PX385</v>
      </c>
      <c r="D39" t="str">
        <f>IFERROR(IF(0=LEN(ReferenceData!$D$39),"",ReferenceData!$D$39),"")</f>
        <v>INTERVAL_SUM</v>
      </c>
      <c r="E39" t="str">
        <f>IFERROR(IF(0=LEN(ReferenceData!$E$39),"",ReferenceData!$E$39),"")</f>
        <v>Dynamic</v>
      </c>
      <c r="F39" t="str">
        <f ca="1">IFERROR(IF(0=LEN(ReferenceData!$F$39),"",ReferenceData!$F$39),"")</f>
        <v/>
      </c>
      <c r="G39">
        <f ca="1">IFERROR(IF(0=LEN(ReferenceData!$G$39),"",ReferenceData!$G$39),"")</f>
        <v>65899</v>
      </c>
      <c r="H39">
        <f ca="1">IFERROR(IF(0=LEN(ReferenceData!$H$39),"",ReferenceData!$H$39),"")</f>
        <v>47270</v>
      </c>
      <c r="I39">
        <f ca="1">IFERROR(IF(0=LEN(ReferenceData!$I$39),"",ReferenceData!$I$39),"")</f>
        <v>48499</v>
      </c>
      <c r="J39">
        <f ca="1">IFERROR(IF(0=LEN(ReferenceData!$J$39),"",ReferenceData!$J$39),"")</f>
        <v>64865</v>
      </c>
      <c r="K39">
        <f ca="1">IFERROR(IF(0=LEN(ReferenceData!$K$39),"",ReferenceData!$K$39),"")</f>
        <v>78458</v>
      </c>
      <c r="L39">
        <f ca="1">IFERROR(IF(0=LEN(ReferenceData!$L$39),"",ReferenceData!$L$39),"")</f>
        <v>51537</v>
      </c>
      <c r="M39">
        <f ca="1">IFERROR(IF(0=LEN(ReferenceData!$M$39),"",ReferenceData!$M$39),"")</f>
        <v>63401</v>
      </c>
      <c r="N39">
        <f ca="1">IFERROR(IF(0=LEN(ReferenceData!$N$39),"",ReferenceData!$N$39),"")</f>
        <v>47578</v>
      </c>
      <c r="O39">
        <f ca="1">IFERROR(IF(0=LEN(ReferenceData!$O$39),"",ReferenceData!$O$39),"")</f>
        <v>76564</v>
      </c>
      <c r="P39">
        <f ca="1">IFERROR(IF(0=LEN(ReferenceData!$P$39),"",ReferenceData!$P$39),"")</f>
        <v>86765</v>
      </c>
      <c r="Q39">
        <f ca="1">IFERROR(IF(0=LEN(ReferenceData!$Q$39),"",ReferenceData!$Q$39),"")</f>
        <v>72388</v>
      </c>
      <c r="R39">
        <f ca="1">IFERROR(IF(0=LEN(ReferenceData!$R$39),"",ReferenceData!$R$39),"")</f>
        <v>85930</v>
      </c>
      <c r="S39">
        <f ca="1">IFERROR(IF(0=LEN(ReferenceData!$S$39),"",ReferenceData!$S$39),"")</f>
        <v>89292</v>
      </c>
      <c r="T39">
        <f ca="1">IFERROR(IF(0=LEN(ReferenceData!$T$39),"",ReferenceData!$T$39),"")</f>
        <v>114042</v>
      </c>
      <c r="U39">
        <f ca="1">IFERROR(IF(0=LEN(ReferenceData!$U$39),"",ReferenceData!$U$39),"")</f>
        <v>65347</v>
      </c>
      <c r="V39">
        <f ca="1">IFERROR(IF(0=LEN(ReferenceData!$V$39),"",ReferenceData!$V$39),"")</f>
        <v>84384</v>
      </c>
      <c r="W39">
        <f ca="1">IFERROR(IF(0=LEN(ReferenceData!$W$39),"",ReferenceData!$W$39),"")</f>
        <v>86559</v>
      </c>
      <c r="X39">
        <f ca="1">IFERROR(IF(0=LEN(ReferenceData!$X$39),"",ReferenceData!$X$39),"")</f>
        <v>100540</v>
      </c>
      <c r="Y39">
        <f ca="1">IFERROR(IF(0=LEN(ReferenceData!$Y$39),"",ReferenceData!$Y$39),"")</f>
        <v>95193</v>
      </c>
      <c r="Z39">
        <f ca="1">IFERROR(IF(0=LEN(ReferenceData!$Z$39),"",ReferenceData!$Z$39),"")</f>
        <v>75777</v>
      </c>
      <c r="AA39">
        <f ca="1">IFERROR(IF(0=LEN(ReferenceData!$AA$39),"",ReferenceData!$AA$39),"")</f>
        <v>79425</v>
      </c>
      <c r="AB39">
        <f ca="1">IFERROR(IF(0=LEN(ReferenceData!$AB$39),"",ReferenceData!$AB$39),"")</f>
        <v>110030</v>
      </c>
      <c r="AC39">
        <f ca="1">IFERROR(IF(0=LEN(ReferenceData!$AC$39),"",ReferenceData!$AC$39),"")</f>
        <v>61231</v>
      </c>
      <c r="AD39">
        <f ca="1">IFERROR(IF(0=LEN(ReferenceData!$AD$39),"",ReferenceData!$AD$39),"")</f>
        <v>110132</v>
      </c>
      <c r="AE39">
        <f ca="1">IFERROR(IF(0=LEN(ReferenceData!$AE$39),"",ReferenceData!$AE$39),"")</f>
        <v>84786</v>
      </c>
      <c r="AF39">
        <f ca="1">IFERROR(IF(0=LEN(ReferenceData!$AF$39),"",ReferenceData!$AF$39),"")</f>
        <v>89000</v>
      </c>
      <c r="AG39">
        <f ca="1">IFERROR(IF(0=LEN(ReferenceData!$AG$39),"",ReferenceData!$AG$39),"")</f>
        <v>107948</v>
      </c>
      <c r="AH39">
        <f ca="1">IFERROR(IF(0=LEN(ReferenceData!$AH$39),"",ReferenceData!$AH$39),"")</f>
        <v>57145</v>
      </c>
      <c r="AI39">
        <f ca="1">IFERROR(IF(0=LEN(ReferenceData!$AI$39),"",ReferenceData!$AI$39),"")</f>
        <v>103885</v>
      </c>
      <c r="AJ39">
        <f ca="1">IFERROR(IF(0=LEN(ReferenceData!$AJ$39),"",ReferenceData!$AJ$39),"")</f>
        <v>59115</v>
      </c>
      <c r="AK39">
        <f ca="1">IFERROR(IF(0=LEN(ReferenceData!$AK$39),"",ReferenceData!$AK$39),"")</f>
        <v>100445</v>
      </c>
      <c r="AL39">
        <f ca="1">IFERROR(IF(0=LEN(ReferenceData!$AL$39),"",ReferenceData!$AL$39),"")</f>
        <v>72055</v>
      </c>
      <c r="AM39">
        <f ca="1">IFERROR(IF(0=LEN(ReferenceData!$AM$39),"",ReferenceData!$AM$39),"")</f>
        <v>99066</v>
      </c>
      <c r="AN39">
        <f ca="1">IFERROR(IF(0=LEN(ReferenceData!$AN$39),"",ReferenceData!$AN$39),"")</f>
        <v>110077</v>
      </c>
      <c r="AO39">
        <f ca="1">IFERROR(IF(0=LEN(ReferenceData!$AO$39),"",ReferenceData!$AO$39),"")</f>
        <v>95771</v>
      </c>
      <c r="AP39">
        <f ca="1">IFERROR(IF(0=LEN(ReferenceData!$AP$39),"",ReferenceData!$AP$39),"")</f>
        <v>120987</v>
      </c>
      <c r="AQ39">
        <f ca="1">IFERROR(IF(0=LEN(ReferenceData!$AQ$39),"",ReferenceData!$AQ$39),"")</f>
        <v>110083</v>
      </c>
      <c r="AR39">
        <f ca="1">IFERROR(IF(0=LEN(ReferenceData!$AR$39),"",ReferenceData!$AR$39),"")</f>
        <v>118936</v>
      </c>
      <c r="AS39">
        <f ca="1">IFERROR(IF(0=LEN(ReferenceData!$AS$39),"",ReferenceData!$AS$39),"")</f>
        <v>105104</v>
      </c>
      <c r="AT39">
        <f ca="1">IFERROR(IF(0=LEN(ReferenceData!$AT$39),"",ReferenceData!$AT$39),"")</f>
        <v>81915</v>
      </c>
      <c r="AU39">
        <f ca="1">IFERROR(IF(0=LEN(ReferenceData!$AU$39),"",ReferenceData!$AU$39),"")</f>
        <v>68472</v>
      </c>
      <c r="AV39">
        <f ca="1">IFERROR(IF(0=LEN(ReferenceData!$AV$39),"",ReferenceData!$AV$39),"")</f>
        <v>92047</v>
      </c>
      <c r="AW39">
        <f ca="1">IFERROR(IF(0=LEN(ReferenceData!$AW$39),"",ReferenceData!$AW$39),"")</f>
        <v>56162</v>
      </c>
      <c r="AX39">
        <f ca="1">IFERROR(IF(0=LEN(ReferenceData!$AX$39),"",ReferenceData!$AX$39),"")</f>
        <v>100340</v>
      </c>
      <c r="AY39">
        <f ca="1">IFERROR(IF(0=LEN(ReferenceData!$AY$39),"",ReferenceData!$AY$39),"")</f>
        <v>81487</v>
      </c>
      <c r="AZ39">
        <f ca="1">IFERROR(IF(0=LEN(ReferenceData!$AZ$39),"",ReferenceData!$AZ$39),"")</f>
        <v>107088</v>
      </c>
      <c r="BA39">
        <f ca="1">IFERROR(IF(0=LEN(ReferenceData!$BA$39),"",ReferenceData!$BA$39),"")</f>
        <v>105545</v>
      </c>
      <c r="BB39">
        <f ca="1">IFERROR(IF(0=LEN(ReferenceData!$BB$39),"",ReferenceData!$BB$39),"")</f>
        <v>101674</v>
      </c>
      <c r="BC39">
        <f ca="1">IFERROR(IF(0=LEN(ReferenceData!$BC$39),"",ReferenceData!$BC$39),"")</f>
        <v>113800</v>
      </c>
      <c r="BD39">
        <f ca="1">IFERROR(IF(0=LEN(ReferenceData!$BD$39),"",ReferenceData!$BD$39),"")</f>
        <v>123261</v>
      </c>
      <c r="BE39">
        <f ca="1">IFERROR(IF(0=LEN(ReferenceData!$BE$39),"",ReferenceData!$BE$39),"")</f>
        <v>109315</v>
      </c>
      <c r="BF39">
        <f ca="1">IFERROR(IF(0=LEN(ReferenceData!$BF$39),"",ReferenceData!$BF$39),"")</f>
        <v>95677</v>
      </c>
      <c r="BG39">
        <f ca="1">IFERROR(IF(0=LEN(ReferenceData!$BG$39),"",ReferenceData!$BG$39),"")</f>
        <v>108351</v>
      </c>
      <c r="BH39">
        <f ca="1">IFERROR(IF(0=LEN(ReferenceData!$BH$39),"",ReferenceData!$BH$39),"")</f>
        <v>97804</v>
      </c>
      <c r="BI39">
        <f ca="1">IFERROR(IF(0=LEN(ReferenceData!$BI$39),"",ReferenceData!$BI$39),"")</f>
        <v>86403</v>
      </c>
      <c r="BJ39">
        <f ca="1">IFERROR(IF(0=LEN(ReferenceData!$BJ$39),"",ReferenceData!$BJ$39),"")</f>
        <v>60980</v>
      </c>
      <c r="BK39">
        <f ca="1">IFERROR(IF(0=LEN(ReferenceData!$BK$39),"",ReferenceData!$BK$39),"")</f>
        <v>100868</v>
      </c>
      <c r="BL39">
        <f ca="1">IFERROR(IF(0=LEN(ReferenceData!$BL$39),"",ReferenceData!$BL$39),"")</f>
        <v>90830</v>
      </c>
      <c r="BM39">
        <f ca="1">IFERROR(IF(0=LEN(ReferenceData!$BM$39),"",ReferenceData!$BM$39),"")</f>
        <v>81666</v>
      </c>
      <c r="BN39">
        <f ca="1">IFERROR(IF(0=LEN(ReferenceData!$BN$39),"",ReferenceData!$BN$39),"")</f>
        <v>92316</v>
      </c>
      <c r="BO39">
        <f ca="1">IFERROR(IF(0=LEN(ReferenceData!$BO$39),"",ReferenceData!$BO$39),"")</f>
        <v>105059.75</v>
      </c>
      <c r="BP39">
        <f ca="1">IFERROR(IF(0=LEN(ReferenceData!$BP$39),"",ReferenceData!$BP$39),"")</f>
        <v>74822</v>
      </c>
      <c r="BQ39">
        <f ca="1">IFERROR(IF(0=LEN(ReferenceData!$BQ$39),"",ReferenceData!$BQ$39),"")</f>
        <v>88490</v>
      </c>
      <c r="BR39">
        <f ca="1">IFERROR(IF(0=LEN(ReferenceData!$BR$39),"",ReferenceData!$BR$39),"")</f>
        <v>91922</v>
      </c>
      <c r="BS39">
        <f ca="1">IFERROR(IF(0=LEN(ReferenceData!$BS$39),"",ReferenceData!$BS$39),"")</f>
        <v>89950</v>
      </c>
      <c r="BT39">
        <f ca="1">IFERROR(IF(0=LEN(ReferenceData!$BT$39),"",ReferenceData!$BT$39),"")</f>
        <v>81481</v>
      </c>
      <c r="BU39">
        <f ca="1">IFERROR(IF(0=LEN(ReferenceData!$BU$39),"",ReferenceData!$BU$39),"")</f>
        <v>78953</v>
      </c>
      <c r="BV39">
        <f ca="1">IFERROR(IF(0=LEN(ReferenceData!$BV$39),"",ReferenceData!$BV$39),"")</f>
        <v>76754</v>
      </c>
      <c r="BW39">
        <f ca="1">IFERROR(IF(0=LEN(ReferenceData!$BW$39),"",ReferenceData!$BW$39),"")</f>
        <v>83778</v>
      </c>
      <c r="BX39">
        <f ca="1">IFERROR(IF(0=LEN(ReferenceData!$BX$39),"",ReferenceData!$BX$39),"")</f>
        <v>77645</v>
      </c>
      <c r="BY39">
        <f ca="1">IFERROR(IF(0=LEN(ReferenceData!$BY$39),"",ReferenceData!$BY$39),"")</f>
        <v>85119</v>
      </c>
      <c r="BZ39">
        <f ca="1">IFERROR(IF(0=LEN(ReferenceData!$BZ$39),"",ReferenceData!$BZ$39),"")</f>
        <v>91829.5</v>
      </c>
      <c r="CA39">
        <f ca="1">IFERROR(IF(0=LEN(ReferenceData!$CA$39),"",ReferenceData!$CA$39),"")</f>
        <v>75772.25</v>
      </c>
      <c r="CB39">
        <f ca="1">IFERROR(IF(0=LEN(ReferenceData!$CB$39),"",ReferenceData!$CB$39),"")</f>
        <v>87521</v>
      </c>
      <c r="CC39">
        <f ca="1">IFERROR(IF(0=LEN(ReferenceData!$CC$39),"",ReferenceData!$CC$39),"")</f>
        <v>85784.75</v>
      </c>
      <c r="CD39">
        <f ca="1">IFERROR(IF(0=LEN(ReferenceData!$CD$39),"",ReferenceData!$CD$39),"")</f>
        <v>91842.25</v>
      </c>
      <c r="CE39">
        <f ca="1">IFERROR(IF(0=LEN(ReferenceData!$CE$39),"",ReferenceData!$CE$39),"")</f>
        <v>74174.5</v>
      </c>
      <c r="CF39">
        <f ca="1">IFERROR(IF(0=LEN(ReferenceData!$CF$39),"",ReferenceData!$CF$39),"")</f>
        <v>69971.75</v>
      </c>
      <c r="CG39">
        <f ca="1">IFERROR(IF(0=LEN(ReferenceData!$CG$39),"",ReferenceData!$CG$39),"")</f>
        <v>64195</v>
      </c>
      <c r="CH39">
        <f ca="1">IFERROR(IF(0=LEN(ReferenceData!$CH$39),"",ReferenceData!$CH$39),"")</f>
        <v>56648</v>
      </c>
      <c r="CI39">
        <f ca="1">IFERROR(IF(0=LEN(ReferenceData!$CI$39),"",ReferenceData!$CI$39),"")</f>
        <v>66035</v>
      </c>
      <c r="CJ39">
        <f ca="1">IFERROR(IF(0=LEN(ReferenceData!$CJ$39),"",ReferenceData!$CJ$39),"")</f>
        <v>58870</v>
      </c>
      <c r="CK39">
        <f ca="1">IFERROR(IF(0=LEN(ReferenceData!$CK$39),"",ReferenceData!$CK$39),"")</f>
        <v>49521</v>
      </c>
    </row>
    <row r="40" spans="1:89" x14ac:dyDescent="0.25">
      <c r="A40" t="str">
        <f>IFERROR(IF(0=LEN(ReferenceData!$A$40),"",ReferenceData!$A$40),"")</f>
        <v>Suez Canal Traffic</v>
      </c>
      <c r="B40" t="str">
        <f>IFERROR(IF(0=LEN(ReferenceData!$B$40),"",ReferenceData!$B$40),"")</f>
        <v/>
      </c>
      <c r="C40" t="str">
        <f>IFERROR(IF(0=LEN(ReferenceData!$C$40),"",ReferenceData!$C$40),"")</f>
        <v/>
      </c>
      <c r="D40" t="str">
        <f>IFERROR(IF(0=LEN(ReferenceData!$D$40),"",ReferenceData!$D$40),"")</f>
        <v/>
      </c>
      <c r="E40" t="str">
        <f>IFERROR(IF(0=LEN(ReferenceData!$E$40),"",ReferenceData!$E$40),"")</f>
        <v>Heading</v>
      </c>
      <c r="F40" t="str">
        <f>IFERROR(IF(0=LEN(ReferenceData!$F$40),"",ReferenceData!$F$40),"")</f>
        <v/>
      </c>
      <c r="G40" t="str">
        <f>IFERROR(IF(0=LEN(ReferenceData!$G$40),"",ReferenceData!$G$40),"")</f>
        <v/>
      </c>
      <c r="H40" t="str">
        <f>IFERROR(IF(0=LEN(ReferenceData!$H$40),"",ReferenceData!$H$40),"")</f>
        <v/>
      </c>
      <c r="I40" t="str">
        <f>IFERROR(IF(0=LEN(ReferenceData!$I$40),"",ReferenceData!$I$40),"")</f>
        <v/>
      </c>
      <c r="J40" t="str">
        <f>IFERROR(IF(0=LEN(ReferenceData!$J$40),"",ReferenceData!$J$40),"")</f>
        <v/>
      </c>
      <c r="K40" t="str">
        <f>IFERROR(IF(0=LEN(ReferenceData!$K$40),"",ReferenceData!$K$40),"")</f>
        <v/>
      </c>
      <c r="L40" t="str">
        <f>IFERROR(IF(0=LEN(ReferenceData!$L$40),"",ReferenceData!$L$40),"")</f>
        <v/>
      </c>
      <c r="M40" t="str">
        <f>IFERROR(IF(0=LEN(ReferenceData!$M$40),"",ReferenceData!$M$40),"")</f>
        <v/>
      </c>
      <c r="N40" t="str">
        <f>IFERROR(IF(0=LEN(ReferenceData!$N$40),"",ReferenceData!$N$40),"")</f>
        <v/>
      </c>
      <c r="O40" t="str">
        <f>IFERROR(IF(0=LEN(ReferenceData!$O$40),"",ReferenceData!$O$40),"")</f>
        <v/>
      </c>
      <c r="P40" t="str">
        <f>IFERROR(IF(0=LEN(ReferenceData!$P$40),"",ReferenceData!$P$40),"")</f>
        <v/>
      </c>
      <c r="Q40" t="str">
        <f>IFERROR(IF(0=LEN(ReferenceData!$Q$40),"",ReferenceData!$Q$40),"")</f>
        <v/>
      </c>
      <c r="R40" t="str">
        <f>IFERROR(IF(0=LEN(ReferenceData!$R$40),"",ReferenceData!$R$40),"")</f>
        <v/>
      </c>
      <c r="S40" t="str">
        <f>IFERROR(IF(0=LEN(ReferenceData!$S$40),"",ReferenceData!$S$40),"")</f>
        <v/>
      </c>
      <c r="T40" t="str">
        <f>IFERROR(IF(0=LEN(ReferenceData!$T$40),"",ReferenceData!$T$40),"")</f>
        <v/>
      </c>
      <c r="U40" t="str">
        <f>IFERROR(IF(0=LEN(ReferenceData!$U$40),"",ReferenceData!$U$40),"")</f>
        <v/>
      </c>
      <c r="V40" t="str">
        <f>IFERROR(IF(0=LEN(ReferenceData!$V$40),"",ReferenceData!$V$40),"")</f>
        <v/>
      </c>
      <c r="W40" t="str">
        <f>IFERROR(IF(0=LEN(ReferenceData!$W$40),"",ReferenceData!$W$40),"")</f>
        <v/>
      </c>
      <c r="X40" t="str">
        <f>IFERROR(IF(0=LEN(ReferenceData!$X$40),"",ReferenceData!$X$40),"")</f>
        <v/>
      </c>
      <c r="Y40" t="str">
        <f>IFERROR(IF(0=LEN(ReferenceData!$Y$40),"",ReferenceData!$Y$40),"")</f>
        <v/>
      </c>
      <c r="Z40" t="str">
        <f>IFERROR(IF(0=LEN(ReferenceData!$Z$40),"",ReferenceData!$Z$40),"")</f>
        <v/>
      </c>
      <c r="AA40" t="str">
        <f>IFERROR(IF(0=LEN(ReferenceData!$AA$40),"",ReferenceData!$AA$40),"")</f>
        <v/>
      </c>
      <c r="AB40" t="str">
        <f>IFERROR(IF(0=LEN(ReferenceData!$AB$40),"",ReferenceData!$AB$40),"")</f>
        <v/>
      </c>
      <c r="AC40" t="str">
        <f>IFERROR(IF(0=LEN(ReferenceData!$AC$40),"",ReferenceData!$AC$40),"")</f>
        <v/>
      </c>
      <c r="AD40" t="str">
        <f>IFERROR(IF(0=LEN(ReferenceData!$AD$40),"",ReferenceData!$AD$40),"")</f>
        <v/>
      </c>
      <c r="AE40" t="str">
        <f>IFERROR(IF(0=LEN(ReferenceData!$AE$40),"",ReferenceData!$AE$40),"")</f>
        <v/>
      </c>
      <c r="AF40" t="str">
        <f>IFERROR(IF(0=LEN(ReferenceData!$AF$40),"",ReferenceData!$AF$40),"")</f>
        <v/>
      </c>
      <c r="AG40" t="str">
        <f>IFERROR(IF(0=LEN(ReferenceData!$AG$40),"",ReferenceData!$AG$40),"")</f>
        <v/>
      </c>
      <c r="AH40" t="str">
        <f>IFERROR(IF(0=LEN(ReferenceData!$AH$40),"",ReferenceData!$AH$40),"")</f>
        <v/>
      </c>
      <c r="AI40" t="str">
        <f>IFERROR(IF(0=LEN(ReferenceData!$AI$40),"",ReferenceData!$AI$40),"")</f>
        <v/>
      </c>
      <c r="AJ40" t="str">
        <f>IFERROR(IF(0=LEN(ReferenceData!$AJ$40),"",ReferenceData!$AJ$40),"")</f>
        <v/>
      </c>
      <c r="AK40" t="str">
        <f>IFERROR(IF(0=LEN(ReferenceData!$AK$40),"",ReferenceData!$AK$40),"")</f>
        <v/>
      </c>
      <c r="AL40" t="str">
        <f>IFERROR(IF(0=LEN(ReferenceData!$AL$40),"",ReferenceData!$AL$40),"")</f>
        <v/>
      </c>
      <c r="AM40" t="str">
        <f>IFERROR(IF(0=LEN(ReferenceData!$AM$40),"",ReferenceData!$AM$40),"")</f>
        <v/>
      </c>
      <c r="AN40" t="str">
        <f>IFERROR(IF(0=LEN(ReferenceData!$AN$40),"",ReferenceData!$AN$40),"")</f>
        <v/>
      </c>
      <c r="AO40" t="str">
        <f>IFERROR(IF(0=LEN(ReferenceData!$AO$40),"",ReferenceData!$AO$40),"")</f>
        <v/>
      </c>
      <c r="AP40" t="str">
        <f>IFERROR(IF(0=LEN(ReferenceData!$AP$40),"",ReferenceData!$AP$40),"")</f>
        <v/>
      </c>
      <c r="AQ40" t="str">
        <f>IFERROR(IF(0=LEN(ReferenceData!$AQ$40),"",ReferenceData!$AQ$40),"")</f>
        <v/>
      </c>
      <c r="AR40" t="str">
        <f>IFERROR(IF(0=LEN(ReferenceData!$AR$40),"",ReferenceData!$AR$40),"")</f>
        <v/>
      </c>
      <c r="AS40" t="str">
        <f>IFERROR(IF(0=LEN(ReferenceData!$AS$40),"",ReferenceData!$AS$40),"")</f>
        <v/>
      </c>
      <c r="AT40" t="str">
        <f>IFERROR(IF(0=LEN(ReferenceData!$AT$40),"",ReferenceData!$AT$40),"")</f>
        <v/>
      </c>
      <c r="AU40" t="str">
        <f>IFERROR(IF(0=LEN(ReferenceData!$AU$40),"",ReferenceData!$AU$40),"")</f>
        <v/>
      </c>
      <c r="AV40" t="str">
        <f>IFERROR(IF(0=LEN(ReferenceData!$AV$40),"",ReferenceData!$AV$40),"")</f>
        <v/>
      </c>
      <c r="AW40" t="str">
        <f>IFERROR(IF(0=LEN(ReferenceData!$AW$40),"",ReferenceData!$AW$40),"")</f>
        <v/>
      </c>
      <c r="AX40" t="str">
        <f>IFERROR(IF(0=LEN(ReferenceData!$AX$40),"",ReferenceData!$AX$40),"")</f>
        <v/>
      </c>
      <c r="AY40" t="str">
        <f>IFERROR(IF(0=LEN(ReferenceData!$AY$40),"",ReferenceData!$AY$40),"")</f>
        <v/>
      </c>
      <c r="AZ40" t="str">
        <f>IFERROR(IF(0=LEN(ReferenceData!$AZ$40),"",ReferenceData!$AZ$40),"")</f>
        <v/>
      </c>
      <c r="BA40" t="str">
        <f>IFERROR(IF(0=LEN(ReferenceData!$BA$40),"",ReferenceData!$BA$40),"")</f>
        <v/>
      </c>
      <c r="BB40" t="str">
        <f>IFERROR(IF(0=LEN(ReferenceData!$BB$40),"",ReferenceData!$BB$40),"")</f>
        <v/>
      </c>
      <c r="BC40" t="str">
        <f>IFERROR(IF(0=LEN(ReferenceData!$BC$40),"",ReferenceData!$BC$40),"")</f>
        <v/>
      </c>
      <c r="BD40" t="str">
        <f>IFERROR(IF(0=LEN(ReferenceData!$BD$40),"",ReferenceData!$BD$40),"")</f>
        <v/>
      </c>
      <c r="BE40" t="str">
        <f>IFERROR(IF(0=LEN(ReferenceData!$BE$40),"",ReferenceData!$BE$40),"")</f>
        <v/>
      </c>
      <c r="BF40" t="str">
        <f>IFERROR(IF(0=LEN(ReferenceData!$BF$40),"",ReferenceData!$BF$40),"")</f>
        <v/>
      </c>
      <c r="BG40" t="str">
        <f>IFERROR(IF(0=LEN(ReferenceData!$BG$40),"",ReferenceData!$BG$40),"")</f>
        <v/>
      </c>
      <c r="BH40" t="str">
        <f>IFERROR(IF(0=LEN(ReferenceData!$BH$40),"",ReferenceData!$BH$40),"")</f>
        <v/>
      </c>
      <c r="BI40" t="str">
        <f>IFERROR(IF(0=LEN(ReferenceData!$BI$40),"",ReferenceData!$BI$40),"")</f>
        <v/>
      </c>
      <c r="BJ40" t="str">
        <f>IFERROR(IF(0=LEN(ReferenceData!$BJ$40),"",ReferenceData!$BJ$40),"")</f>
        <v/>
      </c>
      <c r="BK40" t="str">
        <f>IFERROR(IF(0=LEN(ReferenceData!$BK$40),"",ReferenceData!$BK$40),"")</f>
        <v/>
      </c>
      <c r="BL40" t="str">
        <f>IFERROR(IF(0=LEN(ReferenceData!$BL$40),"",ReferenceData!$BL$40),"")</f>
        <v/>
      </c>
      <c r="BM40" t="str">
        <f>IFERROR(IF(0=LEN(ReferenceData!$BM$40),"",ReferenceData!$BM$40),"")</f>
        <v/>
      </c>
      <c r="BN40" t="str">
        <f>IFERROR(IF(0=LEN(ReferenceData!$BN$40),"",ReferenceData!$BN$40),"")</f>
        <v/>
      </c>
      <c r="BO40" t="str">
        <f>IFERROR(IF(0=LEN(ReferenceData!$BO$40),"",ReferenceData!$BO$40),"")</f>
        <v/>
      </c>
      <c r="BP40" t="str">
        <f>IFERROR(IF(0=LEN(ReferenceData!$BP$40),"",ReferenceData!$BP$40),"")</f>
        <v/>
      </c>
      <c r="BQ40" t="str">
        <f>IFERROR(IF(0=LEN(ReferenceData!$BQ$40),"",ReferenceData!$BQ$40),"")</f>
        <v/>
      </c>
      <c r="BR40" t="str">
        <f>IFERROR(IF(0=LEN(ReferenceData!$BR$40),"",ReferenceData!$BR$40),"")</f>
        <v/>
      </c>
      <c r="BS40" t="str">
        <f>IFERROR(IF(0=LEN(ReferenceData!$BS$40),"",ReferenceData!$BS$40),"")</f>
        <v/>
      </c>
      <c r="BT40" t="str">
        <f>IFERROR(IF(0=LEN(ReferenceData!$BT$40),"",ReferenceData!$BT$40),"")</f>
        <v/>
      </c>
      <c r="BU40" t="str">
        <f>IFERROR(IF(0=LEN(ReferenceData!$BU$40),"",ReferenceData!$BU$40),"")</f>
        <v/>
      </c>
      <c r="BV40" t="str">
        <f>IFERROR(IF(0=LEN(ReferenceData!$BV$40),"",ReferenceData!$BV$40),"")</f>
        <v/>
      </c>
      <c r="BW40" t="str">
        <f>IFERROR(IF(0=LEN(ReferenceData!$BW$40),"",ReferenceData!$BW$40),"")</f>
        <v/>
      </c>
      <c r="BX40" t="str">
        <f>IFERROR(IF(0=LEN(ReferenceData!$BX$40),"",ReferenceData!$BX$40),"")</f>
        <v/>
      </c>
      <c r="BY40" t="str">
        <f>IFERROR(IF(0=LEN(ReferenceData!$BY$40),"",ReferenceData!$BY$40),"")</f>
        <v/>
      </c>
      <c r="BZ40" t="str">
        <f>IFERROR(IF(0=LEN(ReferenceData!$BZ$40),"",ReferenceData!$BZ$40),"")</f>
        <v/>
      </c>
      <c r="CA40" t="str">
        <f>IFERROR(IF(0=LEN(ReferenceData!$CA$40),"",ReferenceData!$CA$40),"")</f>
        <v/>
      </c>
      <c r="CB40" t="str">
        <f>IFERROR(IF(0=LEN(ReferenceData!$CB$40),"",ReferenceData!$CB$40),"")</f>
        <v/>
      </c>
      <c r="CC40" t="str">
        <f>IFERROR(IF(0=LEN(ReferenceData!$CC$40),"",ReferenceData!$CC$40),"")</f>
        <v/>
      </c>
      <c r="CD40" t="str">
        <f>IFERROR(IF(0=LEN(ReferenceData!$CD$40),"",ReferenceData!$CD$40),"")</f>
        <v/>
      </c>
      <c r="CE40" t="str">
        <f>IFERROR(IF(0=LEN(ReferenceData!$CE$40),"",ReferenceData!$CE$40),"")</f>
        <v/>
      </c>
      <c r="CF40" t="str">
        <f>IFERROR(IF(0=LEN(ReferenceData!$CF$40),"",ReferenceData!$CF$40),"")</f>
        <v/>
      </c>
      <c r="CG40" t="str">
        <f>IFERROR(IF(0=LEN(ReferenceData!$CG$40),"",ReferenceData!$CG$40),"")</f>
        <v/>
      </c>
      <c r="CH40" t="str">
        <f>IFERROR(IF(0=LEN(ReferenceData!$CH$40),"",ReferenceData!$CH$40),"")</f>
        <v/>
      </c>
      <c r="CI40" t="str">
        <f>IFERROR(IF(0=LEN(ReferenceData!$CI$40),"",ReferenceData!$CI$40),"")</f>
        <v/>
      </c>
      <c r="CJ40" t="str">
        <f>IFERROR(IF(0=LEN(ReferenceData!$CJ$40),"",ReferenceData!$CJ$40),"")</f>
        <v/>
      </c>
      <c r="CK40" t="str">
        <f>IFERROR(IF(0=LEN(ReferenceData!$CK$40),"",ReferenceData!$CK$40),"")</f>
        <v/>
      </c>
    </row>
    <row r="41" spans="1:89" x14ac:dyDescent="0.25">
      <c r="A41" t="str">
        <f>IFERROR(IF(0=LEN(ReferenceData!$A$41),"",ReferenceData!$A$41),"")</f>
        <v xml:space="preserve">    Total Ships Net Tonnage (000)</v>
      </c>
      <c r="B41" t="str">
        <f>IFERROR(IF(0=LEN(ReferenceData!$B$41),"",ReferenceData!$B$41),"")</f>
        <v>SCTSPK Index</v>
      </c>
      <c r="C41" t="str">
        <f>IFERROR(IF(0=LEN(ReferenceData!$C$41),"",ReferenceData!$C$41),"")</f>
        <v>PX385</v>
      </c>
      <c r="D41" t="str">
        <f>IFERROR(IF(0=LEN(ReferenceData!$D$41),"",ReferenceData!$D$41),"")</f>
        <v>INTERVAL_SUM</v>
      </c>
      <c r="E41" t="str">
        <f>IFERROR(IF(0=LEN(ReferenceData!$E$41),"",ReferenceData!$E$41),"")</f>
        <v>Dynamic</v>
      </c>
      <c r="F41" t="str">
        <f ca="1">IFERROR(IF(0=LEN(ReferenceData!$F$41),"",ReferenceData!$F$41),"")</f>
        <v/>
      </c>
      <c r="G41" t="str">
        <f ca="1">IFERROR(IF(0=LEN(ReferenceData!$G$41),"",ReferenceData!$G$41),"")</f>
        <v/>
      </c>
      <c r="H41" t="str">
        <f ca="1">IFERROR(IF(0=LEN(ReferenceData!$H$41),"",ReferenceData!$H$41),"")</f>
        <v/>
      </c>
      <c r="I41" t="str">
        <f ca="1">IFERROR(IF(0=LEN(ReferenceData!$I$41),"",ReferenceData!$I$41),"")</f>
        <v/>
      </c>
      <c r="J41" t="str">
        <f ca="1">IFERROR(IF(0=LEN(ReferenceData!$J$41),"",ReferenceData!$J$41),"")</f>
        <v/>
      </c>
      <c r="K41" t="str">
        <f ca="1">IFERROR(IF(0=LEN(ReferenceData!$K$41),"",ReferenceData!$K$41),"")</f>
        <v/>
      </c>
      <c r="L41" t="str">
        <f ca="1">IFERROR(IF(0=LEN(ReferenceData!$L$41),"",ReferenceData!$L$41),"")</f>
        <v/>
      </c>
      <c r="M41" t="str">
        <f ca="1">IFERROR(IF(0=LEN(ReferenceData!$M$41),"",ReferenceData!$M$41),"")</f>
        <v/>
      </c>
      <c r="N41" t="str">
        <f ca="1">IFERROR(IF(0=LEN(ReferenceData!$N$41),"",ReferenceData!$N$41),"")</f>
        <v/>
      </c>
      <c r="O41" t="str">
        <f ca="1">IFERROR(IF(0=LEN(ReferenceData!$O$41),"",ReferenceData!$O$41),"")</f>
        <v/>
      </c>
      <c r="P41" t="str">
        <f ca="1">IFERROR(IF(0=LEN(ReferenceData!$P$41),"",ReferenceData!$P$41),"")</f>
        <v/>
      </c>
      <c r="Q41" t="str">
        <f ca="1">IFERROR(IF(0=LEN(ReferenceData!$Q$41),"",ReferenceData!$Q$41),"")</f>
        <v/>
      </c>
      <c r="R41" t="str">
        <f ca="1">IFERROR(IF(0=LEN(ReferenceData!$R$41),"",ReferenceData!$R$41),"")</f>
        <v/>
      </c>
      <c r="S41" t="str">
        <f ca="1">IFERROR(IF(0=LEN(ReferenceData!$S$41),"",ReferenceData!$S$41),"")</f>
        <v/>
      </c>
      <c r="T41" t="str">
        <f ca="1">IFERROR(IF(0=LEN(ReferenceData!$T$41),"",ReferenceData!$T$41),"")</f>
        <v/>
      </c>
      <c r="U41" t="str">
        <f ca="1">IFERROR(IF(0=LEN(ReferenceData!$U$41),"",ReferenceData!$U$41),"")</f>
        <v/>
      </c>
      <c r="V41" t="str">
        <f ca="1">IFERROR(IF(0=LEN(ReferenceData!$V$41),"",ReferenceData!$V$41),"")</f>
        <v/>
      </c>
      <c r="W41" t="str">
        <f ca="1">IFERROR(IF(0=LEN(ReferenceData!$W$41),"",ReferenceData!$W$41),"")</f>
        <v/>
      </c>
      <c r="X41" t="str">
        <f ca="1">IFERROR(IF(0=LEN(ReferenceData!$X$41),"",ReferenceData!$X$41),"")</f>
        <v/>
      </c>
      <c r="Y41" t="str">
        <f ca="1">IFERROR(IF(0=LEN(ReferenceData!$Y$41),"",ReferenceData!$Y$41),"")</f>
        <v/>
      </c>
      <c r="Z41" t="str">
        <f ca="1">IFERROR(IF(0=LEN(ReferenceData!$Z$41),"",ReferenceData!$Z$41),"")</f>
        <v/>
      </c>
      <c r="AA41" t="str">
        <f ca="1">IFERROR(IF(0=LEN(ReferenceData!$AA$41),"",ReferenceData!$AA$41),"")</f>
        <v/>
      </c>
      <c r="AB41" t="str">
        <f ca="1">IFERROR(IF(0=LEN(ReferenceData!$AB$41),"",ReferenceData!$AB$41),"")</f>
        <v/>
      </c>
      <c r="AC41" t="str">
        <f ca="1">IFERROR(IF(0=LEN(ReferenceData!$AC$41),"",ReferenceData!$AC$41),"")</f>
        <v/>
      </c>
      <c r="AD41" t="str">
        <f ca="1">IFERROR(IF(0=LEN(ReferenceData!$AD$41),"",ReferenceData!$AD$41),"")</f>
        <v/>
      </c>
      <c r="AE41" t="str">
        <f ca="1">IFERROR(IF(0=LEN(ReferenceData!$AE$41),"",ReferenceData!$AE$41),"")</f>
        <v/>
      </c>
      <c r="AF41" t="str">
        <f ca="1">IFERROR(IF(0=LEN(ReferenceData!$AF$41),"",ReferenceData!$AF$41),"")</f>
        <v/>
      </c>
      <c r="AG41" t="str">
        <f ca="1">IFERROR(IF(0=LEN(ReferenceData!$AG$41),"",ReferenceData!$AG$41),"")</f>
        <v/>
      </c>
      <c r="AH41" t="str">
        <f ca="1">IFERROR(IF(0=LEN(ReferenceData!$AH$41),"",ReferenceData!$AH$41),"")</f>
        <v/>
      </c>
      <c r="AI41" t="str">
        <f ca="1">IFERROR(IF(0=LEN(ReferenceData!$AI$41),"",ReferenceData!$AI$41),"")</f>
        <v/>
      </c>
      <c r="AJ41" t="str">
        <f ca="1">IFERROR(IF(0=LEN(ReferenceData!$AJ$41),"",ReferenceData!$AJ$41),"")</f>
        <v/>
      </c>
      <c r="AK41" t="str">
        <f ca="1">IFERROR(IF(0=LEN(ReferenceData!$AK$41),"",ReferenceData!$AK$41),"")</f>
        <v/>
      </c>
      <c r="AL41" t="str">
        <f ca="1">IFERROR(IF(0=LEN(ReferenceData!$AL$41),"",ReferenceData!$AL$41),"")</f>
        <v/>
      </c>
      <c r="AM41" t="str">
        <f ca="1">IFERROR(IF(0=LEN(ReferenceData!$AM$41),"",ReferenceData!$AM$41),"")</f>
        <v/>
      </c>
      <c r="AN41" t="str">
        <f ca="1">IFERROR(IF(0=LEN(ReferenceData!$AN$41),"",ReferenceData!$AN$41),"")</f>
        <v/>
      </c>
      <c r="AO41" t="str">
        <f ca="1">IFERROR(IF(0=LEN(ReferenceData!$AO$41),"",ReferenceData!$AO$41),"")</f>
        <v/>
      </c>
      <c r="AP41" t="str">
        <f ca="1">IFERROR(IF(0=LEN(ReferenceData!$AP$41),"",ReferenceData!$AP$41),"")</f>
        <v/>
      </c>
      <c r="AQ41" t="str">
        <f ca="1">IFERROR(IF(0=LEN(ReferenceData!$AQ$41),"",ReferenceData!$AQ$41),"")</f>
        <v/>
      </c>
      <c r="AR41" t="str">
        <f ca="1">IFERROR(IF(0=LEN(ReferenceData!$AR$41),"",ReferenceData!$AR$41),"")</f>
        <v/>
      </c>
      <c r="AS41" t="str">
        <f ca="1">IFERROR(IF(0=LEN(ReferenceData!$AS$41),"",ReferenceData!$AS$41),"")</f>
        <v/>
      </c>
      <c r="AT41" t="str">
        <f ca="1">IFERROR(IF(0=LEN(ReferenceData!$AT$41),"",ReferenceData!$AT$41),"")</f>
        <v/>
      </c>
      <c r="AU41" t="str">
        <f ca="1">IFERROR(IF(0=LEN(ReferenceData!$AU$41),"",ReferenceData!$AU$41),"")</f>
        <v/>
      </c>
      <c r="AV41" t="str">
        <f ca="1">IFERROR(IF(0=LEN(ReferenceData!$AV$41),"",ReferenceData!$AV$41),"")</f>
        <v/>
      </c>
      <c r="AW41" t="str">
        <f ca="1">IFERROR(IF(0=LEN(ReferenceData!$AW$41),"",ReferenceData!$AW$41),"")</f>
        <v/>
      </c>
      <c r="AX41">
        <f ca="1">IFERROR(IF(0=LEN(ReferenceData!$AX$41),"",ReferenceData!$AX$41),"")</f>
        <v>99902</v>
      </c>
      <c r="AY41">
        <f ca="1">IFERROR(IF(0=LEN(ReferenceData!$AY$41),"",ReferenceData!$AY$41),"")</f>
        <v>105737</v>
      </c>
      <c r="AZ41">
        <f ca="1">IFERROR(IF(0=LEN(ReferenceData!$AZ$41),"",ReferenceData!$AZ$41),"")</f>
        <v>103867</v>
      </c>
      <c r="BA41">
        <f ca="1">IFERROR(IF(0=LEN(ReferenceData!$BA$41),"",ReferenceData!$BA$41),"")</f>
        <v>101668</v>
      </c>
      <c r="BB41">
        <f ca="1">IFERROR(IF(0=LEN(ReferenceData!$BB$41),"",ReferenceData!$BB$41),"")</f>
        <v>108919</v>
      </c>
      <c r="BC41">
        <f ca="1">IFERROR(IF(0=LEN(ReferenceData!$BC$41),"",ReferenceData!$BC$41),"")</f>
        <v>98974</v>
      </c>
      <c r="BD41">
        <f ca="1">IFERROR(IF(0=LEN(ReferenceData!$BD$41),"",ReferenceData!$BD$41),"")</f>
        <v>106000</v>
      </c>
      <c r="BE41">
        <f ca="1">IFERROR(IF(0=LEN(ReferenceData!$BE$41),"",ReferenceData!$BE$41),"")</f>
        <v>103574</v>
      </c>
      <c r="BF41">
        <f ca="1">IFERROR(IF(0=LEN(ReferenceData!$BF$41),"",ReferenceData!$BF$41),"")</f>
        <v>98233</v>
      </c>
      <c r="BG41">
        <f ca="1">IFERROR(IF(0=LEN(ReferenceData!$BG$41),"",ReferenceData!$BG$41),"")</f>
        <v>104914</v>
      </c>
      <c r="BH41">
        <f ca="1">IFERROR(IF(0=LEN(ReferenceData!$BH$41),"",ReferenceData!$BH$41),"")</f>
        <v>98341</v>
      </c>
      <c r="BI41">
        <f ca="1">IFERROR(IF(0=LEN(ReferenceData!$BI$41),"",ReferenceData!$BI$41),"")</f>
        <v>97796</v>
      </c>
      <c r="BJ41">
        <f ca="1">IFERROR(IF(0=LEN(ReferenceData!$BJ$41),"",ReferenceData!$BJ$41),"")</f>
        <v>88549</v>
      </c>
      <c r="BK41">
        <f ca="1">IFERROR(IF(0=LEN(ReferenceData!$BK$41),"",ReferenceData!$BK$41),"")</f>
        <v>96250</v>
      </c>
      <c r="BL41">
        <f ca="1">IFERROR(IF(0=LEN(ReferenceData!$BL$41),"",ReferenceData!$BL$41),"")</f>
        <v>96634</v>
      </c>
      <c r="BM41">
        <f ca="1">IFERROR(IF(0=LEN(ReferenceData!$BM$41),"",ReferenceData!$BM$41),"")</f>
        <v>96068</v>
      </c>
      <c r="BN41">
        <f ca="1">IFERROR(IF(0=LEN(ReferenceData!$BN$41),"",ReferenceData!$BN$41),"")</f>
        <v>103009</v>
      </c>
      <c r="BO41">
        <f ca="1">IFERROR(IF(0=LEN(ReferenceData!$BO$41),"",ReferenceData!$BO$41),"")</f>
        <v>93952</v>
      </c>
      <c r="BP41">
        <f ca="1">IFERROR(IF(0=LEN(ReferenceData!$BP$41),"",ReferenceData!$BP$41),"")</f>
        <v>101241</v>
      </c>
      <c r="BQ41">
        <f ca="1">IFERROR(IF(0=LEN(ReferenceData!$BQ$41),"",ReferenceData!$BQ$41),"")</f>
        <v>99739</v>
      </c>
      <c r="BR41">
        <f ca="1">IFERROR(IF(0=LEN(ReferenceData!$BR$41),"",ReferenceData!$BR$41),"")</f>
        <v>97157</v>
      </c>
      <c r="BS41">
        <f ca="1">IFERROR(IF(0=LEN(ReferenceData!$BS$41),"",ReferenceData!$BS$41),"")</f>
        <v>99171</v>
      </c>
      <c r="BT41">
        <f ca="1">IFERROR(IF(0=LEN(ReferenceData!$BT$41),"",ReferenceData!$BT$41),"")</f>
        <v>92474</v>
      </c>
      <c r="BU41">
        <f ca="1">IFERROR(IF(0=LEN(ReferenceData!$BU$41),"",ReferenceData!$BU$41),"")</f>
        <v>88938</v>
      </c>
      <c r="BV41">
        <f ca="1">IFERROR(IF(0=LEN(ReferenceData!$BV$41),"",ReferenceData!$BV$41),"")</f>
        <v>83486</v>
      </c>
      <c r="BW41">
        <f ca="1">IFERROR(IF(0=LEN(ReferenceData!$BW$41),"",ReferenceData!$BW$41),"")</f>
        <v>87760</v>
      </c>
      <c r="BX41">
        <f ca="1">IFERROR(IF(0=LEN(ReferenceData!$BX$41),"",ReferenceData!$BX$41),"")</f>
        <v>92258</v>
      </c>
      <c r="BY41">
        <f ca="1">IFERROR(IF(0=LEN(ReferenceData!$BY$41),"",ReferenceData!$BY$41),"")</f>
        <v>90990</v>
      </c>
      <c r="BZ41">
        <f ca="1">IFERROR(IF(0=LEN(ReferenceData!$BZ$41),"",ReferenceData!$BZ$41),"")</f>
        <v>93158</v>
      </c>
      <c r="CA41">
        <f ca="1">IFERROR(IF(0=LEN(ReferenceData!$CA$41),"",ReferenceData!$CA$41),"")</f>
        <v>87926</v>
      </c>
      <c r="CB41">
        <f ca="1">IFERROR(IF(0=LEN(ReferenceData!$CB$41),"",ReferenceData!$CB$41),"")</f>
        <v>91549</v>
      </c>
      <c r="CC41">
        <f ca="1">IFERROR(IF(0=LEN(ReferenceData!$CC$41),"",ReferenceData!$CC$41),"")</f>
        <v>87969</v>
      </c>
      <c r="CD41">
        <f ca="1">IFERROR(IF(0=LEN(ReferenceData!$CD$41),"",ReferenceData!$CD$41),"")</f>
        <v>84634</v>
      </c>
      <c r="CE41">
        <f ca="1">IFERROR(IF(0=LEN(ReferenceData!$CE$41),"",ReferenceData!$CE$41),"")</f>
        <v>88265</v>
      </c>
      <c r="CF41">
        <f ca="1">IFERROR(IF(0=LEN(ReferenceData!$CF$41),"",ReferenceData!$CF$41),"")</f>
        <v>86169</v>
      </c>
      <c r="CG41">
        <f ca="1">IFERROR(IF(0=LEN(ReferenceData!$CG$41),"",ReferenceData!$CG$41),"")</f>
        <v>84679</v>
      </c>
      <c r="CH41">
        <f ca="1">IFERROR(IF(0=LEN(ReferenceData!$CH$41),"",ReferenceData!$CH$41),"")</f>
        <v>75303</v>
      </c>
      <c r="CI41">
        <f ca="1">IFERROR(IF(0=LEN(ReferenceData!$CI$41),"",ReferenceData!$CI$41),"")</f>
        <v>78673</v>
      </c>
      <c r="CJ41">
        <f ca="1">IFERROR(IF(0=LEN(ReferenceData!$CJ$41),"",ReferenceData!$CJ$41),"")</f>
        <v>83271</v>
      </c>
      <c r="CK41">
        <f ca="1">IFERROR(IF(0=LEN(ReferenceData!$CK$41),"",ReferenceData!$CK$41),"")</f>
        <v>77836</v>
      </c>
    </row>
    <row r="42" spans="1:89" x14ac:dyDescent="0.25">
      <c r="A42" t="str">
        <f>IFERROR(IF(0=LEN(ReferenceData!$A$42),"",ReferenceData!$A$42),"")</f>
        <v xml:space="preserve">    Total Number of Ships</v>
      </c>
      <c r="B42" t="str">
        <f>IFERROR(IF(0=LEN(ReferenceData!$B$42),"",ReferenceData!$B$42),"")</f>
        <v>SCTSXK Index</v>
      </c>
      <c r="C42" t="str">
        <f>IFERROR(IF(0=LEN(ReferenceData!$C$42),"",ReferenceData!$C$42),"")</f>
        <v>PX385</v>
      </c>
      <c r="D42" t="str">
        <f>IFERROR(IF(0=LEN(ReferenceData!$D$42),"",ReferenceData!$D$42),"")</f>
        <v>INTERVAL_SUM</v>
      </c>
      <c r="E42" t="str">
        <f>IFERROR(IF(0=LEN(ReferenceData!$E$42),"",ReferenceData!$E$42),"")</f>
        <v>Dynamic</v>
      </c>
      <c r="F42" t="str">
        <f ca="1">IFERROR(IF(0=LEN(ReferenceData!$F$42),"",ReferenceData!$F$42),"")</f>
        <v/>
      </c>
      <c r="G42" t="str">
        <f ca="1">IFERROR(IF(0=LEN(ReferenceData!$G$42),"",ReferenceData!$G$42),"")</f>
        <v/>
      </c>
      <c r="H42" t="str">
        <f ca="1">IFERROR(IF(0=LEN(ReferenceData!$H$42),"",ReferenceData!$H$42),"")</f>
        <v/>
      </c>
      <c r="I42" t="str">
        <f ca="1">IFERROR(IF(0=LEN(ReferenceData!$I$42),"",ReferenceData!$I$42),"")</f>
        <v/>
      </c>
      <c r="J42" t="str">
        <f ca="1">IFERROR(IF(0=LEN(ReferenceData!$J$42),"",ReferenceData!$J$42),"")</f>
        <v/>
      </c>
      <c r="K42" t="str">
        <f ca="1">IFERROR(IF(0=LEN(ReferenceData!$K$42),"",ReferenceData!$K$42),"")</f>
        <v/>
      </c>
      <c r="L42" t="str">
        <f ca="1">IFERROR(IF(0=LEN(ReferenceData!$L$42),"",ReferenceData!$L$42),"")</f>
        <v/>
      </c>
      <c r="M42" t="str">
        <f ca="1">IFERROR(IF(0=LEN(ReferenceData!$M$42),"",ReferenceData!$M$42),"")</f>
        <v/>
      </c>
      <c r="N42" t="str">
        <f ca="1">IFERROR(IF(0=LEN(ReferenceData!$N$42),"",ReferenceData!$N$42),"")</f>
        <v/>
      </c>
      <c r="O42" t="str">
        <f ca="1">IFERROR(IF(0=LEN(ReferenceData!$O$42),"",ReferenceData!$O$42),"")</f>
        <v/>
      </c>
      <c r="P42" t="str">
        <f ca="1">IFERROR(IF(0=LEN(ReferenceData!$P$42),"",ReferenceData!$P$42),"")</f>
        <v/>
      </c>
      <c r="Q42" t="str">
        <f ca="1">IFERROR(IF(0=LEN(ReferenceData!$Q$42),"",ReferenceData!$Q$42),"")</f>
        <v/>
      </c>
      <c r="R42" t="str">
        <f ca="1">IFERROR(IF(0=LEN(ReferenceData!$R$42),"",ReferenceData!$R$42),"")</f>
        <v/>
      </c>
      <c r="S42" t="str">
        <f ca="1">IFERROR(IF(0=LEN(ReferenceData!$S$42),"",ReferenceData!$S$42),"")</f>
        <v/>
      </c>
      <c r="T42" t="str">
        <f ca="1">IFERROR(IF(0=LEN(ReferenceData!$T$42),"",ReferenceData!$T$42),"")</f>
        <v/>
      </c>
      <c r="U42" t="str">
        <f ca="1">IFERROR(IF(0=LEN(ReferenceData!$U$42),"",ReferenceData!$U$42),"")</f>
        <v/>
      </c>
      <c r="V42" t="str">
        <f ca="1">IFERROR(IF(0=LEN(ReferenceData!$V$42),"",ReferenceData!$V$42),"")</f>
        <v/>
      </c>
      <c r="W42" t="str">
        <f ca="1">IFERROR(IF(0=LEN(ReferenceData!$W$42),"",ReferenceData!$W$42),"")</f>
        <v/>
      </c>
      <c r="X42" t="str">
        <f ca="1">IFERROR(IF(0=LEN(ReferenceData!$X$42),"",ReferenceData!$X$42),"")</f>
        <v/>
      </c>
      <c r="Y42" t="str">
        <f ca="1">IFERROR(IF(0=LEN(ReferenceData!$Y$42),"",ReferenceData!$Y$42),"")</f>
        <v/>
      </c>
      <c r="Z42" t="str">
        <f ca="1">IFERROR(IF(0=LEN(ReferenceData!$Z$42),"",ReferenceData!$Z$42),"")</f>
        <v/>
      </c>
      <c r="AA42" t="str">
        <f ca="1">IFERROR(IF(0=LEN(ReferenceData!$AA$42),"",ReferenceData!$AA$42),"")</f>
        <v/>
      </c>
      <c r="AB42" t="str">
        <f ca="1">IFERROR(IF(0=LEN(ReferenceData!$AB$42),"",ReferenceData!$AB$42),"")</f>
        <v/>
      </c>
      <c r="AC42" t="str">
        <f ca="1">IFERROR(IF(0=LEN(ReferenceData!$AC$42),"",ReferenceData!$AC$42),"")</f>
        <v/>
      </c>
      <c r="AD42" t="str">
        <f ca="1">IFERROR(IF(0=LEN(ReferenceData!$AD$42),"",ReferenceData!$AD$42),"")</f>
        <v/>
      </c>
      <c r="AE42" t="str">
        <f ca="1">IFERROR(IF(0=LEN(ReferenceData!$AE$42),"",ReferenceData!$AE$42),"")</f>
        <v/>
      </c>
      <c r="AF42" t="str">
        <f ca="1">IFERROR(IF(0=LEN(ReferenceData!$AF$42),"",ReferenceData!$AF$42),"")</f>
        <v/>
      </c>
      <c r="AG42" t="str">
        <f ca="1">IFERROR(IF(0=LEN(ReferenceData!$AG$42),"",ReferenceData!$AG$42),"")</f>
        <v/>
      </c>
      <c r="AH42" t="str">
        <f ca="1">IFERROR(IF(0=LEN(ReferenceData!$AH$42),"",ReferenceData!$AH$42),"")</f>
        <v/>
      </c>
      <c r="AI42" t="str">
        <f ca="1">IFERROR(IF(0=LEN(ReferenceData!$AI$42),"",ReferenceData!$AI$42),"")</f>
        <v/>
      </c>
      <c r="AJ42" t="str">
        <f ca="1">IFERROR(IF(0=LEN(ReferenceData!$AJ$42),"",ReferenceData!$AJ$42),"")</f>
        <v/>
      </c>
      <c r="AK42" t="str">
        <f ca="1">IFERROR(IF(0=LEN(ReferenceData!$AK$42),"",ReferenceData!$AK$42),"")</f>
        <v/>
      </c>
      <c r="AL42" t="str">
        <f ca="1">IFERROR(IF(0=LEN(ReferenceData!$AL$42),"",ReferenceData!$AL$42),"")</f>
        <v/>
      </c>
      <c r="AM42" t="str">
        <f ca="1">IFERROR(IF(0=LEN(ReferenceData!$AM$42),"",ReferenceData!$AM$42),"")</f>
        <v/>
      </c>
      <c r="AN42" t="str">
        <f ca="1">IFERROR(IF(0=LEN(ReferenceData!$AN$42),"",ReferenceData!$AN$42),"")</f>
        <v/>
      </c>
      <c r="AO42" t="str">
        <f ca="1">IFERROR(IF(0=LEN(ReferenceData!$AO$42),"",ReferenceData!$AO$42),"")</f>
        <v/>
      </c>
      <c r="AP42" t="str">
        <f ca="1">IFERROR(IF(0=LEN(ReferenceData!$AP$42),"",ReferenceData!$AP$42),"")</f>
        <v/>
      </c>
      <c r="AQ42" t="str">
        <f ca="1">IFERROR(IF(0=LEN(ReferenceData!$AQ$42),"",ReferenceData!$AQ$42),"")</f>
        <v/>
      </c>
      <c r="AR42" t="str">
        <f ca="1">IFERROR(IF(0=LEN(ReferenceData!$AR$42),"",ReferenceData!$AR$42),"")</f>
        <v/>
      </c>
      <c r="AS42" t="str">
        <f ca="1">IFERROR(IF(0=LEN(ReferenceData!$AS$42),"",ReferenceData!$AS$42),"")</f>
        <v/>
      </c>
      <c r="AT42" t="str">
        <f ca="1">IFERROR(IF(0=LEN(ReferenceData!$AT$42),"",ReferenceData!$AT$42),"")</f>
        <v/>
      </c>
      <c r="AU42" t="str">
        <f ca="1">IFERROR(IF(0=LEN(ReferenceData!$AU$42),"",ReferenceData!$AU$42),"")</f>
        <v/>
      </c>
      <c r="AV42" t="str">
        <f ca="1">IFERROR(IF(0=LEN(ReferenceData!$AV$42),"",ReferenceData!$AV$42),"")</f>
        <v/>
      </c>
      <c r="AW42" t="str">
        <f ca="1">IFERROR(IF(0=LEN(ReferenceData!$AW$42),"",ReferenceData!$AW$42),"")</f>
        <v/>
      </c>
      <c r="AX42">
        <f ca="1">IFERROR(IF(0=LEN(ReferenceData!$AX$42),"",ReferenceData!$AX$42),"")</f>
        <v>1525</v>
      </c>
      <c r="AY42">
        <f ca="1">IFERROR(IF(0=LEN(ReferenceData!$AY$42),"",ReferenceData!$AY$42),"")</f>
        <v>1645</v>
      </c>
      <c r="AZ42">
        <f ca="1">IFERROR(IF(0=LEN(ReferenceData!$AZ$42),"",ReferenceData!$AZ$42),"")</f>
        <v>1651</v>
      </c>
      <c r="BA42">
        <f ca="1">IFERROR(IF(0=LEN(ReferenceData!$BA$42),"",ReferenceData!$BA$42),"")</f>
        <v>1594</v>
      </c>
      <c r="BB42">
        <f ca="1">IFERROR(IF(0=LEN(ReferenceData!$BB$42),"",ReferenceData!$BB$42),"")</f>
        <v>1781</v>
      </c>
      <c r="BC42">
        <f ca="1">IFERROR(IF(0=LEN(ReferenceData!$BC$42),"",ReferenceData!$BC$42),"")</f>
        <v>1522</v>
      </c>
      <c r="BD42">
        <f ca="1">IFERROR(IF(0=LEN(ReferenceData!$BD$42),"",ReferenceData!$BD$42),"")</f>
        <v>1679</v>
      </c>
      <c r="BE42">
        <f ca="1">IFERROR(IF(0=LEN(ReferenceData!$BE$42),"",ReferenceData!$BE$42),"")</f>
        <v>1539</v>
      </c>
      <c r="BF42">
        <f ca="1">IFERROR(IF(0=LEN(ReferenceData!$BF$42),"",ReferenceData!$BF$42),"")</f>
        <v>1476</v>
      </c>
      <c r="BG42">
        <f ca="1">IFERROR(IF(0=LEN(ReferenceData!$BG$42),"",ReferenceData!$BG$42),"")</f>
        <v>1600</v>
      </c>
      <c r="BH42">
        <f ca="1">IFERROR(IF(0=LEN(ReferenceData!$BH$42),"",ReferenceData!$BH$42),"")</f>
        <v>1580</v>
      </c>
      <c r="BI42">
        <f ca="1">IFERROR(IF(0=LEN(ReferenceData!$BI$42),"",ReferenceData!$BI$42),"")</f>
        <v>1589</v>
      </c>
      <c r="BJ42">
        <f ca="1">IFERROR(IF(0=LEN(ReferenceData!$BJ$42),"",ReferenceData!$BJ$42),"")</f>
        <v>1353</v>
      </c>
      <c r="BK42">
        <f ca="1">IFERROR(IF(0=LEN(ReferenceData!$BK$42),"",ReferenceData!$BK$42),"")</f>
        <v>1516</v>
      </c>
      <c r="BL42">
        <f ca="1">IFERROR(IF(0=LEN(ReferenceData!$BL$42),"",ReferenceData!$BL$42),"")</f>
        <v>1537</v>
      </c>
      <c r="BM42">
        <f ca="1">IFERROR(IF(0=LEN(ReferenceData!$BM$42),"",ReferenceData!$BM$42),"")</f>
        <v>1528</v>
      </c>
      <c r="BN42">
        <f ca="1">IFERROR(IF(0=LEN(ReferenceData!$BN$42),"",ReferenceData!$BN$42),"")</f>
        <v>1657</v>
      </c>
      <c r="BO42">
        <f ca="1">IFERROR(IF(0=LEN(ReferenceData!$BO$42),"",ReferenceData!$BO$42),"")</f>
        <v>1501</v>
      </c>
      <c r="BP42">
        <f ca="1">IFERROR(IF(0=LEN(ReferenceData!$BP$42),"",ReferenceData!$BP$42),"")</f>
        <v>1605</v>
      </c>
      <c r="BQ42">
        <f ca="1">IFERROR(IF(0=LEN(ReferenceData!$BQ$42),"",ReferenceData!$BQ$42),"")</f>
        <v>1540</v>
      </c>
      <c r="BR42">
        <f ca="1">IFERROR(IF(0=LEN(ReferenceData!$BR$42),"",ReferenceData!$BR$42),"")</f>
        <v>1544</v>
      </c>
      <c r="BS42">
        <f ca="1">IFERROR(IF(0=LEN(ReferenceData!$BS$42),"",ReferenceData!$BS$42),"")</f>
        <v>1605</v>
      </c>
      <c r="BT42">
        <f ca="1">IFERROR(IF(0=LEN(ReferenceData!$BT$42),"",ReferenceData!$BT$42),"")</f>
        <v>1483</v>
      </c>
      <c r="BU42">
        <f ca="1">IFERROR(IF(0=LEN(ReferenceData!$BU$42),"",ReferenceData!$BU$42),"")</f>
        <v>1450</v>
      </c>
      <c r="BV42">
        <f ca="1">IFERROR(IF(0=LEN(ReferenceData!$BV$42),"",ReferenceData!$BV$42),"")</f>
        <v>1319</v>
      </c>
      <c r="BW42">
        <f ca="1">IFERROR(IF(0=LEN(ReferenceData!$BW$42),"",ReferenceData!$BW$42),"")</f>
        <v>1405</v>
      </c>
      <c r="BX42">
        <f ca="1">IFERROR(IF(0=LEN(ReferenceData!$BX$42),"",ReferenceData!$BX$42),"")</f>
        <v>1530</v>
      </c>
      <c r="BY42">
        <f ca="1">IFERROR(IF(0=LEN(ReferenceData!$BY$42),"",ReferenceData!$BY$42),"")</f>
        <v>1534</v>
      </c>
      <c r="BZ42">
        <f ca="1">IFERROR(IF(0=LEN(ReferenceData!$BZ$42),"",ReferenceData!$BZ$42),"")</f>
        <v>1552</v>
      </c>
      <c r="CA42">
        <f ca="1">IFERROR(IF(0=LEN(ReferenceData!$CA$42),"",ReferenceData!$CA$42),"")</f>
        <v>1457</v>
      </c>
      <c r="CB42">
        <f ca="1">IFERROR(IF(0=LEN(ReferenceData!$CB$42),"",ReferenceData!$CB$42),"")</f>
        <v>1528</v>
      </c>
      <c r="CC42">
        <f ca="1">IFERROR(IF(0=LEN(ReferenceData!$CC$42),"",ReferenceData!$CC$42),"")</f>
        <v>1453</v>
      </c>
      <c r="CD42">
        <f ca="1">IFERROR(IF(0=LEN(ReferenceData!$CD$42),"",ReferenceData!$CD$42),"")</f>
        <v>1384</v>
      </c>
      <c r="CE42">
        <f ca="1">IFERROR(IF(0=LEN(ReferenceData!$CE$42),"",ReferenceData!$CE$42),"")</f>
        <v>1484</v>
      </c>
      <c r="CF42">
        <f ca="1">IFERROR(IF(0=LEN(ReferenceData!$CF$42),"",ReferenceData!$CF$42),"")</f>
        <v>1449</v>
      </c>
      <c r="CG42">
        <f ca="1">IFERROR(IF(0=LEN(ReferenceData!$CG$42),"",ReferenceData!$CG$42),"")</f>
        <v>1524</v>
      </c>
      <c r="CH42">
        <f ca="1">IFERROR(IF(0=LEN(ReferenceData!$CH$42),"",ReferenceData!$CH$42),"")</f>
        <v>1286</v>
      </c>
      <c r="CI42">
        <f ca="1">IFERROR(IF(0=LEN(ReferenceData!$CI$42),"",ReferenceData!$CI$42),"")</f>
        <v>1369</v>
      </c>
      <c r="CJ42">
        <f ca="1">IFERROR(IF(0=LEN(ReferenceData!$CJ$42),"",ReferenceData!$CJ$42),"")</f>
        <v>1414</v>
      </c>
      <c r="CK42">
        <f ca="1">IFERROR(IF(0=LEN(ReferenceData!$CK$42),"",ReferenceData!$CK$42),"")</f>
        <v>1366</v>
      </c>
    </row>
    <row r="43" spans="1:89" x14ac:dyDescent="0.25">
      <c r="A43" t="str">
        <f>IFERROR(IF(0=LEN(ReferenceData!$A$43),"",ReferenceData!$A$43),"")</f>
        <v>Panama Canal Traffic</v>
      </c>
      <c r="B43" t="str">
        <f>IFERROR(IF(0=LEN(ReferenceData!$B$43),"",ReferenceData!$B$43),"")</f>
        <v/>
      </c>
      <c r="C43" t="str">
        <f>IFERROR(IF(0=LEN(ReferenceData!$C$43),"",ReferenceData!$C$43),"")</f>
        <v/>
      </c>
      <c r="D43" t="str">
        <f>IFERROR(IF(0=LEN(ReferenceData!$D$43),"",ReferenceData!$D$43),"")</f>
        <v/>
      </c>
      <c r="E43" t="str">
        <f>IFERROR(IF(0=LEN(ReferenceData!$E$43),"",ReferenceData!$E$43),"")</f>
        <v>Heading</v>
      </c>
      <c r="F43" t="str">
        <f>IFERROR(IF(0=LEN(ReferenceData!$F$43),"",ReferenceData!$F$43),"")</f>
        <v/>
      </c>
      <c r="G43" t="str">
        <f>IFERROR(IF(0=LEN(ReferenceData!$G$43),"",ReferenceData!$G$43),"")</f>
        <v/>
      </c>
      <c r="H43" t="str">
        <f>IFERROR(IF(0=LEN(ReferenceData!$H$43),"",ReferenceData!$H$43),"")</f>
        <v/>
      </c>
      <c r="I43" t="str">
        <f>IFERROR(IF(0=LEN(ReferenceData!$I$43),"",ReferenceData!$I$43),"")</f>
        <v/>
      </c>
      <c r="J43" t="str">
        <f>IFERROR(IF(0=LEN(ReferenceData!$J$43),"",ReferenceData!$J$43),"")</f>
        <v/>
      </c>
      <c r="K43" t="str">
        <f>IFERROR(IF(0=LEN(ReferenceData!$K$43),"",ReferenceData!$K$43),"")</f>
        <v/>
      </c>
      <c r="L43" t="str">
        <f>IFERROR(IF(0=LEN(ReferenceData!$L$43),"",ReferenceData!$L$43),"")</f>
        <v/>
      </c>
      <c r="M43" t="str">
        <f>IFERROR(IF(0=LEN(ReferenceData!$M$43),"",ReferenceData!$M$43),"")</f>
        <v/>
      </c>
      <c r="N43" t="str">
        <f>IFERROR(IF(0=LEN(ReferenceData!$N$43),"",ReferenceData!$N$43),"")</f>
        <v/>
      </c>
      <c r="O43" t="str">
        <f>IFERROR(IF(0=LEN(ReferenceData!$O$43),"",ReferenceData!$O$43),"")</f>
        <v/>
      </c>
      <c r="P43" t="str">
        <f>IFERROR(IF(0=LEN(ReferenceData!$P$43),"",ReferenceData!$P$43),"")</f>
        <v/>
      </c>
      <c r="Q43" t="str">
        <f>IFERROR(IF(0=LEN(ReferenceData!$Q$43),"",ReferenceData!$Q$43),"")</f>
        <v/>
      </c>
      <c r="R43" t="str">
        <f>IFERROR(IF(0=LEN(ReferenceData!$R$43),"",ReferenceData!$R$43),"")</f>
        <v/>
      </c>
      <c r="S43" t="str">
        <f>IFERROR(IF(0=LEN(ReferenceData!$S$43),"",ReferenceData!$S$43),"")</f>
        <v/>
      </c>
      <c r="T43" t="str">
        <f>IFERROR(IF(0=LEN(ReferenceData!$T$43),"",ReferenceData!$T$43),"")</f>
        <v/>
      </c>
      <c r="U43" t="str">
        <f>IFERROR(IF(0=LEN(ReferenceData!$U$43),"",ReferenceData!$U$43),"")</f>
        <v/>
      </c>
      <c r="V43" t="str">
        <f>IFERROR(IF(0=LEN(ReferenceData!$V$43),"",ReferenceData!$V$43),"")</f>
        <v/>
      </c>
      <c r="W43" t="str">
        <f>IFERROR(IF(0=LEN(ReferenceData!$W$43),"",ReferenceData!$W$43),"")</f>
        <v/>
      </c>
      <c r="X43" t="str">
        <f>IFERROR(IF(0=LEN(ReferenceData!$X$43),"",ReferenceData!$X$43),"")</f>
        <v/>
      </c>
      <c r="Y43" t="str">
        <f>IFERROR(IF(0=LEN(ReferenceData!$Y$43),"",ReferenceData!$Y$43),"")</f>
        <v/>
      </c>
      <c r="Z43" t="str">
        <f>IFERROR(IF(0=LEN(ReferenceData!$Z$43),"",ReferenceData!$Z$43),"")</f>
        <v/>
      </c>
      <c r="AA43" t="str">
        <f>IFERROR(IF(0=LEN(ReferenceData!$AA$43),"",ReferenceData!$AA$43),"")</f>
        <v/>
      </c>
      <c r="AB43" t="str">
        <f>IFERROR(IF(0=LEN(ReferenceData!$AB$43),"",ReferenceData!$AB$43),"")</f>
        <v/>
      </c>
      <c r="AC43" t="str">
        <f>IFERROR(IF(0=LEN(ReferenceData!$AC$43),"",ReferenceData!$AC$43),"")</f>
        <v/>
      </c>
      <c r="AD43" t="str">
        <f>IFERROR(IF(0=LEN(ReferenceData!$AD$43),"",ReferenceData!$AD$43),"")</f>
        <v/>
      </c>
      <c r="AE43" t="str">
        <f>IFERROR(IF(0=LEN(ReferenceData!$AE$43),"",ReferenceData!$AE$43),"")</f>
        <v/>
      </c>
      <c r="AF43" t="str">
        <f>IFERROR(IF(0=LEN(ReferenceData!$AF$43),"",ReferenceData!$AF$43),"")</f>
        <v/>
      </c>
      <c r="AG43" t="str">
        <f>IFERROR(IF(0=LEN(ReferenceData!$AG$43),"",ReferenceData!$AG$43),"")</f>
        <v/>
      </c>
      <c r="AH43" t="str">
        <f>IFERROR(IF(0=LEN(ReferenceData!$AH$43),"",ReferenceData!$AH$43),"")</f>
        <v/>
      </c>
      <c r="AI43" t="str">
        <f>IFERROR(IF(0=LEN(ReferenceData!$AI$43),"",ReferenceData!$AI$43),"")</f>
        <v/>
      </c>
      <c r="AJ43" t="str">
        <f>IFERROR(IF(0=LEN(ReferenceData!$AJ$43),"",ReferenceData!$AJ$43),"")</f>
        <v/>
      </c>
      <c r="AK43" t="str">
        <f>IFERROR(IF(0=LEN(ReferenceData!$AK$43),"",ReferenceData!$AK$43),"")</f>
        <v/>
      </c>
      <c r="AL43" t="str">
        <f>IFERROR(IF(0=LEN(ReferenceData!$AL$43),"",ReferenceData!$AL$43),"")</f>
        <v/>
      </c>
      <c r="AM43" t="str">
        <f>IFERROR(IF(0=LEN(ReferenceData!$AM$43),"",ReferenceData!$AM$43),"")</f>
        <v/>
      </c>
      <c r="AN43" t="str">
        <f>IFERROR(IF(0=LEN(ReferenceData!$AN$43),"",ReferenceData!$AN$43),"")</f>
        <v/>
      </c>
      <c r="AO43" t="str">
        <f>IFERROR(IF(0=LEN(ReferenceData!$AO$43),"",ReferenceData!$AO$43),"")</f>
        <v/>
      </c>
      <c r="AP43" t="str">
        <f>IFERROR(IF(0=LEN(ReferenceData!$AP$43),"",ReferenceData!$AP$43),"")</f>
        <v/>
      </c>
      <c r="AQ43" t="str">
        <f>IFERROR(IF(0=LEN(ReferenceData!$AQ$43),"",ReferenceData!$AQ$43),"")</f>
        <v/>
      </c>
      <c r="AR43" t="str">
        <f>IFERROR(IF(0=LEN(ReferenceData!$AR$43),"",ReferenceData!$AR$43),"")</f>
        <v/>
      </c>
      <c r="AS43" t="str">
        <f>IFERROR(IF(0=LEN(ReferenceData!$AS$43),"",ReferenceData!$AS$43),"")</f>
        <v/>
      </c>
      <c r="AT43" t="str">
        <f>IFERROR(IF(0=LEN(ReferenceData!$AT$43),"",ReferenceData!$AT$43),"")</f>
        <v/>
      </c>
      <c r="AU43" t="str">
        <f>IFERROR(IF(0=LEN(ReferenceData!$AU$43),"",ReferenceData!$AU$43),"")</f>
        <v/>
      </c>
      <c r="AV43" t="str">
        <f>IFERROR(IF(0=LEN(ReferenceData!$AV$43),"",ReferenceData!$AV$43),"")</f>
        <v/>
      </c>
      <c r="AW43" t="str">
        <f>IFERROR(IF(0=LEN(ReferenceData!$AW$43),"",ReferenceData!$AW$43),"")</f>
        <v/>
      </c>
      <c r="AX43" t="str">
        <f>IFERROR(IF(0=LEN(ReferenceData!$AX$43),"",ReferenceData!$AX$43),"")</f>
        <v/>
      </c>
      <c r="AY43" t="str">
        <f>IFERROR(IF(0=LEN(ReferenceData!$AY$43),"",ReferenceData!$AY$43),"")</f>
        <v/>
      </c>
      <c r="AZ43" t="str">
        <f>IFERROR(IF(0=LEN(ReferenceData!$AZ$43),"",ReferenceData!$AZ$43),"")</f>
        <v/>
      </c>
      <c r="BA43" t="str">
        <f>IFERROR(IF(0=LEN(ReferenceData!$BA$43),"",ReferenceData!$BA$43),"")</f>
        <v/>
      </c>
      <c r="BB43" t="str">
        <f>IFERROR(IF(0=LEN(ReferenceData!$BB$43),"",ReferenceData!$BB$43),"")</f>
        <v/>
      </c>
      <c r="BC43" t="str">
        <f>IFERROR(IF(0=LEN(ReferenceData!$BC$43),"",ReferenceData!$BC$43),"")</f>
        <v/>
      </c>
      <c r="BD43" t="str">
        <f>IFERROR(IF(0=LEN(ReferenceData!$BD$43),"",ReferenceData!$BD$43),"")</f>
        <v/>
      </c>
      <c r="BE43" t="str">
        <f>IFERROR(IF(0=LEN(ReferenceData!$BE$43),"",ReferenceData!$BE$43),"")</f>
        <v/>
      </c>
      <c r="BF43" t="str">
        <f>IFERROR(IF(0=LEN(ReferenceData!$BF$43),"",ReferenceData!$BF$43),"")</f>
        <v/>
      </c>
      <c r="BG43" t="str">
        <f>IFERROR(IF(0=LEN(ReferenceData!$BG$43),"",ReferenceData!$BG$43),"")</f>
        <v/>
      </c>
      <c r="BH43" t="str">
        <f>IFERROR(IF(0=LEN(ReferenceData!$BH$43),"",ReferenceData!$BH$43),"")</f>
        <v/>
      </c>
      <c r="BI43" t="str">
        <f>IFERROR(IF(0=LEN(ReferenceData!$BI$43),"",ReferenceData!$BI$43),"")</f>
        <v/>
      </c>
      <c r="BJ43" t="str">
        <f>IFERROR(IF(0=LEN(ReferenceData!$BJ$43),"",ReferenceData!$BJ$43),"")</f>
        <v/>
      </c>
      <c r="BK43" t="str">
        <f>IFERROR(IF(0=LEN(ReferenceData!$BK$43),"",ReferenceData!$BK$43),"")</f>
        <v/>
      </c>
      <c r="BL43" t="str">
        <f>IFERROR(IF(0=LEN(ReferenceData!$BL$43),"",ReferenceData!$BL$43),"")</f>
        <v/>
      </c>
      <c r="BM43" t="str">
        <f>IFERROR(IF(0=LEN(ReferenceData!$BM$43),"",ReferenceData!$BM$43),"")</f>
        <v/>
      </c>
      <c r="BN43" t="str">
        <f>IFERROR(IF(0=LEN(ReferenceData!$BN$43),"",ReferenceData!$BN$43),"")</f>
        <v/>
      </c>
      <c r="BO43" t="str">
        <f>IFERROR(IF(0=LEN(ReferenceData!$BO$43),"",ReferenceData!$BO$43),"")</f>
        <v/>
      </c>
      <c r="BP43" t="str">
        <f>IFERROR(IF(0=LEN(ReferenceData!$BP$43),"",ReferenceData!$BP$43),"")</f>
        <v/>
      </c>
      <c r="BQ43" t="str">
        <f>IFERROR(IF(0=LEN(ReferenceData!$BQ$43),"",ReferenceData!$BQ$43),"")</f>
        <v/>
      </c>
      <c r="BR43" t="str">
        <f>IFERROR(IF(0=LEN(ReferenceData!$BR$43),"",ReferenceData!$BR$43),"")</f>
        <v/>
      </c>
      <c r="BS43" t="str">
        <f>IFERROR(IF(0=LEN(ReferenceData!$BS$43),"",ReferenceData!$BS$43),"")</f>
        <v/>
      </c>
      <c r="BT43" t="str">
        <f>IFERROR(IF(0=LEN(ReferenceData!$BT$43),"",ReferenceData!$BT$43),"")</f>
        <v/>
      </c>
      <c r="BU43" t="str">
        <f>IFERROR(IF(0=LEN(ReferenceData!$BU$43),"",ReferenceData!$BU$43),"")</f>
        <v/>
      </c>
      <c r="BV43" t="str">
        <f>IFERROR(IF(0=LEN(ReferenceData!$BV$43),"",ReferenceData!$BV$43),"")</f>
        <v/>
      </c>
      <c r="BW43" t="str">
        <f>IFERROR(IF(0=LEN(ReferenceData!$BW$43),"",ReferenceData!$BW$43),"")</f>
        <v/>
      </c>
      <c r="BX43" t="str">
        <f>IFERROR(IF(0=LEN(ReferenceData!$BX$43),"",ReferenceData!$BX$43),"")</f>
        <v/>
      </c>
      <c r="BY43" t="str">
        <f>IFERROR(IF(0=LEN(ReferenceData!$BY$43),"",ReferenceData!$BY$43),"")</f>
        <v/>
      </c>
      <c r="BZ43" t="str">
        <f>IFERROR(IF(0=LEN(ReferenceData!$BZ$43),"",ReferenceData!$BZ$43),"")</f>
        <v/>
      </c>
      <c r="CA43" t="str">
        <f>IFERROR(IF(0=LEN(ReferenceData!$CA$43),"",ReferenceData!$CA$43),"")</f>
        <v/>
      </c>
      <c r="CB43" t="str">
        <f>IFERROR(IF(0=LEN(ReferenceData!$CB$43),"",ReferenceData!$CB$43),"")</f>
        <v/>
      </c>
      <c r="CC43" t="str">
        <f>IFERROR(IF(0=LEN(ReferenceData!$CC$43),"",ReferenceData!$CC$43),"")</f>
        <v/>
      </c>
      <c r="CD43" t="str">
        <f>IFERROR(IF(0=LEN(ReferenceData!$CD$43),"",ReferenceData!$CD$43),"")</f>
        <v/>
      </c>
      <c r="CE43" t="str">
        <f>IFERROR(IF(0=LEN(ReferenceData!$CE$43),"",ReferenceData!$CE$43),"")</f>
        <v/>
      </c>
      <c r="CF43" t="str">
        <f>IFERROR(IF(0=LEN(ReferenceData!$CF$43),"",ReferenceData!$CF$43),"")</f>
        <v/>
      </c>
      <c r="CG43" t="str">
        <f>IFERROR(IF(0=LEN(ReferenceData!$CG$43),"",ReferenceData!$CG$43),"")</f>
        <v/>
      </c>
      <c r="CH43" t="str">
        <f>IFERROR(IF(0=LEN(ReferenceData!$CH$43),"",ReferenceData!$CH$43),"")</f>
        <v/>
      </c>
      <c r="CI43" t="str">
        <f>IFERROR(IF(0=LEN(ReferenceData!$CI$43),"",ReferenceData!$CI$43),"")</f>
        <v/>
      </c>
      <c r="CJ43" t="str">
        <f>IFERROR(IF(0=LEN(ReferenceData!$CJ$43),"",ReferenceData!$CJ$43),"")</f>
        <v/>
      </c>
      <c r="CK43" t="str">
        <f>IFERROR(IF(0=LEN(ReferenceData!$CK$43),"",ReferenceData!$CK$43),"")</f>
        <v/>
      </c>
    </row>
    <row r="44" spans="1:89" x14ac:dyDescent="0.25">
      <c r="A44" t="str">
        <f>IFERROR(IF(0=LEN(ReferenceData!$A$44),"",ReferenceData!$A$44),"")</f>
        <v xml:space="preserve">    Total Vessels Crossing</v>
      </c>
      <c r="B44" t="str">
        <f>IFERROR(IF(0=LEN(ReferenceData!$B$44),"",ReferenceData!$B$44),"")</f>
        <v>PNTRTNV Index</v>
      </c>
      <c r="C44" t="str">
        <f>IFERROR(IF(0=LEN(ReferenceData!$C$44),"",ReferenceData!$C$44),"")</f>
        <v>PX385</v>
      </c>
      <c r="D44" t="str">
        <f>IFERROR(IF(0=LEN(ReferenceData!$D$44),"",ReferenceData!$D$44),"")</f>
        <v>INTERVAL_SUM</v>
      </c>
      <c r="E44" t="str">
        <f>IFERROR(IF(0=LEN(ReferenceData!$E$44),"",ReferenceData!$E$44),"")</f>
        <v>Dynamic</v>
      </c>
      <c r="F44">
        <f ca="1">IFERROR(IF(0=LEN(ReferenceData!$F$44),"",ReferenceData!$F$44),"")</f>
        <v>1003</v>
      </c>
      <c r="G44">
        <f ca="1">IFERROR(IF(0=LEN(ReferenceData!$G$44),"",ReferenceData!$G$44),"")</f>
        <v>977</v>
      </c>
      <c r="H44">
        <f ca="1">IFERROR(IF(0=LEN(ReferenceData!$H$44),"",ReferenceData!$H$44),"")</f>
        <v>1012</v>
      </c>
      <c r="I44">
        <f ca="1">IFERROR(IF(0=LEN(ReferenceData!$I$44),"",ReferenceData!$I$44),"")</f>
        <v>1036</v>
      </c>
      <c r="J44">
        <f ca="1">IFERROR(IF(0=LEN(ReferenceData!$J$44),"",ReferenceData!$J$44),"")</f>
        <v>964</v>
      </c>
      <c r="K44">
        <f ca="1">IFERROR(IF(0=LEN(ReferenceData!$K$44),"",ReferenceData!$K$44),"")</f>
        <v>1010</v>
      </c>
      <c r="L44">
        <f ca="1">IFERROR(IF(0=LEN(ReferenceData!$L$44),"",ReferenceData!$L$44),"")</f>
        <v>1078</v>
      </c>
      <c r="M44">
        <f ca="1">IFERROR(IF(0=LEN(ReferenceData!$M$44),"",ReferenceData!$M$44),"")</f>
        <v>1113</v>
      </c>
      <c r="N44">
        <f ca="1">IFERROR(IF(0=LEN(ReferenceData!$N$44),"",ReferenceData!$N$44),"")</f>
        <v>995</v>
      </c>
      <c r="O44">
        <f ca="1">IFERROR(IF(0=LEN(ReferenceData!$O$44),"",ReferenceData!$O$44),"")</f>
        <v>1128</v>
      </c>
      <c r="P44">
        <f ca="1">IFERROR(IF(0=LEN(ReferenceData!$P$44),"",ReferenceData!$P$44),"")</f>
        <v>1148</v>
      </c>
      <c r="Q44">
        <f ca="1">IFERROR(IF(0=LEN(ReferenceData!$Q$44),"",ReferenceData!$Q$44),"")</f>
        <v>1091</v>
      </c>
      <c r="R44">
        <f ca="1">IFERROR(IF(0=LEN(ReferenceData!$R$44),"",ReferenceData!$R$44),"")</f>
        <v>1086</v>
      </c>
      <c r="S44">
        <f ca="1">IFERROR(IF(0=LEN(ReferenceData!$S$44),"",ReferenceData!$S$44),"")</f>
        <v>999</v>
      </c>
      <c r="T44">
        <f ca="1">IFERROR(IF(0=LEN(ReferenceData!$T$44),"",ReferenceData!$T$44),"")</f>
        <v>1115</v>
      </c>
      <c r="U44">
        <f ca="1">IFERROR(IF(0=LEN(ReferenceData!$U$44),"",ReferenceData!$U$44),"")</f>
        <v>1049</v>
      </c>
      <c r="V44">
        <f ca="1">IFERROR(IF(0=LEN(ReferenceData!$V$44),"",ReferenceData!$V$44),"")</f>
        <v>1090</v>
      </c>
      <c r="W44">
        <f ca="1">IFERROR(IF(0=LEN(ReferenceData!$W$44),"",ReferenceData!$W$44),"")</f>
        <v>1096</v>
      </c>
      <c r="X44">
        <f ca="1">IFERROR(IF(0=LEN(ReferenceData!$X$44),"",ReferenceData!$X$44),"")</f>
        <v>1034</v>
      </c>
      <c r="Y44">
        <f ca="1">IFERROR(IF(0=LEN(ReferenceData!$Y$44),"",ReferenceData!$Y$44),"")</f>
        <v>1098</v>
      </c>
      <c r="Z44">
        <f ca="1">IFERROR(IF(0=LEN(ReferenceData!$Z$44),"",ReferenceData!$Z$44),"")</f>
        <v>1046</v>
      </c>
      <c r="AA44">
        <f ca="1">IFERROR(IF(0=LEN(ReferenceData!$AA$44),"",ReferenceData!$AA$44),"")</f>
        <v>1107</v>
      </c>
      <c r="AB44">
        <f ca="1">IFERROR(IF(0=LEN(ReferenceData!$AB$44),"",ReferenceData!$AB$44),"")</f>
        <v>1180</v>
      </c>
      <c r="AC44">
        <f ca="1">IFERROR(IF(0=LEN(ReferenceData!$AC$44),"",ReferenceData!$AC$44),"")</f>
        <v>1134</v>
      </c>
      <c r="AD44">
        <f ca="1">IFERROR(IF(0=LEN(ReferenceData!$AD$44),"",ReferenceData!$AD$44),"")</f>
        <v>1061</v>
      </c>
      <c r="AE44">
        <f ca="1">IFERROR(IF(0=LEN(ReferenceData!$AE$44),"",ReferenceData!$AE$44),"")</f>
        <v>905</v>
      </c>
      <c r="AF44">
        <f ca="1">IFERROR(IF(0=LEN(ReferenceData!$AF$44),"",ReferenceData!$AF$44),"")</f>
        <v>1101</v>
      </c>
      <c r="AG44">
        <f ca="1">IFERROR(IF(0=LEN(ReferenceData!$AG$44),"",ReferenceData!$AG$44),"")</f>
        <v>1044</v>
      </c>
      <c r="AH44">
        <f ca="1">IFERROR(IF(0=LEN(ReferenceData!$AH$44),"",ReferenceData!$AH$44),"")</f>
        <v>995</v>
      </c>
      <c r="AI44">
        <f ca="1">IFERROR(IF(0=LEN(ReferenceData!$AI$44),"",ReferenceData!$AI$44),"")</f>
        <v>1026</v>
      </c>
      <c r="AJ44">
        <f ca="1">IFERROR(IF(0=LEN(ReferenceData!$AJ$44),"",ReferenceData!$AJ$44),"")</f>
        <v>1033</v>
      </c>
      <c r="AK44">
        <f ca="1">IFERROR(IF(0=LEN(ReferenceData!$AK$44),"",ReferenceData!$AK$44),"")</f>
        <v>1099</v>
      </c>
      <c r="AL44">
        <f ca="1">IFERROR(IF(0=LEN(ReferenceData!$AL$44),"",ReferenceData!$AL$44),"")</f>
        <v>990</v>
      </c>
      <c r="AM44">
        <f ca="1">IFERROR(IF(0=LEN(ReferenceData!$AM$44),"",ReferenceData!$AM$44),"")</f>
        <v>1082</v>
      </c>
      <c r="AN44">
        <f ca="1">IFERROR(IF(0=LEN(ReferenceData!$AN$44),"",ReferenceData!$AN$44),"")</f>
        <v>1114</v>
      </c>
      <c r="AO44">
        <f ca="1">IFERROR(IF(0=LEN(ReferenceData!$AO$44),"",ReferenceData!$AO$44),"")</f>
        <v>1050</v>
      </c>
      <c r="AP44">
        <f ca="1">IFERROR(IF(0=LEN(ReferenceData!$AP$44),"",ReferenceData!$AP$44),"")</f>
        <v>1097</v>
      </c>
      <c r="AQ44">
        <f ca="1">IFERROR(IF(0=LEN(ReferenceData!$AQ$44),"",ReferenceData!$AQ$44),"")</f>
        <v>949</v>
      </c>
      <c r="AR44">
        <f ca="1">IFERROR(IF(0=LEN(ReferenceData!$AR$44),"",ReferenceData!$AR$44),"")</f>
        <v>1000</v>
      </c>
      <c r="AS44">
        <f ca="1">IFERROR(IF(0=LEN(ReferenceData!$AS$44),"",ReferenceData!$AS$44),"")</f>
        <v>933</v>
      </c>
      <c r="AT44">
        <f ca="1">IFERROR(IF(0=LEN(ReferenceData!$AT$44),"",ReferenceData!$AT$44),"")</f>
        <v>845</v>
      </c>
      <c r="AU44">
        <f ca="1">IFERROR(IF(0=LEN(ReferenceData!$AU$44),"",ReferenceData!$AU$44),"")</f>
        <v>894</v>
      </c>
      <c r="AV44">
        <f ca="1">IFERROR(IF(0=LEN(ReferenceData!$AV$44),"",ReferenceData!$AV$44),"")</f>
        <v>969</v>
      </c>
      <c r="AW44">
        <f ca="1">IFERROR(IF(0=LEN(ReferenceData!$AW$44),"",ReferenceData!$AW$44),"")</f>
        <v>1086</v>
      </c>
      <c r="AX44">
        <f ca="1">IFERROR(IF(0=LEN(ReferenceData!$AX$44),"",ReferenceData!$AX$44),"")</f>
        <v>1021</v>
      </c>
      <c r="AY44">
        <f ca="1">IFERROR(IF(0=LEN(ReferenceData!$AY$44),"",ReferenceData!$AY$44),"")</f>
        <v>1134</v>
      </c>
      <c r="AZ44">
        <f ca="1">IFERROR(IF(0=LEN(ReferenceData!$AZ$44),"",ReferenceData!$AZ$44),"")</f>
        <v>1143</v>
      </c>
      <c r="BA44">
        <f ca="1">IFERROR(IF(0=LEN(ReferenceData!$BA$44),"",ReferenceData!$BA$44),"")</f>
        <v>1136</v>
      </c>
      <c r="BB44">
        <f ca="1">IFERROR(IF(0=LEN(ReferenceData!$BB$44),"",ReferenceData!$BB$44),"")</f>
        <v>1137</v>
      </c>
      <c r="BC44">
        <f ca="1">IFERROR(IF(0=LEN(ReferenceData!$BC$44),"",ReferenceData!$BC$44),"")</f>
        <v>1025</v>
      </c>
      <c r="BD44">
        <f ca="1">IFERROR(IF(0=LEN(ReferenceData!$BD$44),"",ReferenceData!$BD$44),"")</f>
        <v>1113</v>
      </c>
      <c r="BE44">
        <f ca="1">IFERROR(IF(0=LEN(ReferenceData!$BE$44),"",ReferenceData!$BE$44),"")</f>
        <v>1001</v>
      </c>
      <c r="BF44">
        <f ca="1">IFERROR(IF(0=LEN(ReferenceData!$BF$44),"",ReferenceData!$BF$44),"")</f>
        <v>975</v>
      </c>
      <c r="BG44">
        <f ca="1">IFERROR(IF(0=LEN(ReferenceData!$BG$44),"",ReferenceData!$BG$44),"")</f>
        <v>1032</v>
      </c>
      <c r="BH44">
        <f ca="1">IFERROR(IF(0=LEN(ReferenceData!$BH$44),"",ReferenceData!$BH$44),"")</f>
        <v>1006</v>
      </c>
      <c r="BI44">
        <f ca="1">IFERROR(IF(0=LEN(ReferenceData!$BI$44),"",ReferenceData!$BI$44),"")</f>
        <v>1067</v>
      </c>
      <c r="BJ44">
        <f ca="1">IFERROR(IF(0=LEN(ReferenceData!$BJ$44),"",ReferenceData!$BJ$44),"")</f>
        <v>962</v>
      </c>
      <c r="BK44">
        <f ca="1">IFERROR(IF(0=LEN(ReferenceData!$BK$44),"",ReferenceData!$BK$44),"")</f>
        <v>1072</v>
      </c>
      <c r="BL44">
        <f ca="1">IFERROR(IF(0=LEN(ReferenceData!$BL$44),"",ReferenceData!$BL$44),"")</f>
        <v>1014</v>
      </c>
      <c r="BM44">
        <f ca="1">IFERROR(IF(0=LEN(ReferenceData!$BM$44),"",ReferenceData!$BM$44),"")</f>
        <v>977</v>
      </c>
      <c r="BN44">
        <f ca="1">IFERROR(IF(0=LEN(ReferenceData!$BN$44),"",ReferenceData!$BN$44),"")</f>
        <v>1046</v>
      </c>
      <c r="BO44">
        <f ca="1">IFERROR(IF(0=LEN(ReferenceData!$BO$44),"",ReferenceData!$BO$44),"")</f>
        <v>992</v>
      </c>
      <c r="BP44">
        <f ca="1">IFERROR(IF(0=LEN(ReferenceData!$BP$44),"",ReferenceData!$BP$44),"")</f>
        <v>1005</v>
      </c>
      <c r="BQ44">
        <f ca="1">IFERROR(IF(0=LEN(ReferenceData!$BQ$44),"",ReferenceData!$BQ$44),"")</f>
        <v>998</v>
      </c>
      <c r="BR44">
        <f ca="1">IFERROR(IF(0=LEN(ReferenceData!$BR$44),"",ReferenceData!$BR$44),"")</f>
        <v>955</v>
      </c>
      <c r="BS44">
        <f ca="1">IFERROR(IF(0=LEN(ReferenceData!$BS$44),"",ReferenceData!$BS$44),"")</f>
        <v>1069</v>
      </c>
      <c r="BT44">
        <f ca="1">IFERROR(IF(0=LEN(ReferenceData!$BT$44),"",ReferenceData!$BT$44),"")</f>
        <v>1014</v>
      </c>
      <c r="BU44">
        <f ca="1">IFERROR(IF(0=LEN(ReferenceData!$BU$44),"",ReferenceData!$BU$44),"")</f>
        <v>1014</v>
      </c>
      <c r="BV44">
        <f ca="1">IFERROR(IF(0=LEN(ReferenceData!$BV$44),"",ReferenceData!$BV$44),"")</f>
        <v>1088</v>
      </c>
      <c r="BW44">
        <f ca="1">IFERROR(IF(0=LEN(ReferenceData!$BW$44),"",ReferenceData!$BW$44),"")</f>
        <v>1050</v>
      </c>
      <c r="BX44">
        <f ca="1">IFERROR(IF(0=LEN(ReferenceData!$BX$44),"",ReferenceData!$BX$44),"")</f>
        <v>1047</v>
      </c>
      <c r="BY44">
        <f ca="1">IFERROR(IF(0=LEN(ReferenceData!$BY$44),"",ReferenceData!$BY$44),"")</f>
        <v>994</v>
      </c>
      <c r="BZ44">
        <f ca="1">IFERROR(IF(0=LEN(ReferenceData!$BZ$44),"",ReferenceData!$BZ$44),"")</f>
        <v>1055</v>
      </c>
      <c r="CA44">
        <f ca="1">IFERROR(IF(0=LEN(ReferenceData!$CA$44),"",ReferenceData!$CA$44),"")</f>
        <v>964</v>
      </c>
      <c r="CB44">
        <f ca="1">IFERROR(IF(0=LEN(ReferenceData!$CB$44),"",ReferenceData!$CB$44),"")</f>
        <v>974</v>
      </c>
      <c r="CC44">
        <f ca="1">IFERROR(IF(0=LEN(ReferenceData!$CC$44),"",ReferenceData!$CC$44),"")</f>
        <v>1017</v>
      </c>
      <c r="CD44">
        <f ca="1">IFERROR(IF(0=LEN(ReferenceData!$CD$44),"",ReferenceData!$CD$44),"")</f>
        <v>889</v>
      </c>
      <c r="CE44">
        <f ca="1">IFERROR(IF(0=LEN(ReferenceData!$CE$44),"",ReferenceData!$CE$44),"")</f>
        <v>990</v>
      </c>
      <c r="CF44">
        <f ca="1">IFERROR(IF(0=LEN(ReferenceData!$CF$44),"",ReferenceData!$CF$44),"")</f>
        <v>1016</v>
      </c>
      <c r="CG44">
        <f ca="1">IFERROR(IF(0=LEN(ReferenceData!$CG$44),"",ReferenceData!$CG$44),"")</f>
        <v>1071</v>
      </c>
      <c r="CH44">
        <f ca="1">IFERROR(IF(0=LEN(ReferenceData!$CH$44),"",ReferenceData!$CH$44),"")</f>
        <v>983</v>
      </c>
      <c r="CI44">
        <f ca="1">IFERROR(IF(0=LEN(ReferenceData!$CI$44),"",ReferenceData!$CI$44),"")</f>
        <v>1111</v>
      </c>
      <c r="CJ44">
        <f ca="1">IFERROR(IF(0=LEN(ReferenceData!$CJ$44),"",ReferenceData!$CJ$44),"")</f>
        <v>1043.521761</v>
      </c>
      <c r="CK44">
        <f ca="1">IFERROR(IF(0=LEN(ReferenceData!$CK$44),"",ReferenceData!$CK$44),"")</f>
        <v>968.90310969999996</v>
      </c>
    </row>
    <row r="45" spans="1:89" x14ac:dyDescent="0.25">
      <c r="A45" t="str">
        <f>IFERROR(IF(0=LEN(ReferenceData!$A$45),"",ReferenceData!$A$45),"")</f>
        <v>Port Hedland Cargo Statistics - Australia Port Hedland Total Exports (tonnes) - Loaded Container Exports</v>
      </c>
      <c r="B45" t="str">
        <f>IFERROR(IF(0=LEN(ReferenceData!$B$45),"",ReferenceData!$B$45),"")</f>
        <v>AHEDEXGE Index</v>
      </c>
      <c r="C45" t="str">
        <f>IFERROR(IF(0=LEN(ReferenceData!$C$45),"",ReferenceData!$C$45),"")</f>
        <v>PX385</v>
      </c>
      <c r="D45" t="str">
        <f>IFERROR(IF(0=LEN(ReferenceData!$D$45),"",ReferenceData!$D$45),"")</f>
        <v>INTERVAL_SUM</v>
      </c>
      <c r="E45" t="str">
        <f>IFERROR(IF(0=LEN(ReferenceData!$E$45),"",ReferenceData!$E$45),"")</f>
        <v>Dynamic</v>
      </c>
      <c r="F45" t="str">
        <f ca="1">IFERROR(IF(0=LEN(ReferenceData!$F$45),"",ReferenceData!$F$45),"")</f>
        <v/>
      </c>
      <c r="G45">
        <f ca="1">IFERROR(IF(0=LEN(ReferenceData!$G$45),"",ReferenceData!$G$45),"")</f>
        <v>28545.1</v>
      </c>
      <c r="H45">
        <f ca="1">IFERROR(IF(0=LEN(ReferenceData!$H$45),"",ReferenceData!$H$45),"")</f>
        <v>10185.98</v>
      </c>
      <c r="I45">
        <f ca="1">IFERROR(IF(0=LEN(ReferenceData!$I$45),"",ReferenceData!$I$45),"")</f>
        <v>940.51</v>
      </c>
      <c r="J45">
        <f ca="1">IFERROR(IF(0=LEN(ReferenceData!$J$45),"",ReferenceData!$J$45),"")</f>
        <v>0</v>
      </c>
      <c r="K45">
        <f ca="1">IFERROR(IF(0=LEN(ReferenceData!$K$45),"",ReferenceData!$K$45),"")</f>
        <v>0</v>
      </c>
      <c r="L45">
        <f ca="1">IFERROR(IF(0=LEN(ReferenceData!$L$45),"",ReferenceData!$L$45),"")</f>
        <v>0</v>
      </c>
      <c r="M45">
        <f ca="1">IFERROR(IF(0=LEN(ReferenceData!$M$45),"",ReferenceData!$M$45),"")</f>
        <v>12814</v>
      </c>
      <c r="N45">
        <f ca="1">IFERROR(IF(0=LEN(ReferenceData!$N$45),"",ReferenceData!$N$45),"")</f>
        <v>0</v>
      </c>
      <c r="O45">
        <f ca="1">IFERROR(IF(0=LEN(ReferenceData!$O$45),"",ReferenceData!$O$45),"")</f>
        <v>0</v>
      </c>
      <c r="P45">
        <f ca="1">IFERROR(IF(0=LEN(ReferenceData!$P$45),"",ReferenceData!$P$45),"")</f>
        <v>18696.79</v>
      </c>
      <c r="Q45">
        <f ca="1">IFERROR(IF(0=LEN(ReferenceData!$Q$45),"",ReferenceData!$Q$45),"")</f>
        <v>20.71</v>
      </c>
      <c r="R45">
        <f ca="1">IFERROR(IF(0=LEN(ReferenceData!$R$45),"",ReferenceData!$R$45),"")</f>
        <v>0</v>
      </c>
      <c r="S45">
        <f ca="1">IFERROR(IF(0=LEN(ReferenceData!$S$45),"",ReferenceData!$S$45),"")</f>
        <v>0</v>
      </c>
      <c r="T45">
        <f ca="1">IFERROR(IF(0=LEN(ReferenceData!$T$45),"",ReferenceData!$T$45),"")</f>
        <v>19913.46</v>
      </c>
      <c r="U45">
        <f ca="1">IFERROR(IF(0=LEN(ReferenceData!$U$45),"",ReferenceData!$U$45),"")</f>
        <v>6.5</v>
      </c>
      <c r="V45">
        <f ca="1">IFERROR(IF(0=LEN(ReferenceData!$V$45),"",ReferenceData!$V$45),"")</f>
        <v>11704</v>
      </c>
      <c r="W45">
        <f ca="1">IFERROR(IF(0=LEN(ReferenceData!$W$45),"",ReferenceData!$W$45),"")</f>
        <v>0</v>
      </c>
      <c r="X45">
        <f ca="1">IFERROR(IF(0=LEN(ReferenceData!$X$45),"",ReferenceData!$X$45),"")</f>
        <v>14489.26</v>
      </c>
      <c r="Y45">
        <f ca="1">IFERROR(IF(0=LEN(ReferenceData!$Y$45),"",ReferenceData!$Y$45),"")</f>
        <v>222</v>
      </c>
      <c r="Z45">
        <f ca="1">IFERROR(IF(0=LEN(ReferenceData!$Z$45),"",ReferenceData!$Z$45),"")</f>
        <v>0</v>
      </c>
      <c r="AA45">
        <f ca="1">IFERROR(IF(0=LEN(ReferenceData!$AA$45),"",ReferenceData!$AA$45),"")</f>
        <v>9058.86</v>
      </c>
      <c r="AB45">
        <f ca="1">IFERROR(IF(0=LEN(ReferenceData!$AB$45),"",ReferenceData!$AB$45),"")</f>
        <v>78.37</v>
      </c>
      <c r="AC45">
        <f ca="1">IFERROR(IF(0=LEN(ReferenceData!$AC$45),"",ReferenceData!$AC$45),"")</f>
        <v>9.9600000000000009</v>
      </c>
      <c r="AD45">
        <f ca="1">IFERROR(IF(0=LEN(ReferenceData!$AD$45),"",ReferenceData!$AD$45),"")</f>
        <v>35104.879999999997</v>
      </c>
      <c r="AE45">
        <f ca="1">IFERROR(IF(0=LEN(ReferenceData!$AE$45),"",ReferenceData!$AE$45),"")</f>
        <v>0</v>
      </c>
      <c r="AF45">
        <f ca="1">IFERROR(IF(0=LEN(ReferenceData!$AF$45),"",ReferenceData!$AF$45),"")</f>
        <v>121.3</v>
      </c>
      <c r="AG45">
        <f ca="1">IFERROR(IF(0=LEN(ReferenceData!$AG$45),"",ReferenceData!$AG$45),"")</f>
        <v>22.26</v>
      </c>
      <c r="AH45">
        <f ca="1">IFERROR(IF(0=LEN(ReferenceData!$AH$45),"",ReferenceData!$AH$45),"")</f>
        <v>19992.740000000002</v>
      </c>
      <c r="AI45">
        <f ca="1">IFERROR(IF(0=LEN(ReferenceData!$AI$45),"",ReferenceData!$AI$45),"")</f>
        <v>74.22</v>
      </c>
      <c r="AJ45">
        <f ca="1">IFERROR(IF(0=LEN(ReferenceData!$AJ$45),"",ReferenceData!$AJ$45),"")</f>
        <v>111.56</v>
      </c>
      <c r="AK45">
        <f ca="1">IFERROR(IF(0=LEN(ReferenceData!$AK$45),"",ReferenceData!$AK$45),"")</f>
        <v>65.959999999999994</v>
      </c>
      <c r="AL45">
        <f ca="1">IFERROR(IF(0=LEN(ReferenceData!$AL$45),"",ReferenceData!$AL$45),"")</f>
        <v>24782.15</v>
      </c>
      <c r="AM45">
        <f ca="1">IFERROR(IF(0=LEN(ReferenceData!$AM$45),"",ReferenceData!$AM$45),"")</f>
        <v>0</v>
      </c>
      <c r="AN45">
        <f ca="1">IFERROR(IF(0=LEN(ReferenceData!$AN$45),"",ReferenceData!$AN$45),"")</f>
        <v>0</v>
      </c>
      <c r="AO45">
        <f ca="1">IFERROR(IF(0=LEN(ReferenceData!$AO$45),"",ReferenceData!$AO$45),"")</f>
        <v>0</v>
      </c>
      <c r="AP45">
        <f ca="1">IFERROR(IF(0=LEN(ReferenceData!$AP$45),"",ReferenceData!$AP$45),"")</f>
        <v>19833.5</v>
      </c>
      <c r="AQ45">
        <f ca="1">IFERROR(IF(0=LEN(ReferenceData!$AQ$45),"",ReferenceData!$AQ$45),"")</f>
        <v>9810.5</v>
      </c>
      <c r="AR45">
        <f ca="1">IFERROR(IF(0=LEN(ReferenceData!$AR$45),"",ReferenceData!$AR$45),"")</f>
        <v>170</v>
      </c>
      <c r="AS45">
        <f ca="1">IFERROR(IF(0=LEN(ReferenceData!$AS$45),"",ReferenceData!$AS$45),"")</f>
        <v>12977.56</v>
      </c>
      <c r="AT45">
        <f ca="1">IFERROR(IF(0=LEN(ReferenceData!$AT$45),"",ReferenceData!$AT$45),"")</f>
        <v>12903.36</v>
      </c>
      <c r="AU45">
        <f ca="1">IFERROR(IF(0=LEN(ReferenceData!$AU$45),"",ReferenceData!$AU$45),"")</f>
        <v>0</v>
      </c>
      <c r="AV45">
        <f ca="1">IFERROR(IF(0=LEN(ReferenceData!$AV$45),"",ReferenceData!$AV$45),"")</f>
        <v>0</v>
      </c>
      <c r="AW45">
        <f ca="1">IFERROR(IF(0=LEN(ReferenceData!$AW$45),"",ReferenceData!$AW$45),"")</f>
        <v>13293.63</v>
      </c>
      <c r="AX45">
        <f ca="1">IFERROR(IF(0=LEN(ReferenceData!$AX$45),"",ReferenceData!$AX$45),"")</f>
        <v>0</v>
      </c>
      <c r="AY45">
        <f ca="1">IFERROR(IF(0=LEN(ReferenceData!$AY$45),"",ReferenceData!$AY$45),"")</f>
        <v>0</v>
      </c>
      <c r="AZ45">
        <f ca="1">IFERROR(IF(0=LEN(ReferenceData!$AZ$45),"",ReferenceData!$AZ$45),"")</f>
        <v>26545.91</v>
      </c>
      <c r="BA45">
        <f ca="1">IFERROR(IF(0=LEN(ReferenceData!$BA$45),"",ReferenceData!$BA$45),"")</f>
        <v>0</v>
      </c>
      <c r="BB45">
        <f ca="1">IFERROR(IF(0=LEN(ReferenceData!$BB$45),"",ReferenceData!$BB$45),"")</f>
        <v>12148.56</v>
      </c>
      <c r="BC45">
        <f ca="1">IFERROR(IF(0=LEN(ReferenceData!$BC$45),"",ReferenceData!$BC$45),"")</f>
        <v>1050.99</v>
      </c>
      <c r="BD45">
        <f ca="1">IFERROR(IF(0=LEN(ReferenceData!$BD$45),"",ReferenceData!$BD$45),"")</f>
        <v>0</v>
      </c>
      <c r="BE45">
        <f ca="1">IFERROR(IF(0=LEN(ReferenceData!$BE$45),"",ReferenceData!$BE$45),"")</f>
        <v>0</v>
      </c>
      <c r="BF45">
        <f ca="1">IFERROR(IF(0=LEN(ReferenceData!$BF$45),"",ReferenceData!$BF$45),"")</f>
        <v>14836.35</v>
      </c>
      <c r="BG45">
        <f ca="1">IFERROR(IF(0=LEN(ReferenceData!$BG$45),"",ReferenceData!$BG$45),"")</f>
        <v>13595</v>
      </c>
      <c r="BH45">
        <f ca="1">IFERROR(IF(0=LEN(ReferenceData!$BH$45),"",ReferenceData!$BH$45),"")</f>
        <v>19837.939999999999</v>
      </c>
      <c r="BI45">
        <f ca="1">IFERROR(IF(0=LEN(ReferenceData!$BI$45),"",ReferenceData!$BI$45),"")</f>
        <v>0</v>
      </c>
      <c r="BJ45">
        <f ca="1">IFERROR(IF(0=LEN(ReferenceData!$BJ$45),"",ReferenceData!$BJ$45),"")</f>
        <v>0</v>
      </c>
      <c r="BK45">
        <f ca="1">IFERROR(IF(0=LEN(ReferenceData!$BK$45),"",ReferenceData!$BK$45),"")</f>
        <v>21493.67</v>
      </c>
      <c r="BL45">
        <f ca="1">IFERROR(IF(0=LEN(ReferenceData!$BL$45),"",ReferenceData!$BL$45),"")</f>
        <v>0</v>
      </c>
      <c r="BM45">
        <f ca="1">IFERROR(IF(0=LEN(ReferenceData!$BM$45),"",ReferenceData!$BM$45),"")</f>
        <v>0</v>
      </c>
      <c r="BN45">
        <f ca="1">IFERROR(IF(0=LEN(ReferenceData!$BN$45),"",ReferenceData!$BN$45),"")</f>
        <v>0</v>
      </c>
      <c r="BO45">
        <f ca="1">IFERROR(IF(0=LEN(ReferenceData!$BO$45),"",ReferenceData!$BO$45),"")</f>
        <v>12950.58</v>
      </c>
      <c r="BP45">
        <f ca="1">IFERROR(IF(0=LEN(ReferenceData!$BP$45),"",ReferenceData!$BP$45),"")</f>
        <v>1937.7</v>
      </c>
      <c r="BQ45">
        <f ca="1">IFERROR(IF(0=LEN(ReferenceData!$BQ$45),"",ReferenceData!$BQ$45),"")</f>
        <v>0</v>
      </c>
      <c r="BR45">
        <f ca="1">IFERROR(IF(0=LEN(ReferenceData!$BR$45),"",ReferenceData!$BR$45),"")</f>
        <v>17770.8</v>
      </c>
      <c r="BS45">
        <f ca="1">IFERROR(IF(0=LEN(ReferenceData!$BS$45),"",ReferenceData!$BS$45),"")</f>
        <v>16954.77</v>
      </c>
      <c r="BT45" t="str">
        <f ca="1">IFERROR(IF(0=LEN(ReferenceData!$BT$45),"",ReferenceData!$BT$45),"")</f>
        <v/>
      </c>
      <c r="BU45">
        <f ca="1">IFERROR(IF(0=LEN(ReferenceData!$BU$45),"",ReferenceData!$BU$45),"")</f>
        <v>752.2</v>
      </c>
      <c r="BV45">
        <f ca="1">IFERROR(IF(0=LEN(ReferenceData!$BV$45),"",ReferenceData!$BV$45),"")</f>
        <v>5183.91</v>
      </c>
      <c r="BW45">
        <f ca="1">IFERROR(IF(0=LEN(ReferenceData!$BW$45),"",ReferenceData!$BW$45),"")</f>
        <v>949.23</v>
      </c>
      <c r="BX45">
        <f ca="1">IFERROR(IF(0=LEN(ReferenceData!$BX$45),"",ReferenceData!$BX$45),"")</f>
        <v>11272.08</v>
      </c>
      <c r="BY45">
        <f ca="1">IFERROR(IF(0=LEN(ReferenceData!$BY$45),"",ReferenceData!$BY$45),"")</f>
        <v>3476.96</v>
      </c>
      <c r="BZ45">
        <f ca="1">IFERROR(IF(0=LEN(ReferenceData!$BZ$45),"",ReferenceData!$BZ$45),"")</f>
        <v>17899.57</v>
      </c>
      <c r="CA45">
        <f ca="1">IFERROR(IF(0=LEN(ReferenceData!$CA$45),"",ReferenceData!$CA$45),"")</f>
        <v>15998.04</v>
      </c>
      <c r="CB45">
        <f ca="1">IFERROR(IF(0=LEN(ReferenceData!$CB$45),"",ReferenceData!$CB$45),"")</f>
        <v>0</v>
      </c>
      <c r="CC45">
        <f ca="1">IFERROR(IF(0=LEN(ReferenceData!$CC$45),"",ReferenceData!$CC$45),"")</f>
        <v>884.95</v>
      </c>
      <c r="CD45">
        <f ca="1">IFERROR(IF(0=LEN(ReferenceData!$CD$45),"",ReferenceData!$CD$45),"")</f>
        <v>15138.83</v>
      </c>
      <c r="CE45">
        <f ca="1">IFERROR(IF(0=LEN(ReferenceData!$CE$45),"",ReferenceData!$CE$45),"")</f>
        <v>0</v>
      </c>
      <c r="CF45">
        <f ca="1">IFERROR(IF(0=LEN(ReferenceData!$CF$45),"",ReferenceData!$CF$45),"")</f>
        <v>10007.379999999999</v>
      </c>
      <c r="CG45">
        <f ca="1">IFERROR(IF(0=LEN(ReferenceData!$CG$45),"",ReferenceData!$CG$45),"")</f>
        <v>0</v>
      </c>
      <c r="CH45">
        <f ca="1">IFERROR(IF(0=LEN(ReferenceData!$CH$45),"",ReferenceData!$CH$45),"")</f>
        <v>0</v>
      </c>
      <c r="CI45">
        <f ca="1">IFERROR(IF(0=LEN(ReferenceData!$CI$45),"",ReferenceData!$CI$45),"")</f>
        <v>0</v>
      </c>
      <c r="CJ45">
        <f ca="1">IFERROR(IF(0=LEN(ReferenceData!$CJ$45),"",ReferenceData!$CJ$45),"")</f>
        <v>27374.13</v>
      </c>
      <c r="CK45">
        <f ca="1">IFERROR(IF(0=LEN(ReferenceData!$CK$45),"",ReferenceData!$CK$45),"")</f>
        <v>4265.63</v>
      </c>
    </row>
    <row r="46" spans="1:89" x14ac:dyDescent="0.25">
      <c r="A46" t="str">
        <f>IFERROR(IF(0=LEN(ReferenceData!$A$46),"",ReferenceData!$A$46),"")</f>
        <v>Port Hedland Cargo Statistics - Australia Port Hedland Total Exports (tonnes) - Iron Ore Exports (tonnes)</v>
      </c>
      <c r="B46" t="str">
        <f>IFERROR(IF(0=LEN(ReferenceData!$B$46),"",ReferenceData!$B$46),"")</f>
        <v>AHEDEXIO Index</v>
      </c>
      <c r="C46" t="str">
        <f>IFERROR(IF(0=LEN(ReferenceData!$C$46),"",ReferenceData!$C$46),"")</f>
        <v>PX385</v>
      </c>
      <c r="D46" t="str">
        <f>IFERROR(IF(0=LEN(ReferenceData!$D$46),"",ReferenceData!$D$46),"")</f>
        <v>INTERVAL_SUM</v>
      </c>
      <c r="E46" t="str">
        <f>IFERROR(IF(0=LEN(ReferenceData!$E$46),"",ReferenceData!$E$46),"")</f>
        <v>Dynamic</v>
      </c>
      <c r="F46" t="str">
        <f ca="1">IFERROR(IF(0=LEN(ReferenceData!$F$46),"",ReferenceData!$F$46),"")</f>
        <v/>
      </c>
      <c r="G46">
        <f ca="1">IFERROR(IF(0=LEN(ReferenceData!$G$46),"",ReferenceData!$G$46),"")</f>
        <v>45074671</v>
      </c>
      <c r="H46">
        <f ca="1">IFERROR(IF(0=LEN(ReferenceData!$H$46),"",ReferenceData!$H$46),"")</f>
        <v>47817110</v>
      </c>
      <c r="I46">
        <f ca="1">IFERROR(IF(0=LEN(ReferenceData!$I$46),"",ReferenceData!$I$46),"")</f>
        <v>43742907</v>
      </c>
      <c r="J46">
        <f ca="1">IFERROR(IF(0=LEN(ReferenceData!$J$46),"",ReferenceData!$J$46),"")</f>
        <v>51929362</v>
      </c>
      <c r="K46">
        <f ca="1">IFERROR(IF(0=LEN(ReferenceData!$K$46),"",ReferenceData!$K$46),"")</f>
        <v>48165980</v>
      </c>
      <c r="L46">
        <f ca="1">IFERROR(IF(0=LEN(ReferenceData!$L$46),"",ReferenceData!$L$46),"")</f>
        <v>43267574</v>
      </c>
      <c r="M46">
        <f ca="1">IFERROR(IF(0=LEN(ReferenceData!$M$46),"",ReferenceData!$M$46),"")</f>
        <v>45762554</v>
      </c>
      <c r="N46">
        <f ca="1">IFERROR(IF(0=LEN(ReferenceData!$N$46),"",ReferenceData!$N$46),"")</f>
        <v>38811009</v>
      </c>
      <c r="O46">
        <f ca="1">IFERROR(IF(0=LEN(ReferenceData!$O$46),"",ReferenceData!$O$46),"")</f>
        <v>47998375</v>
      </c>
      <c r="P46">
        <f ca="1">IFERROR(IF(0=LEN(ReferenceData!$P$46),"",ReferenceData!$P$46),"")</f>
        <v>49273659</v>
      </c>
      <c r="Q46">
        <f ca="1">IFERROR(IF(0=LEN(ReferenceData!$Q$46),"",ReferenceData!$Q$46),"")</f>
        <v>47584357</v>
      </c>
      <c r="R46">
        <f ca="1">IFERROR(IF(0=LEN(ReferenceData!$R$46),"",ReferenceData!$R$46),"")</f>
        <v>46898750</v>
      </c>
      <c r="S46">
        <f ca="1">IFERROR(IF(0=LEN(ReferenceData!$S$46),"",ReferenceData!$S$46),"")</f>
        <v>45962271</v>
      </c>
      <c r="T46">
        <f ca="1">IFERROR(IF(0=LEN(ReferenceData!$T$46),"",ReferenceData!$T$46),"")</f>
        <v>45835837</v>
      </c>
      <c r="U46">
        <f ca="1">IFERROR(IF(0=LEN(ReferenceData!$U$46),"",ReferenceData!$U$46),"")</f>
        <v>46925995</v>
      </c>
      <c r="V46">
        <f ca="1">IFERROR(IF(0=LEN(ReferenceData!$V$46),"",ReferenceData!$V$46),"")</f>
        <v>49767494</v>
      </c>
      <c r="W46">
        <f ca="1">IFERROR(IF(0=LEN(ReferenceData!$W$46),"",ReferenceData!$W$46),"")</f>
        <v>47729344</v>
      </c>
      <c r="X46">
        <f ca="1">IFERROR(IF(0=LEN(ReferenceData!$X$46),"",ReferenceData!$X$46),"")</f>
        <v>45781799</v>
      </c>
      <c r="Y46">
        <f ca="1">IFERROR(IF(0=LEN(ReferenceData!$Y$46),"",ReferenceData!$Y$46),"")</f>
        <v>46500000</v>
      </c>
      <c r="Z46">
        <f ca="1">IFERROR(IF(0=LEN(ReferenceData!$Z$46),"",ReferenceData!$Z$46),"")</f>
        <v>39439426</v>
      </c>
      <c r="AA46">
        <f ca="1">IFERROR(IF(0=LEN(ReferenceData!$AA$46),"",ReferenceData!$AA$46),"")</f>
        <v>47991651</v>
      </c>
      <c r="AB46">
        <f ca="1">IFERROR(IF(0=LEN(ReferenceData!$AB$46),"",ReferenceData!$AB$46),"")</f>
        <v>50841424</v>
      </c>
      <c r="AC46">
        <f ca="1">IFERROR(IF(0=LEN(ReferenceData!$AC$46),"",ReferenceData!$AC$46),"")</f>
        <v>43393744</v>
      </c>
      <c r="AD46">
        <f ca="1">IFERROR(IF(0=LEN(ReferenceData!$AD$46),"",ReferenceData!$AD$46),"")</f>
        <v>46697479</v>
      </c>
      <c r="AE46">
        <f ca="1">IFERROR(IF(0=LEN(ReferenceData!$AE$46),"",ReferenceData!$AE$46),"")</f>
        <v>46983754</v>
      </c>
      <c r="AF46">
        <f ca="1">IFERROR(IF(0=LEN(ReferenceData!$AF$46),"",ReferenceData!$AF$46),"")</f>
        <v>43924746</v>
      </c>
      <c r="AG46">
        <f ca="1">IFERROR(IF(0=LEN(ReferenceData!$AG$46),"",ReferenceData!$AG$46),"")</f>
        <v>44298480</v>
      </c>
      <c r="AH46">
        <f ca="1">IFERROR(IF(0=LEN(ReferenceData!$AH$46),"",ReferenceData!$AH$46),"")</f>
        <v>50376450</v>
      </c>
      <c r="AI46">
        <f ca="1">IFERROR(IF(0=LEN(ReferenceData!$AI$46),"",ReferenceData!$AI$46),"")</f>
        <v>48048913</v>
      </c>
      <c r="AJ46">
        <f ca="1">IFERROR(IF(0=LEN(ReferenceData!$AJ$46),"",ReferenceData!$AJ$46),"")</f>
        <v>45091362</v>
      </c>
      <c r="AK46">
        <f ca="1">IFERROR(IF(0=LEN(ReferenceData!$AK$46),"",ReferenceData!$AK$46),"")</f>
        <v>46672275</v>
      </c>
      <c r="AL46">
        <f ca="1">IFERROR(IF(0=LEN(ReferenceData!$AL$46),"",ReferenceData!$AL$46),"")</f>
        <v>37487992</v>
      </c>
      <c r="AM46">
        <f ca="1">IFERROR(IF(0=LEN(ReferenceData!$AM$46),"",ReferenceData!$AM$46),"")</f>
        <v>42230410</v>
      </c>
      <c r="AN46">
        <f ca="1">IFERROR(IF(0=LEN(ReferenceData!$AN$46),"",ReferenceData!$AN$46),"")</f>
        <v>46498710</v>
      </c>
      <c r="AO46">
        <f ca="1">IFERROR(IF(0=LEN(ReferenceData!$AO$46),"",ReferenceData!$AO$46),"")</f>
        <v>41625299</v>
      </c>
      <c r="AP46">
        <f ca="1">IFERROR(IF(0=LEN(ReferenceData!$AP$46),"",ReferenceData!$AP$46),"")</f>
        <v>46477183</v>
      </c>
      <c r="AQ46">
        <f ca="1">IFERROR(IF(0=LEN(ReferenceData!$AQ$46),"",ReferenceData!$AQ$46),"")</f>
        <v>45570414</v>
      </c>
      <c r="AR46">
        <f ca="1">IFERROR(IF(0=LEN(ReferenceData!$AR$46),"",ReferenceData!$AR$46),"")</f>
        <v>46072594</v>
      </c>
      <c r="AS46">
        <f ca="1">IFERROR(IF(0=LEN(ReferenceData!$AS$46),"",ReferenceData!$AS$46),"")</f>
        <v>43641597</v>
      </c>
      <c r="AT46">
        <f ca="1">IFERROR(IF(0=LEN(ReferenceData!$AT$46),"",ReferenceData!$AT$46),"")</f>
        <v>51793575</v>
      </c>
      <c r="AU46">
        <f ca="1">IFERROR(IF(0=LEN(ReferenceData!$AU$46),"",ReferenceData!$AU$46),"")</f>
        <v>47782064</v>
      </c>
      <c r="AV46">
        <f ca="1">IFERROR(IF(0=LEN(ReferenceData!$AV$46),"",ReferenceData!$AV$46),"")</f>
        <v>45262519</v>
      </c>
      <c r="AW46">
        <f ca="1">IFERROR(IF(0=LEN(ReferenceData!$AW$46),"",ReferenceData!$AW$46),"")</f>
        <v>46729533</v>
      </c>
      <c r="AX46">
        <f ca="1">IFERROR(IF(0=LEN(ReferenceData!$AX$46),"",ReferenceData!$AX$46),"")</f>
        <v>38792290</v>
      </c>
      <c r="AY46">
        <f ca="1">IFERROR(IF(0=LEN(ReferenceData!$AY$46),"",ReferenceData!$AY$46),"")</f>
        <v>40490606</v>
      </c>
      <c r="AZ46">
        <f ca="1">IFERROR(IF(0=LEN(ReferenceData!$AZ$46),"",ReferenceData!$AZ$46),"")</f>
        <v>47374514</v>
      </c>
      <c r="BA46">
        <f ca="1">IFERROR(IF(0=LEN(ReferenceData!$BA$46),"",ReferenceData!$BA$46),"")</f>
        <v>43303427</v>
      </c>
      <c r="BB46">
        <f ca="1">IFERROR(IF(0=LEN(ReferenceData!$BB$46),"",ReferenceData!$BB$46),"")</f>
        <v>42186810</v>
      </c>
      <c r="BC46">
        <f ca="1">IFERROR(IF(0=LEN(ReferenceData!$BC$46),"",ReferenceData!$BC$46),"")</f>
        <v>41971932</v>
      </c>
      <c r="BD46">
        <f ca="1">IFERROR(IF(0=LEN(ReferenceData!$BD$46),"",ReferenceData!$BD$46),"")</f>
        <v>45435000</v>
      </c>
      <c r="BE46">
        <f ca="1">IFERROR(IF(0=LEN(ReferenceData!$BE$46),"",ReferenceData!$BE$46),"")</f>
        <v>41006078</v>
      </c>
      <c r="BF46">
        <f ca="1">IFERROR(IF(0=LEN(ReferenceData!$BF$46),"",ReferenceData!$BF$46),"")</f>
        <v>48936781</v>
      </c>
      <c r="BG46">
        <f ca="1">IFERROR(IF(0=LEN(ReferenceData!$BG$46),"",ReferenceData!$BG$46),"")</f>
        <v>46204099</v>
      </c>
      <c r="BH46">
        <f ca="1">IFERROR(IF(0=LEN(ReferenceData!$BH$46),"",ReferenceData!$BH$46),"")</f>
        <v>42001510</v>
      </c>
      <c r="BI46">
        <f ca="1">IFERROR(IF(0=LEN(ReferenceData!$BI$46),"",ReferenceData!$BI$46),"")</f>
        <v>36386165</v>
      </c>
      <c r="BJ46">
        <f ca="1">IFERROR(IF(0=LEN(ReferenceData!$BJ$46),"",ReferenceData!$BJ$46),"")</f>
        <v>39135453</v>
      </c>
      <c r="BK46">
        <f ca="1">IFERROR(IF(0=LEN(ReferenceData!$BK$46),"",ReferenceData!$BK$46),"")</f>
        <v>41765945</v>
      </c>
      <c r="BL46">
        <f ca="1">IFERROR(IF(0=LEN(ReferenceData!$BL$46),"",ReferenceData!$BL$46),"")</f>
        <v>45758600</v>
      </c>
      <c r="BM46">
        <f ca="1">IFERROR(IF(0=LEN(ReferenceData!$BM$46),"",ReferenceData!$BM$46),"")</f>
        <v>39390578</v>
      </c>
      <c r="BN46">
        <f ca="1">IFERROR(IF(0=LEN(ReferenceData!$BN$46),"",ReferenceData!$BN$46),"")</f>
        <v>40178332</v>
      </c>
      <c r="BO46">
        <f ca="1">IFERROR(IF(0=LEN(ReferenceData!$BO$46),"",ReferenceData!$BO$46),"")</f>
        <v>43514004</v>
      </c>
      <c r="BP46">
        <f ca="1">IFERROR(IF(0=LEN(ReferenceData!$BP$46),"",ReferenceData!$BP$46),"")</f>
        <v>42438938</v>
      </c>
      <c r="BQ46">
        <f ca="1">IFERROR(IF(0=LEN(ReferenceData!$BQ$46),"",ReferenceData!$BQ$46),"")</f>
        <v>40695923</v>
      </c>
      <c r="BR46">
        <f ca="1">IFERROR(IF(0=LEN(ReferenceData!$BR$46),"",ReferenceData!$BR$46),"")</f>
        <v>47289706</v>
      </c>
      <c r="BS46">
        <f ca="1">IFERROR(IF(0=LEN(ReferenceData!$BS$46),"",ReferenceData!$BS$46),"")</f>
        <v>44972492</v>
      </c>
      <c r="BT46">
        <f ca="1">IFERROR(IF(0=LEN(ReferenceData!$BT$46),"",ReferenceData!$BT$46),"")</f>
        <v>42607421</v>
      </c>
      <c r="BU46">
        <f ca="1">IFERROR(IF(0=LEN(ReferenceData!$BU$46),"",ReferenceData!$BU$46),"")</f>
        <v>42082040</v>
      </c>
      <c r="BV46">
        <f ca="1">IFERROR(IF(0=LEN(ReferenceData!$BV$46),"",ReferenceData!$BV$46),"")</f>
        <v>38500330</v>
      </c>
      <c r="BW46">
        <f ca="1">IFERROR(IF(0=LEN(ReferenceData!$BW$46),"",ReferenceData!$BW$46),"")</f>
        <v>41059531</v>
      </c>
      <c r="BX46">
        <f ca="1">IFERROR(IF(0=LEN(ReferenceData!$BX$46),"",ReferenceData!$BX$46),"")</f>
        <v>46190734</v>
      </c>
      <c r="BY46">
        <f ca="1">IFERROR(IF(0=LEN(ReferenceData!$BY$46),"",ReferenceData!$BY$46),"")</f>
        <v>41348109</v>
      </c>
      <c r="BZ46">
        <f ca="1">IFERROR(IF(0=LEN(ReferenceData!$BZ$46),"",ReferenceData!$BZ$46),"")</f>
        <v>41002937</v>
      </c>
      <c r="CA46">
        <f ca="1">IFERROR(IF(0=LEN(ReferenceData!$CA$46),"",ReferenceData!$CA$46),"")</f>
        <v>43371227</v>
      </c>
      <c r="CB46">
        <f ca="1">IFERROR(IF(0=LEN(ReferenceData!$CB$46),"",ReferenceData!$CB$46),"")</f>
        <v>42769588</v>
      </c>
      <c r="CC46">
        <f ca="1">IFERROR(IF(0=LEN(ReferenceData!$CC$46),"",ReferenceData!$CC$46),"")</f>
        <v>37882878</v>
      </c>
      <c r="CD46">
        <f ca="1">IFERROR(IF(0=LEN(ReferenceData!$CD$46),"",ReferenceData!$CD$46),"")</f>
        <v>43085456</v>
      </c>
      <c r="CE46">
        <f ca="1">IFERROR(IF(0=LEN(ReferenceData!$CE$46),"",ReferenceData!$CE$46),"")</f>
        <v>44076221</v>
      </c>
      <c r="CF46">
        <f ca="1">IFERROR(IF(0=LEN(ReferenceData!$CF$46),"",ReferenceData!$CF$46),"")</f>
        <v>42289364</v>
      </c>
      <c r="CG46">
        <f ca="1">IFERROR(IF(0=LEN(ReferenceData!$CG$46),"",ReferenceData!$CG$46),"")</f>
        <v>39089355</v>
      </c>
      <c r="CH46">
        <f ca="1">IFERROR(IF(0=LEN(ReferenceData!$CH$46),"",ReferenceData!$CH$46),"")</f>
        <v>35668175</v>
      </c>
      <c r="CI46">
        <f ca="1">IFERROR(IF(0=LEN(ReferenceData!$CI$46),"",ReferenceData!$CI$46),"")</f>
        <v>40297404</v>
      </c>
      <c r="CJ46">
        <f ca="1">IFERROR(IF(0=LEN(ReferenceData!$CJ$46),"",ReferenceData!$CJ$46),"")</f>
        <v>43937472</v>
      </c>
      <c r="CK46">
        <f ca="1">IFERROR(IF(0=LEN(ReferenceData!$CK$46),"",ReferenceData!$CK$46),"")</f>
        <v>41156294</v>
      </c>
    </row>
    <row r="47" spans="1:89" x14ac:dyDescent="0.25">
      <c r="A47" t="str">
        <f>IFERROR(IF(0=LEN(ReferenceData!$A$47),"",ReferenceData!$A$47),"")</f>
        <v>Port Hedland Cargo Statistics - Australia Port Hedland Total Exports (tonnes) - Manganese Ore Exports (tonnes)</v>
      </c>
      <c r="B47" t="str">
        <f>IFERROR(IF(0=LEN(ReferenceData!$B$47),"",ReferenceData!$B$47),"")</f>
        <v>AHEDEXMO Index</v>
      </c>
      <c r="C47" t="str">
        <f>IFERROR(IF(0=LEN(ReferenceData!$C$47),"",ReferenceData!$C$47),"")</f>
        <v>PX385</v>
      </c>
      <c r="D47" t="str">
        <f>IFERROR(IF(0=LEN(ReferenceData!$D$47),"",ReferenceData!$D$47),"")</f>
        <v>INTERVAL_SUM</v>
      </c>
      <c r="E47" t="str">
        <f>IFERROR(IF(0=LEN(ReferenceData!$E$47),"",ReferenceData!$E$47),"")</f>
        <v>Dynamic</v>
      </c>
      <c r="F47" t="str">
        <f ca="1">IFERROR(IF(0=LEN(ReferenceData!$F$47),"",ReferenceData!$F$47),"")</f>
        <v/>
      </c>
      <c r="G47">
        <f ca="1">IFERROR(IF(0=LEN(ReferenceData!$G$47),"",ReferenceData!$G$47),"")</f>
        <v>175000</v>
      </c>
      <c r="H47">
        <f ca="1">IFERROR(IF(0=LEN(ReferenceData!$H$47),"",ReferenceData!$H$47),"")</f>
        <v>120941</v>
      </c>
      <c r="I47">
        <f ca="1">IFERROR(IF(0=LEN(ReferenceData!$I$47),"",ReferenceData!$I$47),"")</f>
        <v>95000</v>
      </c>
      <c r="J47">
        <f ca="1">IFERROR(IF(0=LEN(ReferenceData!$J$47),"",ReferenceData!$J$47),"")</f>
        <v>131686</v>
      </c>
      <c r="K47">
        <f ca="1">IFERROR(IF(0=LEN(ReferenceData!$K$47),"",ReferenceData!$K$47),"")</f>
        <v>0</v>
      </c>
      <c r="L47">
        <f ca="1">IFERROR(IF(0=LEN(ReferenceData!$L$47),"",ReferenceData!$L$47),"")</f>
        <v>154903</v>
      </c>
      <c r="M47">
        <f ca="1">IFERROR(IF(0=LEN(ReferenceData!$M$47),"",ReferenceData!$M$47),"")</f>
        <v>27500</v>
      </c>
      <c r="N47">
        <f ca="1">IFERROR(IF(0=LEN(ReferenceData!$N$47),"",ReferenceData!$N$47),"")</f>
        <v>78900</v>
      </c>
      <c r="O47">
        <f ca="1">IFERROR(IF(0=LEN(ReferenceData!$O$47),"",ReferenceData!$O$47),"")</f>
        <v>200286</v>
      </c>
      <c r="P47">
        <f ca="1">IFERROR(IF(0=LEN(ReferenceData!$P$47),"",ReferenceData!$P$47),"")</f>
        <v>215000</v>
      </c>
      <c r="Q47">
        <f ca="1">IFERROR(IF(0=LEN(ReferenceData!$Q$47),"",ReferenceData!$Q$47),"")</f>
        <v>100000</v>
      </c>
      <c r="R47">
        <f ca="1">IFERROR(IF(0=LEN(ReferenceData!$R$47),"",ReferenceData!$R$47),"")</f>
        <v>115384</v>
      </c>
      <c r="S47">
        <f ca="1">IFERROR(IF(0=LEN(ReferenceData!$S$47),"",ReferenceData!$S$47),"")</f>
        <v>72400</v>
      </c>
      <c r="T47">
        <f ca="1">IFERROR(IF(0=LEN(ReferenceData!$T$47),"",ReferenceData!$T$47),"")</f>
        <v>147940</v>
      </c>
      <c r="U47">
        <f ca="1">IFERROR(IF(0=LEN(ReferenceData!$U$47),"",ReferenceData!$U$47),"")</f>
        <v>75000</v>
      </c>
      <c r="V47">
        <f ca="1">IFERROR(IF(0=LEN(ReferenceData!$V$47),"",ReferenceData!$V$47),"")</f>
        <v>70000</v>
      </c>
      <c r="W47">
        <f ca="1">IFERROR(IF(0=LEN(ReferenceData!$W$47),"",ReferenceData!$W$47),"")</f>
        <v>107252</v>
      </c>
      <c r="X47">
        <f ca="1">IFERROR(IF(0=LEN(ReferenceData!$X$47),"",ReferenceData!$X$47),"")</f>
        <v>0</v>
      </c>
      <c r="Y47">
        <f ca="1">IFERROR(IF(0=LEN(ReferenceData!$Y$47),"",ReferenceData!$Y$47),"")</f>
        <v>211398</v>
      </c>
      <c r="Z47">
        <f ca="1">IFERROR(IF(0=LEN(ReferenceData!$Z$47),"",ReferenceData!$Z$47),"")</f>
        <v>33000</v>
      </c>
      <c r="AA47">
        <f ca="1">IFERROR(IF(0=LEN(ReferenceData!$AA$47),"",ReferenceData!$AA$47),"")</f>
        <v>102300</v>
      </c>
      <c r="AB47">
        <f ca="1">IFERROR(IF(0=LEN(ReferenceData!$AB$47),"",ReferenceData!$AB$47),"")</f>
        <v>219343</v>
      </c>
      <c r="AC47">
        <f ca="1">IFERROR(IF(0=LEN(ReferenceData!$AC$47),"",ReferenceData!$AC$47),"")</f>
        <v>73500</v>
      </c>
      <c r="AD47">
        <f ca="1">IFERROR(IF(0=LEN(ReferenceData!$AD$47),"",ReferenceData!$AD$47),"")</f>
        <v>178500</v>
      </c>
      <c r="AE47">
        <f ca="1">IFERROR(IF(0=LEN(ReferenceData!$AE$47),"",ReferenceData!$AE$47),"")</f>
        <v>73500</v>
      </c>
      <c r="AF47">
        <f ca="1">IFERROR(IF(0=LEN(ReferenceData!$AF$47),"",ReferenceData!$AF$47),"")</f>
        <v>131389</v>
      </c>
      <c r="AG47">
        <f ca="1">IFERROR(IF(0=LEN(ReferenceData!$AG$47),"",ReferenceData!$AG$47),"")</f>
        <v>171174</v>
      </c>
      <c r="AH47">
        <f ca="1">IFERROR(IF(0=LEN(ReferenceData!$AH$47),"",ReferenceData!$AH$47),"")</f>
        <v>75000</v>
      </c>
      <c r="AI47">
        <f ca="1">IFERROR(IF(0=LEN(ReferenceData!$AI$47),"",ReferenceData!$AI$47),"")</f>
        <v>0</v>
      </c>
      <c r="AJ47">
        <f ca="1">IFERROR(IF(0=LEN(ReferenceData!$AJ$47),"",ReferenceData!$AJ$47),"")</f>
        <v>152000</v>
      </c>
      <c r="AK47">
        <f ca="1">IFERROR(IF(0=LEN(ReferenceData!$AK$47),"",ReferenceData!$AK$47),"")</f>
        <v>108235</v>
      </c>
      <c r="AL47">
        <f ca="1">IFERROR(IF(0=LEN(ReferenceData!$AL$47),"",ReferenceData!$AL$47),"")</f>
        <v>0</v>
      </c>
      <c r="AM47">
        <f ca="1">IFERROR(IF(0=LEN(ReferenceData!$AM$47),"",ReferenceData!$AM$47),"")</f>
        <v>100000</v>
      </c>
      <c r="AN47">
        <f ca="1">IFERROR(IF(0=LEN(ReferenceData!$AN$47),"",ReferenceData!$AN$47),"")</f>
        <v>220640</v>
      </c>
      <c r="AO47">
        <f ca="1">IFERROR(IF(0=LEN(ReferenceData!$AO$47),"",ReferenceData!$AO$47),"")</f>
        <v>0</v>
      </c>
      <c r="AP47">
        <f ca="1">IFERROR(IF(0=LEN(ReferenceData!$AP$47),"",ReferenceData!$AP$47),"")</f>
        <v>220500</v>
      </c>
      <c r="AQ47">
        <f ca="1">IFERROR(IF(0=LEN(ReferenceData!$AQ$47),"",ReferenceData!$AQ$47),"")</f>
        <v>103000</v>
      </c>
      <c r="AR47">
        <f ca="1">IFERROR(IF(0=LEN(ReferenceData!$AR$47),"",ReferenceData!$AR$47),"")</f>
        <v>0</v>
      </c>
      <c r="AS47">
        <f ca="1">IFERROR(IF(0=LEN(ReferenceData!$AS$47),"",ReferenceData!$AS$47),"")</f>
        <v>104200</v>
      </c>
      <c r="AT47">
        <f ca="1">IFERROR(IF(0=LEN(ReferenceData!$AT$47),"",ReferenceData!$AT$47),"")</f>
        <v>96800</v>
      </c>
      <c r="AU47">
        <f ca="1">IFERROR(IF(0=LEN(ReferenceData!$AU$47),"",ReferenceData!$AU$47),"")</f>
        <v>201125</v>
      </c>
      <c r="AV47">
        <f ca="1">IFERROR(IF(0=LEN(ReferenceData!$AV$47),"",ReferenceData!$AV$47),"")</f>
        <v>100000</v>
      </c>
      <c r="AW47">
        <f ca="1">IFERROR(IF(0=LEN(ReferenceData!$AW$47),"",ReferenceData!$AW$47),"")</f>
        <v>106400</v>
      </c>
      <c r="AX47">
        <f ca="1">IFERROR(IF(0=LEN(ReferenceData!$AX$47),"",ReferenceData!$AX$47),"")</f>
        <v>33000</v>
      </c>
      <c r="AY47">
        <f ca="1">IFERROR(IF(0=LEN(ReferenceData!$AY$47),"",ReferenceData!$AY$47),"")</f>
        <v>112288</v>
      </c>
      <c r="AZ47">
        <f ca="1">IFERROR(IF(0=LEN(ReferenceData!$AZ$47),"",ReferenceData!$AZ$47),"")</f>
        <v>112560</v>
      </c>
      <c r="BA47">
        <f ca="1">IFERROR(IF(0=LEN(ReferenceData!$BA$47),"",ReferenceData!$BA$47),"")</f>
        <v>112650</v>
      </c>
      <c r="BB47">
        <f ca="1">IFERROR(IF(0=LEN(ReferenceData!$BB$47),"",ReferenceData!$BB$47),"")</f>
        <v>112485</v>
      </c>
      <c r="BC47">
        <f ca="1">IFERROR(IF(0=LEN(ReferenceData!$BC$47),"",ReferenceData!$BC$47),"")</f>
        <v>112510</v>
      </c>
      <c r="BD47">
        <f ca="1">IFERROR(IF(0=LEN(ReferenceData!$BD$47),"",ReferenceData!$BD$47),"")</f>
        <v>111900</v>
      </c>
      <c r="BE47">
        <f ca="1">IFERROR(IF(0=LEN(ReferenceData!$BE$47),"",ReferenceData!$BE$47),"")</f>
        <v>156000</v>
      </c>
      <c r="BF47">
        <f ca="1">IFERROR(IF(0=LEN(ReferenceData!$BF$47),"",ReferenceData!$BF$47),"")</f>
        <v>110000</v>
      </c>
      <c r="BG47">
        <f ca="1">IFERROR(IF(0=LEN(ReferenceData!$BG$47),"",ReferenceData!$BG$47),"")</f>
        <v>110000</v>
      </c>
      <c r="BH47">
        <f ca="1">IFERROR(IF(0=LEN(ReferenceData!$BH$47),"",ReferenceData!$BH$47),"")</f>
        <v>110000</v>
      </c>
      <c r="BI47">
        <f ca="1">IFERROR(IF(0=LEN(ReferenceData!$BI$47),"",ReferenceData!$BI$47),"")</f>
        <v>108000</v>
      </c>
      <c r="BJ47">
        <f ca="1">IFERROR(IF(0=LEN(ReferenceData!$BJ$47),"",ReferenceData!$BJ$47),"")</f>
        <v>105000</v>
      </c>
      <c r="BK47">
        <f ca="1">IFERROR(IF(0=LEN(ReferenceData!$BK$47),"",ReferenceData!$BK$47),"")</f>
        <v>88000</v>
      </c>
      <c r="BL47">
        <f ca="1">IFERROR(IF(0=LEN(ReferenceData!$BL$47),"",ReferenceData!$BL$47),"")</f>
        <v>101000</v>
      </c>
      <c r="BM47">
        <f ca="1">IFERROR(IF(0=LEN(ReferenceData!$BM$47),"",ReferenceData!$BM$47),"")</f>
        <v>160250</v>
      </c>
      <c r="BN47">
        <f ca="1">IFERROR(IF(0=LEN(ReferenceData!$BN$47),"",ReferenceData!$BN$47),"")</f>
        <v>93167</v>
      </c>
      <c r="BO47">
        <f ca="1">IFERROR(IF(0=LEN(ReferenceData!$BO$47),"",ReferenceData!$BO$47),"")</f>
        <v>147000</v>
      </c>
      <c r="BP47">
        <f ca="1">IFERROR(IF(0=LEN(ReferenceData!$BP$47),"",ReferenceData!$BP$47),"")</f>
        <v>111660</v>
      </c>
      <c r="BQ47">
        <f ca="1">IFERROR(IF(0=LEN(ReferenceData!$BQ$47),"",ReferenceData!$BQ$47),"")</f>
        <v>110200</v>
      </c>
      <c r="BR47">
        <f ca="1">IFERROR(IF(0=LEN(ReferenceData!$BR$47),"",ReferenceData!$BR$47),"")</f>
        <v>127865</v>
      </c>
      <c r="BS47">
        <f ca="1">IFERROR(IF(0=LEN(ReferenceData!$BS$47),"",ReferenceData!$BS$47),"")</f>
        <v>101350</v>
      </c>
      <c r="BT47">
        <f ca="1">IFERROR(IF(0=LEN(ReferenceData!$BT$47),"",ReferenceData!$BT$47),"")</f>
        <v>200970</v>
      </c>
      <c r="BU47" t="str">
        <f ca="1">IFERROR(IF(0=LEN(ReferenceData!$BU$47),"",ReferenceData!$BU$47),"")</f>
        <v/>
      </c>
      <c r="BV47">
        <f ca="1">IFERROR(IF(0=LEN(ReferenceData!$BV$47),"",ReferenceData!$BV$47),"")</f>
        <v>74000</v>
      </c>
      <c r="BW47">
        <f ca="1">IFERROR(IF(0=LEN(ReferenceData!$BW$47),"",ReferenceData!$BW$47),"")</f>
        <v>61160</v>
      </c>
      <c r="BX47">
        <f ca="1">IFERROR(IF(0=LEN(ReferenceData!$BX$47),"",ReferenceData!$BX$47),"")</f>
        <v>80000</v>
      </c>
      <c r="BY47">
        <f ca="1">IFERROR(IF(0=LEN(ReferenceData!$BY$47),"",ReferenceData!$BY$47),"")</f>
        <v>71500</v>
      </c>
      <c r="BZ47">
        <f ca="1">IFERROR(IF(0=LEN(ReferenceData!$BZ$47),"",ReferenceData!$BZ$47),"")</f>
        <v>56668</v>
      </c>
      <c r="CA47">
        <f ca="1">IFERROR(IF(0=LEN(ReferenceData!$CA$47),"",ReferenceData!$CA$47),"")</f>
        <v>0</v>
      </c>
      <c r="CB47">
        <f ca="1">IFERROR(IF(0=LEN(ReferenceData!$CB$47),"",ReferenceData!$CB$47),"")</f>
        <v>106500</v>
      </c>
      <c r="CC47">
        <f ca="1">IFERROR(IF(0=LEN(ReferenceData!$CC$47),"",ReferenceData!$CC$47),"")</f>
        <v>41997</v>
      </c>
      <c r="CD47">
        <f ca="1">IFERROR(IF(0=LEN(ReferenceData!$CD$47),"",ReferenceData!$CD$47),"")</f>
        <v>75600</v>
      </c>
      <c r="CE47">
        <f ca="1">IFERROR(IF(0=LEN(ReferenceData!$CE$47),"",ReferenceData!$CE$47),"")</f>
        <v>0</v>
      </c>
      <c r="CF47">
        <f ca="1">IFERROR(IF(0=LEN(ReferenceData!$CF$47),"",ReferenceData!$CF$47),"")</f>
        <v>59997</v>
      </c>
      <c r="CG47">
        <f ca="1">IFERROR(IF(0=LEN(ReferenceData!$CG$47),"",ReferenceData!$CG$47),"")</f>
        <v>45953</v>
      </c>
      <c r="CH47">
        <f ca="1">IFERROR(IF(0=LEN(ReferenceData!$CH$47),"",ReferenceData!$CH$47),"")</f>
        <v>0</v>
      </c>
      <c r="CI47">
        <f ca="1">IFERROR(IF(0=LEN(ReferenceData!$CI$47),"",ReferenceData!$CI$47),"")</f>
        <v>0</v>
      </c>
      <c r="CJ47">
        <f ca="1">IFERROR(IF(0=LEN(ReferenceData!$CJ$47),"",ReferenceData!$CJ$47),"")</f>
        <v>44102</v>
      </c>
      <c r="CK47">
        <f ca="1">IFERROR(IF(0=LEN(ReferenceData!$CK$47),"",ReferenceData!$CK$47),"")</f>
        <v>36356</v>
      </c>
    </row>
    <row r="48" spans="1:89" x14ac:dyDescent="0.25">
      <c r="A48" t="str">
        <f>IFERROR(IF(0=LEN(ReferenceData!$A$48),"",ReferenceData!$A$48),"")</f>
        <v>Port Hedland Cargo Statistics - Australia Port Hedland Total Exports (tonnes) - Salt Exports (tonnes)</v>
      </c>
      <c r="B48" t="str">
        <f>IFERROR(IF(0=LEN(ReferenceData!$B$48),"",ReferenceData!$B$48),"")</f>
        <v>AHEDEXSL Index</v>
      </c>
      <c r="C48" t="str">
        <f>IFERROR(IF(0=LEN(ReferenceData!$C$48),"",ReferenceData!$C$48),"")</f>
        <v>PX385</v>
      </c>
      <c r="D48" t="str">
        <f>IFERROR(IF(0=LEN(ReferenceData!$D$48),"",ReferenceData!$D$48),"")</f>
        <v>INTERVAL_SUM</v>
      </c>
      <c r="E48" t="str">
        <f>IFERROR(IF(0=LEN(ReferenceData!$E$48),"",ReferenceData!$E$48),"")</f>
        <v>Dynamic</v>
      </c>
      <c r="F48" t="str">
        <f ca="1">IFERROR(IF(0=LEN(ReferenceData!$F$48),"",ReferenceData!$F$48),"")</f>
        <v/>
      </c>
      <c r="G48">
        <f ca="1">IFERROR(IF(0=LEN(ReferenceData!$G$48),"",ReferenceData!$G$48),"")</f>
        <v>125853</v>
      </c>
      <c r="H48">
        <f ca="1">IFERROR(IF(0=LEN(ReferenceData!$H$48),"",ReferenceData!$H$48),"")</f>
        <v>354996</v>
      </c>
      <c r="I48">
        <f ca="1">IFERROR(IF(0=LEN(ReferenceData!$I$48),"",ReferenceData!$I$48),"")</f>
        <v>395401</v>
      </c>
      <c r="J48">
        <f ca="1">IFERROR(IF(0=LEN(ReferenceData!$J$48),"",ReferenceData!$J$48),"")</f>
        <v>259935</v>
      </c>
      <c r="K48">
        <f ca="1">IFERROR(IF(0=LEN(ReferenceData!$K$48),"",ReferenceData!$K$48),"")</f>
        <v>157991</v>
      </c>
      <c r="L48">
        <f ca="1">IFERROR(IF(0=LEN(ReferenceData!$L$48),"",ReferenceData!$L$48),"")</f>
        <v>126746</v>
      </c>
      <c r="M48">
        <f ca="1">IFERROR(IF(0=LEN(ReferenceData!$M$48),"",ReferenceData!$M$48),"")</f>
        <v>329245</v>
      </c>
      <c r="N48">
        <f ca="1">IFERROR(IF(0=LEN(ReferenceData!$N$48),"",ReferenceData!$N$48),"")</f>
        <v>135498</v>
      </c>
      <c r="O48">
        <f ca="1">IFERROR(IF(0=LEN(ReferenceData!$O$48),"",ReferenceData!$O$48),"")</f>
        <v>251030</v>
      </c>
      <c r="P48">
        <f ca="1">IFERROR(IF(0=LEN(ReferenceData!$P$48),"",ReferenceData!$P$48),"")</f>
        <v>377581</v>
      </c>
      <c r="Q48">
        <f ca="1">IFERROR(IF(0=LEN(ReferenceData!$Q$48),"",ReferenceData!$Q$48),"")</f>
        <v>239481</v>
      </c>
      <c r="R48">
        <f ca="1">IFERROR(IF(0=LEN(ReferenceData!$R$48),"",ReferenceData!$R$48),"")</f>
        <v>223348</v>
      </c>
      <c r="S48">
        <f ca="1">IFERROR(IF(0=LEN(ReferenceData!$S$48),"",ReferenceData!$S$48),"")</f>
        <v>0</v>
      </c>
      <c r="T48">
        <f ca="1">IFERROR(IF(0=LEN(ReferenceData!$T$48),"",ReferenceData!$T$48),"")</f>
        <v>413256</v>
      </c>
      <c r="U48">
        <f ca="1">IFERROR(IF(0=LEN(ReferenceData!$U$48),"",ReferenceData!$U$48),"")</f>
        <v>307529</v>
      </c>
      <c r="V48">
        <f ca="1">IFERROR(IF(0=LEN(ReferenceData!$V$48),"",ReferenceData!$V$48),"")</f>
        <v>188736</v>
      </c>
      <c r="W48">
        <f ca="1">IFERROR(IF(0=LEN(ReferenceData!$W$48),"",ReferenceData!$W$48),"")</f>
        <v>425538</v>
      </c>
      <c r="X48">
        <f ca="1">IFERROR(IF(0=LEN(ReferenceData!$X$48),"",ReferenceData!$X$48),"")</f>
        <v>215120</v>
      </c>
      <c r="Y48">
        <f ca="1">IFERROR(IF(0=LEN(ReferenceData!$Y$48),"",ReferenceData!$Y$48),"")</f>
        <v>332637</v>
      </c>
      <c r="Z48">
        <f ca="1">IFERROR(IF(0=LEN(ReferenceData!$Z$48),"",ReferenceData!$Z$48),"")</f>
        <v>221024</v>
      </c>
      <c r="AA48">
        <f ca="1">IFERROR(IF(0=LEN(ReferenceData!$AA$48),"",ReferenceData!$AA$48),"")</f>
        <v>306106</v>
      </c>
      <c r="AB48">
        <f ca="1">IFERROR(IF(0=LEN(ReferenceData!$AB$48),"",ReferenceData!$AB$48),"")</f>
        <v>257489</v>
      </c>
      <c r="AC48">
        <f ca="1">IFERROR(IF(0=LEN(ReferenceData!$AC$48),"",ReferenceData!$AC$48),"")</f>
        <v>217565</v>
      </c>
      <c r="AD48">
        <f ca="1">IFERROR(IF(0=LEN(ReferenceData!$AD$48),"",ReferenceData!$AD$48),"")</f>
        <v>233291</v>
      </c>
      <c r="AE48">
        <f ca="1">IFERROR(IF(0=LEN(ReferenceData!$AE$48),"",ReferenceData!$AE$48),"")</f>
        <v>137720</v>
      </c>
      <c r="AF48">
        <f ca="1">IFERROR(IF(0=LEN(ReferenceData!$AF$48),"",ReferenceData!$AF$48),"")</f>
        <v>348528</v>
      </c>
      <c r="AG48">
        <f ca="1">IFERROR(IF(0=LEN(ReferenceData!$AG$48),"",ReferenceData!$AG$48),"")</f>
        <v>270026</v>
      </c>
      <c r="AH48">
        <f ca="1">IFERROR(IF(0=LEN(ReferenceData!$AH$48),"",ReferenceData!$AH$48),"")</f>
        <v>127915</v>
      </c>
      <c r="AI48">
        <f ca="1">IFERROR(IF(0=LEN(ReferenceData!$AI$48),"",ReferenceData!$AI$48),"")</f>
        <v>176321</v>
      </c>
      <c r="AJ48">
        <f ca="1">IFERROR(IF(0=LEN(ReferenceData!$AJ$48),"",ReferenceData!$AJ$48),"")</f>
        <v>256643</v>
      </c>
      <c r="AK48">
        <f ca="1">IFERROR(IF(0=LEN(ReferenceData!$AK$48),"",ReferenceData!$AK$48),"")</f>
        <v>339795</v>
      </c>
      <c r="AL48">
        <f ca="1">IFERROR(IF(0=LEN(ReferenceData!$AL$48),"",ReferenceData!$AL$48),"")</f>
        <v>211956</v>
      </c>
      <c r="AM48">
        <f ca="1">IFERROR(IF(0=LEN(ReferenceData!$AM$48),"",ReferenceData!$AM$48),"")</f>
        <v>142448</v>
      </c>
      <c r="AN48">
        <f ca="1">IFERROR(IF(0=LEN(ReferenceData!$AN$48),"",ReferenceData!$AN$48),"")</f>
        <v>376757</v>
      </c>
      <c r="AO48">
        <f ca="1">IFERROR(IF(0=LEN(ReferenceData!$AO$48),"",ReferenceData!$AO$48),"")</f>
        <v>0</v>
      </c>
      <c r="AP48">
        <f ca="1">IFERROR(IF(0=LEN(ReferenceData!$AP$48),"",ReferenceData!$AP$48),"")</f>
        <v>198039</v>
      </c>
      <c r="AQ48">
        <f ca="1">IFERROR(IF(0=LEN(ReferenceData!$AQ$48),"",ReferenceData!$AQ$48),"")</f>
        <v>177535</v>
      </c>
      <c r="AR48">
        <f ca="1">IFERROR(IF(0=LEN(ReferenceData!$AR$48),"",ReferenceData!$AR$48),"")</f>
        <v>279566</v>
      </c>
      <c r="AS48">
        <f ca="1">IFERROR(IF(0=LEN(ReferenceData!$AS$48),"",ReferenceData!$AS$48),"")</f>
        <v>73250</v>
      </c>
      <c r="AT48">
        <f ca="1">IFERROR(IF(0=LEN(ReferenceData!$AT$48),"",ReferenceData!$AT$48),"")</f>
        <v>211754</v>
      </c>
      <c r="AU48">
        <f ca="1">IFERROR(IF(0=LEN(ReferenceData!$AU$48),"",ReferenceData!$AU$48),"")</f>
        <v>187224</v>
      </c>
      <c r="AV48">
        <f ca="1">IFERROR(IF(0=LEN(ReferenceData!$AV$48),"",ReferenceData!$AV$48),"")</f>
        <v>183489</v>
      </c>
      <c r="AW48">
        <f ca="1">IFERROR(IF(0=LEN(ReferenceData!$AW$48),"",ReferenceData!$AW$48),"")</f>
        <v>176928</v>
      </c>
      <c r="AX48">
        <f ca="1">IFERROR(IF(0=LEN(ReferenceData!$AX$48),"",ReferenceData!$AX$48),"")</f>
        <v>102924</v>
      </c>
      <c r="AY48">
        <f ca="1">IFERROR(IF(0=LEN(ReferenceData!$AY$48),"",ReferenceData!$AY$48),"")</f>
        <v>216236</v>
      </c>
      <c r="AZ48">
        <f ca="1">IFERROR(IF(0=LEN(ReferenceData!$AZ$48),"",ReferenceData!$AZ$48),"")</f>
        <v>174921</v>
      </c>
      <c r="BA48">
        <f ca="1">IFERROR(IF(0=LEN(ReferenceData!$BA$48),"",ReferenceData!$BA$48),"")</f>
        <v>188509</v>
      </c>
      <c r="BB48">
        <f ca="1">IFERROR(IF(0=LEN(ReferenceData!$BB$48),"",ReferenceData!$BB$48),"")</f>
        <v>127327</v>
      </c>
      <c r="BC48">
        <f ca="1">IFERROR(IF(0=LEN(ReferenceData!$BC$48),"",ReferenceData!$BC$48),"")</f>
        <v>36125</v>
      </c>
      <c r="BD48">
        <f ca="1">IFERROR(IF(0=LEN(ReferenceData!$BD$48),"",ReferenceData!$BD$48),"")</f>
        <v>417484</v>
      </c>
      <c r="BE48">
        <f ca="1">IFERROR(IF(0=LEN(ReferenceData!$BE$48),"",ReferenceData!$BE$48),"")</f>
        <v>385110</v>
      </c>
      <c r="BF48">
        <f ca="1">IFERROR(IF(0=LEN(ReferenceData!$BF$48),"",ReferenceData!$BF$48),"")</f>
        <v>0</v>
      </c>
      <c r="BG48">
        <f ca="1">IFERROR(IF(0=LEN(ReferenceData!$BG$48),"",ReferenceData!$BG$48),"")</f>
        <v>144756</v>
      </c>
      <c r="BH48">
        <f ca="1">IFERROR(IF(0=LEN(ReferenceData!$BH$48),"",ReferenceData!$BH$48),"")</f>
        <v>314732</v>
      </c>
      <c r="BI48">
        <f ca="1">IFERROR(IF(0=LEN(ReferenceData!$BI$48),"",ReferenceData!$BI$48),"")</f>
        <v>51167</v>
      </c>
      <c r="BJ48">
        <f ca="1">IFERROR(IF(0=LEN(ReferenceData!$BJ$48),"",ReferenceData!$BJ$48),"")</f>
        <v>0</v>
      </c>
      <c r="BK48">
        <f ca="1">IFERROR(IF(0=LEN(ReferenceData!$BK$48),"",ReferenceData!$BK$48),"")</f>
        <v>210139</v>
      </c>
      <c r="BL48">
        <f ca="1">IFERROR(IF(0=LEN(ReferenceData!$BL$48),"",ReferenceData!$BL$48),"")</f>
        <v>201809</v>
      </c>
      <c r="BM48">
        <f ca="1">IFERROR(IF(0=LEN(ReferenceData!$BM$48),"",ReferenceData!$BM$48),"")</f>
        <v>236991</v>
      </c>
      <c r="BN48">
        <f ca="1">IFERROR(IF(0=LEN(ReferenceData!$BN$48),"",ReferenceData!$BN$48),"")</f>
        <v>229295</v>
      </c>
      <c r="BO48">
        <f ca="1">IFERROR(IF(0=LEN(ReferenceData!$BO$48),"",ReferenceData!$BO$48),"")</f>
        <v>97780</v>
      </c>
      <c r="BP48">
        <f ca="1">IFERROR(IF(0=LEN(ReferenceData!$BP$48),"",ReferenceData!$BP$48),"")</f>
        <v>351162</v>
      </c>
      <c r="BQ48">
        <f ca="1">IFERROR(IF(0=LEN(ReferenceData!$BQ$48),"",ReferenceData!$BQ$48),"")</f>
        <v>326534</v>
      </c>
      <c r="BR48">
        <f ca="1">IFERROR(IF(0=LEN(ReferenceData!$BR$48),"",ReferenceData!$BR$48),"")</f>
        <v>292369</v>
      </c>
      <c r="BS48">
        <f ca="1">IFERROR(IF(0=LEN(ReferenceData!$BS$48),"",ReferenceData!$BS$48),"")</f>
        <v>386431</v>
      </c>
      <c r="BT48">
        <f ca="1">IFERROR(IF(0=LEN(ReferenceData!$BT$48),"",ReferenceData!$BT$48),"")</f>
        <v>310519</v>
      </c>
      <c r="BU48">
        <f ca="1">IFERROR(IF(0=LEN(ReferenceData!$BU$48),"",ReferenceData!$BU$48),"")</f>
        <v>302045</v>
      </c>
      <c r="BV48">
        <f ca="1">IFERROR(IF(0=LEN(ReferenceData!$BV$48),"",ReferenceData!$BV$48),"")</f>
        <v>350025</v>
      </c>
      <c r="BW48">
        <f ca="1">IFERROR(IF(0=LEN(ReferenceData!$BW$48),"",ReferenceData!$BW$48),"")</f>
        <v>240502</v>
      </c>
      <c r="BX48">
        <f ca="1">IFERROR(IF(0=LEN(ReferenceData!$BX$48),"",ReferenceData!$BX$48),"")</f>
        <v>289702</v>
      </c>
      <c r="BY48">
        <f ca="1">IFERROR(IF(0=LEN(ReferenceData!$BY$48),"",ReferenceData!$BY$48),"")</f>
        <v>375415</v>
      </c>
      <c r="BZ48">
        <f ca="1">IFERROR(IF(0=LEN(ReferenceData!$BZ$48),"",ReferenceData!$BZ$48),"")</f>
        <v>341252</v>
      </c>
      <c r="CA48">
        <f ca="1">IFERROR(IF(0=LEN(ReferenceData!$CA$48),"",ReferenceData!$CA$48),"")</f>
        <v>295795</v>
      </c>
      <c r="CB48">
        <f ca="1">IFERROR(IF(0=LEN(ReferenceData!$CB$48),"",ReferenceData!$CB$48),"")</f>
        <v>268041</v>
      </c>
      <c r="CC48">
        <f ca="1">IFERROR(IF(0=LEN(ReferenceData!$CC$48),"",ReferenceData!$CC$48),"")</f>
        <v>323937</v>
      </c>
      <c r="CD48">
        <f ca="1">IFERROR(IF(0=LEN(ReferenceData!$CD$48),"",ReferenceData!$CD$48),"")</f>
        <v>324393</v>
      </c>
      <c r="CE48">
        <f ca="1">IFERROR(IF(0=LEN(ReferenceData!$CE$48),"",ReferenceData!$CE$48),"")</f>
        <v>218570</v>
      </c>
      <c r="CF48">
        <f ca="1">IFERROR(IF(0=LEN(ReferenceData!$CF$48),"",ReferenceData!$CF$48),"")</f>
        <v>326423</v>
      </c>
      <c r="CG48">
        <f ca="1">IFERROR(IF(0=LEN(ReferenceData!$CG$48),"",ReferenceData!$CG$48),"")</f>
        <v>194579</v>
      </c>
      <c r="CH48">
        <f ca="1">IFERROR(IF(0=LEN(ReferenceData!$CH$48),"",ReferenceData!$CH$48),"")</f>
        <v>188402</v>
      </c>
      <c r="CI48">
        <f ca="1">IFERROR(IF(0=LEN(ReferenceData!$CI$48),"",ReferenceData!$CI$48),"")</f>
        <v>78857</v>
      </c>
      <c r="CJ48">
        <f ca="1">IFERROR(IF(0=LEN(ReferenceData!$CJ$48),"",ReferenceData!$CJ$48),"")</f>
        <v>328097</v>
      </c>
      <c r="CK48">
        <f ca="1">IFERROR(IF(0=LEN(ReferenceData!$CK$48),"",ReferenceData!$CK$48),"")</f>
        <v>195587</v>
      </c>
    </row>
    <row r="49" spans="1:89" x14ac:dyDescent="0.25">
      <c r="A49" t="str">
        <f>IFERROR(IF(0=LEN(ReferenceData!$A$49),"",ReferenceData!$A$49),"")</f>
        <v>Port Hedland Cargo Statistics - Australia Port Hedland Total Exports (tonnes) - Copper Concentrate Exports (tonnes)</v>
      </c>
      <c r="B49" t="str">
        <f>IFERROR(IF(0=LEN(ReferenceData!$B$49),"",ReferenceData!$B$49),"")</f>
        <v>AHEDEXCC Index</v>
      </c>
      <c r="C49" t="str">
        <f>IFERROR(IF(0=LEN(ReferenceData!$C$49),"",ReferenceData!$C$49),"")</f>
        <v>PX385</v>
      </c>
      <c r="D49" t="str">
        <f>IFERROR(IF(0=LEN(ReferenceData!$D$49),"",ReferenceData!$D$49),"")</f>
        <v>INTERVAL_SUM</v>
      </c>
      <c r="E49" t="str">
        <f>IFERROR(IF(0=LEN(ReferenceData!$E$49),"",ReferenceData!$E$49),"")</f>
        <v>Dynamic</v>
      </c>
      <c r="F49" t="str">
        <f ca="1">IFERROR(IF(0=LEN(ReferenceData!$F$49),"",ReferenceData!$F$49),"")</f>
        <v/>
      </c>
      <c r="G49">
        <f ca="1">IFERROR(IF(0=LEN(ReferenceData!$G$49),"",ReferenceData!$G$49),"")</f>
        <v>28242</v>
      </c>
      <c r="H49">
        <f ca="1">IFERROR(IF(0=LEN(ReferenceData!$H$49),"",ReferenceData!$H$49),"")</f>
        <v>11652</v>
      </c>
      <c r="I49">
        <f ca="1">IFERROR(IF(0=LEN(ReferenceData!$I$49),"",ReferenceData!$I$49),"")</f>
        <v>17684</v>
      </c>
      <c r="J49">
        <f ca="1">IFERROR(IF(0=LEN(ReferenceData!$J$49),"",ReferenceData!$J$49),"")</f>
        <v>17567</v>
      </c>
      <c r="K49">
        <f ca="1">IFERROR(IF(0=LEN(ReferenceData!$K$49),"",ReferenceData!$K$49),"")</f>
        <v>11772</v>
      </c>
      <c r="L49">
        <f ca="1">IFERROR(IF(0=LEN(ReferenceData!$L$49),"",ReferenceData!$L$49),"")</f>
        <v>11946</v>
      </c>
      <c r="M49">
        <f ca="1">IFERROR(IF(0=LEN(ReferenceData!$M$49),"",ReferenceData!$M$49),"")</f>
        <v>21355</v>
      </c>
      <c r="N49">
        <f ca="1">IFERROR(IF(0=LEN(ReferenceData!$N$49),"",ReferenceData!$N$49),"")</f>
        <v>15886</v>
      </c>
      <c r="O49">
        <f ca="1">IFERROR(IF(0=LEN(ReferenceData!$O$49),"",ReferenceData!$O$49),"")</f>
        <v>23788</v>
      </c>
      <c r="P49">
        <f ca="1">IFERROR(IF(0=LEN(ReferenceData!$P$49),"",ReferenceData!$P$49),"")</f>
        <v>11407</v>
      </c>
      <c r="Q49">
        <f ca="1">IFERROR(IF(0=LEN(ReferenceData!$Q$49),"",ReferenceData!$Q$49),"")</f>
        <v>11170</v>
      </c>
      <c r="R49">
        <f ca="1">IFERROR(IF(0=LEN(ReferenceData!$R$49),"",ReferenceData!$R$49),"")</f>
        <v>30352</v>
      </c>
      <c r="S49">
        <f ca="1">IFERROR(IF(0=LEN(ReferenceData!$S$49),"",ReferenceData!$S$49),"")</f>
        <v>17462</v>
      </c>
      <c r="T49">
        <f ca="1">IFERROR(IF(0=LEN(ReferenceData!$T$49),"",ReferenceData!$T$49),"")</f>
        <v>34625</v>
      </c>
      <c r="U49">
        <f ca="1">IFERROR(IF(0=LEN(ReferenceData!$U$49),"",ReferenceData!$U$49),"")</f>
        <v>11660</v>
      </c>
      <c r="V49">
        <f ca="1">IFERROR(IF(0=LEN(ReferenceData!$V$49),"",ReferenceData!$V$49),"")</f>
        <v>35371</v>
      </c>
      <c r="W49">
        <f ca="1">IFERROR(IF(0=LEN(ReferenceData!$W$49),"",ReferenceData!$W$49),"")</f>
        <v>10502</v>
      </c>
      <c r="X49">
        <f ca="1">IFERROR(IF(0=LEN(ReferenceData!$X$49),"",ReferenceData!$X$49),"")</f>
        <v>16671</v>
      </c>
      <c r="Y49">
        <f ca="1">IFERROR(IF(0=LEN(ReferenceData!$Y$49),"",ReferenceData!$Y$49),"")</f>
        <v>28738</v>
      </c>
      <c r="Z49">
        <f ca="1">IFERROR(IF(0=LEN(ReferenceData!$Z$49),"",ReferenceData!$Z$49),"")</f>
        <v>11652</v>
      </c>
      <c r="AA49">
        <f ca="1">IFERROR(IF(0=LEN(ReferenceData!$AA$49),"",ReferenceData!$AA$49),"")</f>
        <v>22583</v>
      </c>
      <c r="AB49">
        <f ca="1">IFERROR(IF(0=LEN(ReferenceData!$AB$49),"",ReferenceData!$AB$49),"")</f>
        <v>24172</v>
      </c>
      <c r="AC49">
        <f ca="1">IFERROR(IF(0=LEN(ReferenceData!$AC$49),"",ReferenceData!$AC$49),"")</f>
        <v>32702</v>
      </c>
      <c r="AD49">
        <f ca="1">IFERROR(IF(0=LEN(ReferenceData!$AD$49),"",ReferenceData!$AD$49),"")</f>
        <v>21732</v>
      </c>
      <c r="AE49">
        <f ca="1">IFERROR(IF(0=LEN(ReferenceData!$AE$49),"",ReferenceData!$AE$49),"")</f>
        <v>20101</v>
      </c>
      <c r="AF49">
        <f ca="1">IFERROR(IF(0=LEN(ReferenceData!$AF$49),"",ReferenceData!$AF$49),"")</f>
        <v>21603</v>
      </c>
      <c r="AG49">
        <f ca="1">IFERROR(IF(0=LEN(ReferenceData!$AG$49),"",ReferenceData!$AG$49),"")</f>
        <v>22119</v>
      </c>
      <c r="AH49">
        <f ca="1">IFERROR(IF(0=LEN(ReferenceData!$AH$49),"",ReferenceData!$AH$49),"")</f>
        <v>37312</v>
      </c>
      <c r="AI49">
        <f ca="1">IFERROR(IF(0=LEN(ReferenceData!$AI$49),"",ReferenceData!$AI$49),"")</f>
        <v>33510</v>
      </c>
      <c r="AJ49">
        <f ca="1">IFERROR(IF(0=LEN(ReferenceData!$AJ$49),"",ReferenceData!$AJ$49),"")</f>
        <v>10500</v>
      </c>
      <c r="AK49">
        <f ca="1">IFERROR(IF(0=LEN(ReferenceData!$AK$49),"",ReferenceData!$AK$49),"")</f>
        <v>33813</v>
      </c>
      <c r="AL49">
        <f ca="1">IFERROR(IF(0=LEN(ReferenceData!$AL$49),"",ReferenceData!$AL$49),"")</f>
        <v>5384</v>
      </c>
      <c r="AM49">
        <f ca="1">IFERROR(IF(0=LEN(ReferenceData!$AM$49),"",ReferenceData!$AM$49),"")</f>
        <v>33088</v>
      </c>
      <c r="AN49">
        <f ca="1">IFERROR(IF(0=LEN(ReferenceData!$AN$49),"",ReferenceData!$AN$49),"")</f>
        <v>9425</v>
      </c>
      <c r="AO49">
        <f ca="1">IFERROR(IF(0=LEN(ReferenceData!$AO$49),"",ReferenceData!$AO$49),"")</f>
        <v>17791</v>
      </c>
      <c r="AP49">
        <f ca="1">IFERROR(IF(0=LEN(ReferenceData!$AP$49),"",ReferenceData!$AP$49),"")</f>
        <v>34894</v>
      </c>
      <c r="AQ49">
        <f ca="1">IFERROR(IF(0=LEN(ReferenceData!$AQ$49),"",ReferenceData!$AQ$49),"")</f>
        <v>21814</v>
      </c>
      <c r="AR49">
        <f ca="1">IFERROR(IF(0=LEN(ReferenceData!$AR$49),"",ReferenceData!$AR$49),"")</f>
        <v>6706</v>
      </c>
      <c r="AS49">
        <f ca="1">IFERROR(IF(0=LEN(ReferenceData!$AS$49),"",ReferenceData!$AS$49),"")</f>
        <v>34946</v>
      </c>
      <c r="AT49">
        <f ca="1">IFERROR(IF(0=LEN(ReferenceData!$AT$49),"",ReferenceData!$AT$49),"")</f>
        <v>28311</v>
      </c>
      <c r="AU49">
        <f ca="1">IFERROR(IF(0=LEN(ReferenceData!$AU$49),"",ReferenceData!$AU$49),"")</f>
        <v>22924</v>
      </c>
      <c r="AV49">
        <f ca="1">IFERROR(IF(0=LEN(ReferenceData!$AV$49),"",ReferenceData!$AV$49),"")</f>
        <v>46381</v>
      </c>
      <c r="AW49">
        <f ca="1">IFERROR(IF(0=LEN(ReferenceData!$AW$49),"",ReferenceData!$AW$49),"")</f>
        <v>23872</v>
      </c>
      <c r="AX49">
        <f ca="1">IFERROR(IF(0=LEN(ReferenceData!$AX$49),"",ReferenceData!$AX$49),"")</f>
        <v>28359</v>
      </c>
      <c r="AY49">
        <f ca="1">IFERROR(IF(0=LEN(ReferenceData!$AY$49),"",ReferenceData!$AY$49),"")</f>
        <v>18743</v>
      </c>
      <c r="AZ49">
        <f ca="1">IFERROR(IF(0=LEN(ReferenceData!$AZ$49),"",ReferenceData!$AZ$49),"")</f>
        <v>42780</v>
      </c>
      <c r="BA49">
        <f ca="1">IFERROR(IF(0=LEN(ReferenceData!$BA$49),"",ReferenceData!$BA$49),"")</f>
        <v>22341</v>
      </c>
      <c r="BB49">
        <f ca="1">IFERROR(IF(0=LEN(ReferenceData!$BB$49),"",ReferenceData!$BB$49),"")</f>
        <v>38767</v>
      </c>
      <c r="BC49">
        <f ca="1">IFERROR(IF(0=LEN(ReferenceData!$BC$49),"",ReferenceData!$BC$49),"")</f>
        <v>21392</v>
      </c>
      <c r="BD49">
        <f ca="1">IFERROR(IF(0=LEN(ReferenceData!$BD$49),"",ReferenceData!$BD$49),"")</f>
        <v>16931</v>
      </c>
      <c r="BE49">
        <f ca="1">IFERROR(IF(0=LEN(ReferenceData!$BE$49),"",ReferenceData!$BE$49),"")</f>
        <v>47880</v>
      </c>
      <c r="BF49">
        <f ca="1">IFERROR(IF(0=LEN(ReferenceData!$BF$49),"",ReferenceData!$BF$49),"")</f>
        <v>11654</v>
      </c>
      <c r="BG49">
        <f ca="1">IFERROR(IF(0=LEN(ReferenceData!$BG$49),"",ReferenceData!$BG$49),"")</f>
        <v>28093</v>
      </c>
      <c r="BH49">
        <f ca="1">IFERROR(IF(0=LEN(ReferenceData!$BH$49),"",ReferenceData!$BH$49),"")</f>
        <v>35764</v>
      </c>
      <c r="BI49">
        <f ca="1">IFERROR(IF(0=LEN(ReferenceData!$BI$49),"",ReferenceData!$BI$49),"")</f>
        <v>36661</v>
      </c>
      <c r="BJ49">
        <f ca="1">IFERROR(IF(0=LEN(ReferenceData!$BJ$49),"",ReferenceData!$BJ$49),"")</f>
        <v>27697</v>
      </c>
      <c r="BK49">
        <f ca="1">IFERROR(IF(0=LEN(ReferenceData!$BK$49),"",ReferenceData!$BK$49),"")</f>
        <v>49525</v>
      </c>
      <c r="BL49">
        <f ca="1">IFERROR(IF(0=LEN(ReferenceData!$BL$49),"",ReferenceData!$BL$49),"")</f>
        <v>23399</v>
      </c>
      <c r="BM49">
        <f ca="1">IFERROR(IF(0=LEN(ReferenceData!$BM$49),"",ReferenceData!$BM$49),"")</f>
        <v>21519</v>
      </c>
      <c r="BN49">
        <f ca="1">IFERROR(IF(0=LEN(ReferenceData!$BN$49),"",ReferenceData!$BN$49),"")</f>
        <v>53406</v>
      </c>
      <c r="BO49">
        <f ca="1">IFERROR(IF(0=LEN(ReferenceData!$BO$49),"",ReferenceData!$BO$49),"")</f>
        <v>10481</v>
      </c>
      <c r="BP49">
        <f ca="1">IFERROR(IF(0=LEN(ReferenceData!$BP$49),"",ReferenceData!$BP$49),"")</f>
        <v>23434</v>
      </c>
      <c r="BQ49">
        <f ca="1">IFERROR(IF(0=LEN(ReferenceData!$BQ$49),"",ReferenceData!$BQ$49),"")</f>
        <v>23900</v>
      </c>
      <c r="BR49">
        <f ca="1">IFERROR(IF(0=LEN(ReferenceData!$BR$49),"",ReferenceData!$BR$49),"")</f>
        <v>33446</v>
      </c>
      <c r="BS49">
        <f ca="1">IFERROR(IF(0=LEN(ReferenceData!$BS$49),"",ReferenceData!$BS$49),"")</f>
        <v>51137</v>
      </c>
      <c r="BT49">
        <f ca="1">IFERROR(IF(0=LEN(ReferenceData!$BT$49),"",ReferenceData!$BT$49),"")</f>
        <v>31491</v>
      </c>
      <c r="BU49">
        <f ca="1">IFERROR(IF(0=LEN(ReferenceData!$BU$49),"",ReferenceData!$BU$49),"")</f>
        <v>11485</v>
      </c>
      <c r="BV49">
        <f ca="1">IFERROR(IF(0=LEN(ReferenceData!$BV$49),"",ReferenceData!$BV$49),"")</f>
        <v>37255</v>
      </c>
      <c r="BW49">
        <f ca="1">IFERROR(IF(0=LEN(ReferenceData!$BW$49),"",ReferenceData!$BW$49),"")</f>
        <v>42537</v>
      </c>
      <c r="BX49">
        <f ca="1">IFERROR(IF(0=LEN(ReferenceData!$BX$49),"",ReferenceData!$BX$49),"")</f>
        <v>21979</v>
      </c>
      <c r="BY49">
        <f ca="1">IFERROR(IF(0=LEN(ReferenceData!$BY$49),"",ReferenceData!$BY$49),"")</f>
        <v>11759</v>
      </c>
      <c r="BZ49">
        <f ca="1">IFERROR(IF(0=LEN(ReferenceData!$BZ$49),"",ReferenceData!$BZ$49),"")</f>
        <v>47639</v>
      </c>
      <c r="CA49">
        <f ca="1">IFERROR(IF(0=LEN(ReferenceData!$CA$49),"",ReferenceData!$CA$49),"")</f>
        <v>29823</v>
      </c>
      <c r="CB49">
        <f ca="1">IFERROR(IF(0=LEN(ReferenceData!$CB$49),"",ReferenceData!$CB$49),"")</f>
        <v>21696</v>
      </c>
      <c r="CC49">
        <f ca="1">IFERROR(IF(0=LEN(ReferenceData!$CC$49),"",ReferenceData!$CC$49),"")</f>
        <v>12091</v>
      </c>
      <c r="CD49">
        <f ca="1">IFERROR(IF(0=LEN(ReferenceData!$CD$49),"",ReferenceData!$CD$49),"")</f>
        <v>52604</v>
      </c>
      <c r="CE49">
        <f ca="1">IFERROR(IF(0=LEN(ReferenceData!$CE$49),"",ReferenceData!$CE$49),"")</f>
        <v>32402</v>
      </c>
      <c r="CF49">
        <f ca="1">IFERROR(IF(0=LEN(ReferenceData!$CF$49),"",ReferenceData!$CF$49),"")</f>
        <v>56010</v>
      </c>
      <c r="CG49">
        <f ca="1">IFERROR(IF(0=LEN(ReferenceData!$CG$49),"",ReferenceData!$CG$49),"")</f>
        <v>23480</v>
      </c>
      <c r="CH49">
        <f ca="1">IFERROR(IF(0=LEN(ReferenceData!$CH$49),"",ReferenceData!$CH$49),"")</f>
        <v>30127</v>
      </c>
      <c r="CI49">
        <f ca="1">IFERROR(IF(0=LEN(ReferenceData!$CI$49),"",ReferenceData!$CI$49),"")</f>
        <v>11727</v>
      </c>
      <c r="CJ49">
        <f ca="1">IFERROR(IF(0=LEN(ReferenceData!$CJ$49),"",ReferenceData!$CJ$49),"")</f>
        <v>52706</v>
      </c>
      <c r="CK49">
        <f ca="1">IFERROR(IF(0=LEN(ReferenceData!$CK$49),"",ReferenceData!$CK$49),"")</f>
        <v>21769</v>
      </c>
    </row>
    <row r="50" spans="1:89" x14ac:dyDescent="0.25">
      <c r="A50" t="str">
        <f>IFERROR(IF(0=LEN(ReferenceData!$A$50),"",ReferenceData!$A$50),"")</f>
        <v>Port Hedland Cargo Statistics - Australia Port Hedland Total Imports (tonnes) - Container Imports</v>
      </c>
      <c r="B50" t="str">
        <f>IFERROR(IF(0=LEN(ReferenceData!$B$50),"",ReferenceData!$B$50),"")</f>
        <v>AHEDIMCO Index</v>
      </c>
      <c r="C50" t="str">
        <f>IFERROR(IF(0=LEN(ReferenceData!$C$50),"",ReferenceData!$C$50),"")</f>
        <v>PX385</v>
      </c>
      <c r="D50" t="str">
        <f>IFERROR(IF(0=LEN(ReferenceData!$D$50),"",ReferenceData!$D$50),"")</f>
        <v>INTERVAL_SUM</v>
      </c>
      <c r="E50" t="str">
        <f>IFERROR(IF(0=LEN(ReferenceData!$E$50),"",ReferenceData!$E$50),"")</f>
        <v>Dynamic</v>
      </c>
      <c r="F50" t="str">
        <f ca="1">IFERROR(IF(0=LEN(ReferenceData!$F$50),"",ReferenceData!$F$50),"")</f>
        <v/>
      </c>
      <c r="G50">
        <f ca="1">IFERROR(IF(0=LEN(ReferenceData!$G$50),"",ReferenceData!$G$50),"")</f>
        <v>1521.7</v>
      </c>
      <c r="H50">
        <f ca="1">IFERROR(IF(0=LEN(ReferenceData!$H$50),"",ReferenceData!$H$50),"")</f>
        <v>2091.36</v>
      </c>
      <c r="I50">
        <f ca="1">IFERROR(IF(0=LEN(ReferenceData!$I$50),"",ReferenceData!$I$50),"")</f>
        <v>1840.66</v>
      </c>
      <c r="J50">
        <f ca="1">IFERROR(IF(0=LEN(ReferenceData!$J$50),"",ReferenceData!$J$50),"")</f>
        <v>1762.52</v>
      </c>
      <c r="K50">
        <f ca="1">IFERROR(IF(0=LEN(ReferenceData!$K$50),"",ReferenceData!$K$50),"")</f>
        <v>2237.5700000000002</v>
      </c>
      <c r="L50">
        <f ca="1">IFERROR(IF(0=LEN(ReferenceData!$L$50),"",ReferenceData!$L$50),"")</f>
        <v>1048.3599999999999</v>
      </c>
      <c r="M50">
        <f ca="1">IFERROR(IF(0=LEN(ReferenceData!$M$50),"",ReferenceData!$M$50),"")</f>
        <v>2912.19</v>
      </c>
      <c r="N50">
        <f ca="1">IFERROR(IF(0=LEN(ReferenceData!$N$50),"",ReferenceData!$N$50),"")</f>
        <v>1206.58</v>
      </c>
      <c r="O50">
        <f ca="1">IFERROR(IF(0=LEN(ReferenceData!$O$50),"",ReferenceData!$O$50),"")</f>
        <v>5061.7</v>
      </c>
      <c r="P50">
        <f ca="1">IFERROR(IF(0=LEN(ReferenceData!$P$50),"",ReferenceData!$P$50),"")</f>
        <v>3230.81</v>
      </c>
      <c r="Q50">
        <f ca="1">IFERROR(IF(0=LEN(ReferenceData!$Q$50),"",ReferenceData!$Q$50),"")</f>
        <v>2899.3</v>
      </c>
      <c r="R50">
        <f ca="1">IFERROR(IF(0=LEN(ReferenceData!$R$50),"",ReferenceData!$R$50),"")</f>
        <v>2684.65</v>
      </c>
      <c r="S50">
        <f ca="1">IFERROR(IF(0=LEN(ReferenceData!$S$50),"",ReferenceData!$S$50),"")</f>
        <v>2526.12</v>
      </c>
      <c r="T50">
        <f ca="1">IFERROR(IF(0=LEN(ReferenceData!$T$50),"",ReferenceData!$T$50),"")</f>
        <v>1624.19</v>
      </c>
      <c r="U50">
        <f ca="1">IFERROR(IF(0=LEN(ReferenceData!$U$50),"",ReferenceData!$U$50),"")</f>
        <v>3783.22</v>
      </c>
      <c r="V50">
        <f ca="1">IFERROR(IF(0=LEN(ReferenceData!$V$50),"",ReferenceData!$V$50),"")</f>
        <v>2203.31</v>
      </c>
      <c r="W50">
        <f ca="1">IFERROR(IF(0=LEN(ReferenceData!$W$50),"",ReferenceData!$W$50),"")</f>
        <v>4051.93</v>
      </c>
      <c r="X50">
        <f ca="1">IFERROR(IF(0=LEN(ReferenceData!$X$50),"",ReferenceData!$X$50),"")</f>
        <v>3067.33</v>
      </c>
      <c r="Y50">
        <f ca="1">IFERROR(IF(0=LEN(ReferenceData!$Y$50),"",ReferenceData!$Y$50),"")</f>
        <v>6281.06</v>
      </c>
      <c r="Z50">
        <f ca="1">IFERROR(IF(0=LEN(ReferenceData!$Z$50),"",ReferenceData!$Z$50),"")</f>
        <v>1474.68</v>
      </c>
      <c r="AA50">
        <f ca="1">IFERROR(IF(0=LEN(ReferenceData!$AA$50),"",ReferenceData!$AA$50),"")</f>
        <v>3977.34</v>
      </c>
      <c r="AB50">
        <f ca="1">IFERROR(IF(0=LEN(ReferenceData!$AB$50),"",ReferenceData!$AB$50),"")</f>
        <v>1041.33</v>
      </c>
      <c r="AC50">
        <f ca="1">IFERROR(IF(0=LEN(ReferenceData!$AC$50),"",ReferenceData!$AC$50),"")</f>
        <v>622.04</v>
      </c>
      <c r="AD50">
        <f ca="1">IFERROR(IF(0=LEN(ReferenceData!$AD$50),"",ReferenceData!$AD$50),"")</f>
        <v>3475.93</v>
      </c>
      <c r="AE50">
        <f ca="1">IFERROR(IF(0=LEN(ReferenceData!$AE$50),"",ReferenceData!$AE$50),"")</f>
        <v>141.88</v>
      </c>
      <c r="AF50">
        <f ca="1">IFERROR(IF(0=LEN(ReferenceData!$AF$50),"",ReferenceData!$AF$50),"")</f>
        <v>2046.82</v>
      </c>
      <c r="AG50">
        <f ca="1">IFERROR(IF(0=LEN(ReferenceData!$AG$50),"",ReferenceData!$AG$50),"")</f>
        <v>1454.1</v>
      </c>
      <c r="AH50">
        <f ca="1">IFERROR(IF(0=LEN(ReferenceData!$AH$50),"",ReferenceData!$AH$50),"")</f>
        <v>1454.1</v>
      </c>
      <c r="AI50">
        <f ca="1">IFERROR(IF(0=LEN(ReferenceData!$AI$50),"",ReferenceData!$AI$50),"")</f>
        <v>759.4</v>
      </c>
      <c r="AJ50">
        <f ca="1">IFERROR(IF(0=LEN(ReferenceData!$AJ$50),"",ReferenceData!$AJ$50),"")</f>
        <v>640.13</v>
      </c>
      <c r="AK50">
        <f ca="1">IFERROR(IF(0=LEN(ReferenceData!$AK$50),"",ReferenceData!$AK$50),"")</f>
        <v>750.42</v>
      </c>
      <c r="AL50">
        <f ca="1">IFERROR(IF(0=LEN(ReferenceData!$AL$50),"",ReferenceData!$AL$50),"")</f>
        <v>488.86</v>
      </c>
      <c r="AM50">
        <f ca="1">IFERROR(IF(0=LEN(ReferenceData!$AM$50),"",ReferenceData!$AM$50),"")</f>
        <v>0</v>
      </c>
      <c r="AN50">
        <f ca="1">IFERROR(IF(0=LEN(ReferenceData!$AN$50),"",ReferenceData!$AN$50),"")</f>
        <v>446.34</v>
      </c>
      <c r="AO50">
        <f ca="1">IFERROR(IF(0=LEN(ReferenceData!$AO$50),"",ReferenceData!$AO$50),"")</f>
        <v>694.63</v>
      </c>
      <c r="AP50" t="str">
        <f ca="1">IFERROR(IF(0=LEN(ReferenceData!$AP$50),"",ReferenceData!$AP$50),"")</f>
        <v/>
      </c>
      <c r="AQ50" t="str">
        <f ca="1">IFERROR(IF(0=LEN(ReferenceData!$AQ$50),"",ReferenceData!$AQ$50),"")</f>
        <v/>
      </c>
      <c r="AR50" t="str">
        <f ca="1">IFERROR(IF(0=LEN(ReferenceData!$AR$50),"",ReferenceData!$AR$50),"")</f>
        <v/>
      </c>
      <c r="AS50" t="str">
        <f ca="1">IFERROR(IF(0=LEN(ReferenceData!$AS$50),"",ReferenceData!$AS$50),"")</f>
        <v/>
      </c>
      <c r="AT50">
        <f ca="1">IFERROR(IF(0=LEN(ReferenceData!$AT$50),"",ReferenceData!$AT$50),"")</f>
        <v>0</v>
      </c>
      <c r="AU50">
        <f ca="1">IFERROR(IF(0=LEN(ReferenceData!$AU$50),"",ReferenceData!$AU$50),"")</f>
        <v>1.85</v>
      </c>
      <c r="AV50">
        <f ca="1">IFERROR(IF(0=LEN(ReferenceData!$AV$50),"",ReferenceData!$AV$50),"")</f>
        <v>0</v>
      </c>
      <c r="AW50">
        <f ca="1">IFERROR(IF(0=LEN(ReferenceData!$AW$50),"",ReferenceData!$AW$50),"")</f>
        <v>0</v>
      </c>
      <c r="AX50">
        <f ca="1">IFERROR(IF(0=LEN(ReferenceData!$AX$50),"",ReferenceData!$AX$50),"")</f>
        <v>26.29</v>
      </c>
      <c r="AY50">
        <f ca="1">IFERROR(IF(0=LEN(ReferenceData!$AY$50),"",ReferenceData!$AY$50),"")</f>
        <v>450.07</v>
      </c>
      <c r="AZ50">
        <f ca="1">IFERROR(IF(0=LEN(ReferenceData!$AZ$50),"",ReferenceData!$AZ$50),"")</f>
        <v>0</v>
      </c>
      <c r="BA50">
        <f ca="1">IFERROR(IF(0=LEN(ReferenceData!$BA$50),"",ReferenceData!$BA$50),"")</f>
        <v>0</v>
      </c>
      <c r="BB50">
        <f ca="1">IFERROR(IF(0=LEN(ReferenceData!$BB$50),"",ReferenceData!$BB$50),"")</f>
        <v>0</v>
      </c>
      <c r="BC50">
        <f ca="1">IFERROR(IF(0=LEN(ReferenceData!$BC$50),"",ReferenceData!$BC$50),"")</f>
        <v>0</v>
      </c>
      <c r="BD50">
        <f ca="1">IFERROR(IF(0=LEN(ReferenceData!$BD$50),"",ReferenceData!$BD$50),"")</f>
        <v>0</v>
      </c>
      <c r="BE50">
        <f ca="1">IFERROR(IF(0=LEN(ReferenceData!$BE$50),"",ReferenceData!$BE$50),"")</f>
        <v>0</v>
      </c>
      <c r="BF50">
        <f ca="1">IFERROR(IF(0=LEN(ReferenceData!$BF$50),"",ReferenceData!$BF$50),"")</f>
        <v>0</v>
      </c>
      <c r="BG50">
        <f ca="1">IFERROR(IF(0=LEN(ReferenceData!$BG$50),"",ReferenceData!$BG$50),"")</f>
        <v>0</v>
      </c>
      <c r="BH50">
        <f ca="1">IFERROR(IF(0=LEN(ReferenceData!$BH$50),"",ReferenceData!$BH$50),"")</f>
        <v>0</v>
      </c>
      <c r="BI50">
        <f ca="1">IFERROR(IF(0=LEN(ReferenceData!$BI$50),"",ReferenceData!$BI$50),"")</f>
        <v>0</v>
      </c>
      <c r="BJ50">
        <f ca="1">IFERROR(IF(0=LEN(ReferenceData!$BJ$50),"",ReferenceData!$BJ$50),"")</f>
        <v>0</v>
      </c>
      <c r="BK50">
        <f ca="1">IFERROR(IF(0=LEN(ReferenceData!$BK$50),"",ReferenceData!$BK$50),"")</f>
        <v>0</v>
      </c>
      <c r="BL50">
        <f ca="1">IFERROR(IF(0=LEN(ReferenceData!$BL$50),"",ReferenceData!$BL$50),"")</f>
        <v>0</v>
      </c>
      <c r="BM50">
        <f ca="1">IFERROR(IF(0=LEN(ReferenceData!$BM$50),"",ReferenceData!$BM$50),"")</f>
        <v>0</v>
      </c>
      <c r="BN50">
        <f ca="1">IFERROR(IF(0=LEN(ReferenceData!$BN$50),"",ReferenceData!$BN$50),"")</f>
        <v>0</v>
      </c>
      <c r="BO50">
        <f ca="1">IFERROR(IF(0=LEN(ReferenceData!$BO$50),"",ReferenceData!$BO$50),"")</f>
        <v>20.8</v>
      </c>
      <c r="BP50">
        <f ca="1">IFERROR(IF(0=LEN(ReferenceData!$BP$50),"",ReferenceData!$BP$50),"")</f>
        <v>0</v>
      </c>
      <c r="BQ50">
        <f ca="1">IFERROR(IF(0=LEN(ReferenceData!$BQ$50),"",ReferenceData!$BQ$50),"")</f>
        <v>0</v>
      </c>
      <c r="BR50">
        <f ca="1">IFERROR(IF(0=LEN(ReferenceData!$BR$50),"",ReferenceData!$BR$50),"")</f>
        <v>0</v>
      </c>
      <c r="BS50">
        <f ca="1">IFERROR(IF(0=LEN(ReferenceData!$BS$50),"",ReferenceData!$BS$50),"")</f>
        <v>293.89</v>
      </c>
      <c r="BT50">
        <f ca="1">IFERROR(IF(0=LEN(ReferenceData!$BT$50),"",ReferenceData!$BT$50),"")</f>
        <v>0</v>
      </c>
      <c r="BU50">
        <f ca="1">IFERROR(IF(0=LEN(ReferenceData!$BU$50),"",ReferenceData!$BU$50),"")</f>
        <v>71.150000000000006</v>
      </c>
      <c r="BV50">
        <f ca="1">IFERROR(IF(0=LEN(ReferenceData!$BV$50),"",ReferenceData!$BV$50),"")</f>
        <v>115.48</v>
      </c>
      <c r="BW50">
        <f ca="1">IFERROR(IF(0=LEN(ReferenceData!$BW$50),"",ReferenceData!$BW$50),"")</f>
        <v>70.010000000000005</v>
      </c>
      <c r="BX50">
        <f ca="1">IFERROR(IF(0=LEN(ReferenceData!$BX$50),"",ReferenceData!$BX$50),"")</f>
        <v>185.89</v>
      </c>
      <c r="BY50">
        <f ca="1">IFERROR(IF(0=LEN(ReferenceData!$BY$50),"",ReferenceData!$BY$50),"")</f>
        <v>129.36000000000001</v>
      </c>
      <c r="BZ50">
        <f ca="1">IFERROR(IF(0=LEN(ReferenceData!$BZ$50),"",ReferenceData!$BZ$50),"")</f>
        <v>0.69</v>
      </c>
      <c r="CA50">
        <f ca="1">IFERROR(IF(0=LEN(ReferenceData!$CA$50),"",ReferenceData!$CA$50),"")</f>
        <v>0</v>
      </c>
      <c r="CB50">
        <f ca="1">IFERROR(IF(0=LEN(ReferenceData!$CB$50),"",ReferenceData!$CB$50),"")</f>
        <v>0</v>
      </c>
      <c r="CC50">
        <f ca="1">IFERROR(IF(0=LEN(ReferenceData!$CC$50),"",ReferenceData!$CC$50),"")</f>
        <v>0</v>
      </c>
      <c r="CD50">
        <f ca="1">IFERROR(IF(0=LEN(ReferenceData!$CD$50),"",ReferenceData!$CD$50),"")</f>
        <v>0</v>
      </c>
      <c r="CE50">
        <f ca="1">IFERROR(IF(0=LEN(ReferenceData!$CE$50),"",ReferenceData!$CE$50),"")</f>
        <v>0</v>
      </c>
      <c r="CF50">
        <f ca="1">IFERROR(IF(0=LEN(ReferenceData!$CF$50),"",ReferenceData!$CF$50),"")</f>
        <v>0</v>
      </c>
      <c r="CG50">
        <f ca="1">IFERROR(IF(0=LEN(ReferenceData!$CG$50),"",ReferenceData!$CG$50),"")</f>
        <v>0</v>
      </c>
      <c r="CH50">
        <f ca="1">IFERROR(IF(0=LEN(ReferenceData!$CH$50),"",ReferenceData!$CH$50),"")</f>
        <v>0</v>
      </c>
      <c r="CI50">
        <f ca="1">IFERROR(IF(0=LEN(ReferenceData!$CI$50),"",ReferenceData!$CI$50),"")</f>
        <v>0</v>
      </c>
      <c r="CJ50">
        <f ca="1">IFERROR(IF(0=LEN(ReferenceData!$CJ$50),"",ReferenceData!$CJ$50),"")</f>
        <v>0</v>
      </c>
      <c r="CK50">
        <f ca="1">IFERROR(IF(0=LEN(ReferenceData!$CK$50),"",ReferenceData!$CK$50),"")</f>
        <v>0</v>
      </c>
    </row>
    <row r="51" spans="1:89" x14ac:dyDescent="0.25">
      <c r="A51" t="str">
        <f>IFERROR(IF(0=LEN(ReferenceData!$A$51),"",ReferenceData!$A$51),"")</f>
        <v>Port Hedland Cargo Statistics - Australia Port Hedland Total Imports (tonnes) - Chemical Compound Imports (tonnes)</v>
      </c>
      <c r="B51" t="str">
        <f>IFERROR(IF(0=LEN(ReferenceData!$B$51),"",ReferenceData!$B$51),"")</f>
        <v>AHEDIMCC Index</v>
      </c>
      <c r="C51" t="str">
        <f>IFERROR(IF(0=LEN(ReferenceData!$C$51),"",ReferenceData!$C$51),"")</f>
        <v>PX385</v>
      </c>
      <c r="D51" t="str">
        <f>IFERROR(IF(0=LEN(ReferenceData!$D$51),"",ReferenceData!$D$51),"")</f>
        <v>INTERVAL_SUM</v>
      </c>
      <c r="E51" t="str">
        <f>IFERROR(IF(0=LEN(ReferenceData!$E$51),"",ReferenceData!$E$51),"")</f>
        <v>Dynamic</v>
      </c>
      <c r="F51" t="str">
        <f ca="1">IFERROR(IF(0=LEN(ReferenceData!$F$51),"",ReferenceData!$F$51),"")</f>
        <v/>
      </c>
      <c r="G51">
        <f ca="1">IFERROR(IF(0=LEN(ReferenceData!$G$51),"",ReferenceData!$G$51),"")</f>
        <v>0</v>
      </c>
      <c r="H51">
        <f ca="1">IFERROR(IF(0=LEN(ReferenceData!$H$51),"",ReferenceData!$H$51),"")</f>
        <v>3603.35</v>
      </c>
      <c r="I51">
        <f ca="1">IFERROR(IF(0=LEN(ReferenceData!$I$51),"",ReferenceData!$I$51),"")</f>
        <v>3603.35</v>
      </c>
      <c r="J51">
        <f ca="1">IFERROR(IF(0=LEN(ReferenceData!$J$51),"",ReferenceData!$J$51),"")</f>
        <v>3600</v>
      </c>
      <c r="K51">
        <f ca="1">IFERROR(IF(0=LEN(ReferenceData!$K$51),"",ReferenceData!$K$51),"")</f>
        <v>14409</v>
      </c>
      <c r="L51">
        <f ca="1">IFERROR(IF(0=LEN(ReferenceData!$L$51),"",ReferenceData!$L$51),"")</f>
        <v>3400.8</v>
      </c>
      <c r="M51">
        <f ca="1">IFERROR(IF(0=LEN(ReferenceData!$M$51),"",ReferenceData!$M$51),"")</f>
        <v>16098.79</v>
      </c>
      <c r="N51">
        <f ca="1">IFERROR(IF(0=LEN(ReferenceData!$N$51),"",ReferenceData!$N$51),"")</f>
        <v>0</v>
      </c>
      <c r="O51">
        <f ca="1">IFERROR(IF(0=LEN(ReferenceData!$O$51),"",ReferenceData!$O$51),"")</f>
        <v>0</v>
      </c>
      <c r="P51">
        <f ca="1">IFERROR(IF(0=LEN(ReferenceData!$P$51),"",ReferenceData!$P$51),"")</f>
        <v>0</v>
      </c>
      <c r="Q51">
        <f ca="1">IFERROR(IF(0=LEN(ReferenceData!$Q$51),"",ReferenceData!$Q$51),"")</f>
        <v>0</v>
      </c>
      <c r="R51">
        <f ca="1">IFERROR(IF(0=LEN(ReferenceData!$R$51),"",ReferenceData!$R$51),"")</f>
        <v>0</v>
      </c>
      <c r="S51">
        <f ca="1">IFERROR(IF(0=LEN(ReferenceData!$S$51),"",ReferenceData!$S$51),"")</f>
        <v>5250</v>
      </c>
      <c r="T51">
        <f ca="1">IFERROR(IF(0=LEN(ReferenceData!$T$51),"",ReferenceData!$T$51),"")</f>
        <v>0</v>
      </c>
      <c r="U51">
        <f ca="1">IFERROR(IF(0=LEN(ReferenceData!$U$51),"",ReferenceData!$U$51),"")</f>
        <v>0</v>
      </c>
      <c r="V51">
        <f ca="1">IFERROR(IF(0=LEN(ReferenceData!$V$51),"",ReferenceData!$V$51),"")</f>
        <v>0</v>
      </c>
      <c r="W51">
        <f ca="1">IFERROR(IF(0=LEN(ReferenceData!$W$51),"",ReferenceData!$W$51),"")</f>
        <v>0</v>
      </c>
      <c r="X51">
        <f ca="1">IFERROR(IF(0=LEN(ReferenceData!$X$51),"",ReferenceData!$X$51),"")</f>
        <v>0</v>
      </c>
      <c r="Y51">
        <f ca="1">IFERROR(IF(0=LEN(ReferenceData!$Y$51),"",ReferenceData!$Y$51),"")</f>
        <v>0</v>
      </c>
      <c r="Z51">
        <f ca="1">IFERROR(IF(0=LEN(ReferenceData!$Z$51),"",ReferenceData!$Z$51),"")</f>
        <v>0</v>
      </c>
      <c r="AA51">
        <f ca="1">IFERROR(IF(0=LEN(ReferenceData!$AA$51),"",ReferenceData!$AA$51),"")</f>
        <v>0</v>
      </c>
      <c r="AB51">
        <f ca="1">IFERROR(IF(0=LEN(ReferenceData!$AB$51),"",ReferenceData!$AB$51),"")</f>
        <v>0</v>
      </c>
      <c r="AC51">
        <f ca="1">IFERROR(IF(0=LEN(ReferenceData!$AC$51),"",ReferenceData!$AC$51),"")</f>
        <v>0</v>
      </c>
      <c r="AD51">
        <f ca="1">IFERROR(IF(0=LEN(ReferenceData!$AD$51),"",ReferenceData!$AD$51),"")</f>
        <v>0</v>
      </c>
      <c r="AE51">
        <f ca="1">IFERROR(IF(0=LEN(ReferenceData!$AE$51),"",ReferenceData!$AE$51),"")</f>
        <v>0</v>
      </c>
      <c r="AF51">
        <f ca="1">IFERROR(IF(0=LEN(ReferenceData!$AF$51),"",ReferenceData!$AF$51),"")</f>
        <v>0</v>
      </c>
      <c r="AG51">
        <f ca="1">IFERROR(IF(0=LEN(ReferenceData!$AG$51),"",ReferenceData!$AG$51),"")</f>
        <v>0</v>
      </c>
      <c r="AH51">
        <f ca="1">IFERROR(IF(0=LEN(ReferenceData!$AH$51),"",ReferenceData!$AH$51),"")</f>
        <v>0</v>
      </c>
      <c r="AI51">
        <f ca="1">IFERROR(IF(0=LEN(ReferenceData!$AI$51),"",ReferenceData!$AI$51),"")</f>
        <v>0</v>
      </c>
      <c r="AJ51">
        <f ca="1">IFERROR(IF(0=LEN(ReferenceData!$AJ$51),"",ReferenceData!$AJ$51),"")</f>
        <v>0</v>
      </c>
      <c r="AK51">
        <f ca="1">IFERROR(IF(0=LEN(ReferenceData!$AK$51),"",ReferenceData!$AK$51),"")</f>
        <v>0</v>
      </c>
      <c r="AL51">
        <f ca="1">IFERROR(IF(0=LEN(ReferenceData!$AL$51),"",ReferenceData!$AL$51),"")</f>
        <v>0</v>
      </c>
      <c r="AM51">
        <f ca="1">IFERROR(IF(0=LEN(ReferenceData!$AM$51),"",ReferenceData!$AM$51),"")</f>
        <v>0</v>
      </c>
      <c r="AN51">
        <f ca="1">IFERROR(IF(0=LEN(ReferenceData!$AN$51),"",ReferenceData!$AN$51),"")</f>
        <v>0</v>
      </c>
      <c r="AO51">
        <f ca="1">IFERROR(IF(0=LEN(ReferenceData!$AO$51),"",ReferenceData!$AO$51),"")</f>
        <v>0</v>
      </c>
      <c r="AP51">
        <f ca="1">IFERROR(IF(0=LEN(ReferenceData!$AP$51),"",ReferenceData!$AP$51),"")</f>
        <v>7200</v>
      </c>
      <c r="AQ51" t="str">
        <f ca="1">IFERROR(IF(0=LEN(ReferenceData!$AQ$51),"",ReferenceData!$AQ$51),"")</f>
        <v/>
      </c>
      <c r="AR51">
        <f ca="1">IFERROR(IF(0=LEN(ReferenceData!$AR$51),"",ReferenceData!$AR$51),"")</f>
        <v>3600</v>
      </c>
      <c r="AS51">
        <f ca="1">IFERROR(IF(0=LEN(ReferenceData!$AS$51),"",ReferenceData!$AS$51),"")</f>
        <v>7208.64</v>
      </c>
      <c r="AT51">
        <f ca="1">IFERROR(IF(0=LEN(ReferenceData!$AT$51),"",ReferenceData!$AT$51),"")</f>
        <v>14476.33</v>
      </c>
      <c r="AU51">
        <f ca="1">IFERROR(IF(0=LEN(ReferenceData!$AU$51),"",ReferenceData!$AU$51),"")</f>
        <v>0</v>
      </c>
      <c r="AV51">
        <f ca="1">IFERROR(IF(0=LEN(ReferenceData!$AV$51),"",ReferenceData!$AV$51),"")</f>
        <v>10800</v>
      </c>
      <c r="AW51">
        <f ca="1">IFERROR(IF(0=LEN(ReferenceData!$AW$51),"",ReferenceData!$AW$51),"")</f>
        <v>3600</v>
      </c>
      <c r="AX51">
        <f ca="1">IFERROR(IF(0=LEN(ReferenceData!$AX$51),"",ReferenceData!$AX$51),"")</f>
        <v>7200</v>
      </c>
      <c r="AY51">
        <f ca="1">IFERROR(IF(0=LEN(ReferenceData!$AY$51),"",ReferenceData!$AY$51),"")</f>
        <v>7200</v>
      </c>
      <c r="AZ51">
        <f ca="1">IFERROR(IF(0=LEN(ReferenceData!$AZ$51),"",ReferenceData!$AZ$51),"")</f>
        <v>10800</v>
      </c>
      <c r="BA51">
        <f ca="1">IFERROR(IF(0=LEN(ReferenceData!$BA$51),"",ReferenceData!$BA$51),"")</f>
        <v>13995.6</v>
      </c>
      <c r="BB51">
        <f ca="1">IFERROR(IF(0=LEN(ReferenceData!$BB$51),"",ReferenceData!$BB$51),"")</f>
        <v>14428.68</v>
      </c>
      <c r="BC51">
        <f ca="1">IFERROR(IF(0=LEN(ReferenceData!$BC$51),"",ReferenceData!$BC$51),"")</f>
        <v>7218.09</v>
      </c>
      <c r="BD51">
        <f ca="1">IFERROR(IF(0=LEN(ReferenceData!$BD$51),"",ReferenceData!$BD$51),"")</f>
        <v>3600</v>
      </c>
      <c r="BE51">
        <f ca="1">IFERROR(IF(0=LEN(ReferenceData!$BE$51),"",ReferenceData!$BE$51),"")</f>
        <v>0</v>
      </c>
      <c r="BF51">
        <f ca="1">IFERROR(IF(0=LEN(ReferenceData!$BF$51),"",ReferenceData!$BF$51),"")</f>
        <v>9737</v>
      </c>
      <c r="BG51">
        <f ca="1">IFERROR(IF(0=LEN(ReferenceData!$BG$51),"",ReferenceData!$BG$51),"")</f>
        <v>7210</v>
      </c>
      <c r="BH51">
        <f ca="1">IFERROR(IF(0=LEN(ReferenceData!$BH$51),"",ReferenceData!$BH$51),"")</f>
        <v>3609</v>
      </c>
      <c r="BI51">
        <f ca="1">IFERROR(IF(0=LEN(ReferenceData!$BI$51),"",ReferenceData!$BI$51),"")</f>
        <v>3609</v>
      </c>
      <c r="BJ51">
        <f ca="1">IFERROR(IF(0=LEN(ReferenceData!$BJ$51),"",ReferenceData!$BJ$51),"")</f>
        <v>7209</v>
      </c>
      <c r="BK51">
        <f ca="1">IFERROR(IF(0=LEN(ReferenceData!$BK$51),"",ReferenceData!$BK$51),"")</f>
        <v>20725.16</v>
      </c>
      <c r="BL51">
        <f ca="1">IFERROR(IF(0=LEN(ReferenceData!$BL$51),"",ReferenceData!$BL$51),"")</f>
        <v>3609</v>
      </c>
      <c r="BM51">
        <f ca="1">IFERROR(IF(0=LEN(ReferenceData!$BM$51),"",ReferenceData!$BM$51),"")</f>
        <v>10812</v>
      </c>
      <c r="BN51">
        <f ca="1">IFERROR(IF(0=LEN(ReferenceData!$BN$51),"",ReferenceData!$BN$51),"")</f>
        <v>3600</v>
      </c>
      <c r="BO51">
        <f ca="1">IFERROR(IF(0=LEN(ReferenceData!$BO$51),"",ReferenceData!$BO$51),"")</f>
        <v>9212.4</v>
      </c>
      <c r="BP51">
        <f ca="1">IFERROR(IF(0=LEN(ReferenceData!$BP$51),"",ReferenceData!$BP$51),"")</f>
        <v>3600</v>
      </c>
      <c r="BQ51">
        <f ca="1">IFERROR(IF(0=LEN(ReferenceData!$BQ$51),"",ReferenceData!$BQ$51),"")</f>
        <v>6837.68</v>
      </c>
      <c r="BR51">
        <f ca="1">IFERROR(IF(0=LEN(ReferenceData!$BR$51),"",ReferenceData!$BR$51),"")</f>
        <v>3000</v>
      </c>
      <c r="BS51">
        <f ca="1">IFERROR(IF(0=LEN(ReferenceData!$BS$51),"",ReferenceData!$BS$51),"")</f>
        <v>0</v>
      </c>
      <c r="BT51">
        <f ca="1">IFERROR(IF(0=LEN(ReferenceData!$BT$51),"",ReferenceData!$BT$51),"")</f>
        <v>7210</v>
      </c>
      <c r="BU51">
        <f ca="1">IFERROR(IF(0=LEN(ReferenceData!$BU$51),"",ReferenceData!$BU$51),"")</f>
        <v>3000</v>
      </c>
      <c r="BV51">
        <f ca="1">IFERROR(IF(0=LEN(ReferenceData!$BV$51),"",ReferenceData!$BV$51),"")</f>
        <v>10418.73</v>
      </c>
      <c r="BW51">
        <f ca="1">IFERROR(IF(0=LEN(ReferenceData!$BW$51),"",ReferenceData!$BW$51),"")</f>
        <v>16626</v>
      </c>
      <c r="BX51">
        <f ca="1">IFERROR(IF(0=LEN(ReferenceData!$BX$51),"",ReferenceData!$BX$51),"")</f>
        <v>3600</v>
      </c>
      <c r="BY51">
        <f ca="1">IFERROR(IF(0=LEN(ReferenceData!$BY$51),"",ReferenceData!$BY$51),"")</f>
        <v>3600</v>
      </c>
      <c r="BZ51" t="str">
        <f ca="1">IFERROR(IF(0=LEN(ReferenceData!$BZ$51),"",ReferenceData!$BZ$51),"")</f>
        <v/>
      </c>
      <c r="CA51" t="str">
        <f ca="1">IFERROR(IF(0=LEN(ReferenceData!$CA$51),"",ReferenceData!$CA$51),"")</f>
        <v/>
      </c>
      <c r="CB51">
        <f ca="1">IFERROR(IF(0=LEN(ReferenceData!$CB$51),"",ReferenceData!$CB$51),"")</f>
        <v>0</v>
      </c>
      <c r="CC51">
        <f ca="1">IFERROR(IF(0=LEN(ReferenceData!$CC$51),"",ReferenceData!$CC$51),"")</f>
        <v>7200</v>
      </c>
      <c r="CD51">
        <f ca="1">IFERROR(IF(0=LEN(ReferenceData!$CD$51),"",ReferenceData!$CD$51),"")</f>
        <v>3600</v>
      </c>
      <c r="CE51">
        <f ca="1">IFERROR(IF(0=LEN(ReferenceData!$CE$51),"",ReferenceData!$CE$51),"")</f>
        <v>7200</v>
      </c>
      <c r="CF51">
        <f ca="1">IFERROR(IF(0=LEN(ReferenceData!$CF$51),"",ReferenceData!$CF$51),"")</f>
        <v>3600</v>
      </c>
      <c r="CG51">
        <f ca="1">IFERROR(IF(0=LEN(ReferenceData!$CG$51),"",ReferenceData!$CG$51),"")</f>
        <v>0</v>
      </c>
      <c r="CH51">
        <f ca="1">IFERROR(IF(0=LEN(ReferenceData!$CH$51),"",ReferenceData!$CH$51),"")</f>
        <v>3600</v>
      </c>
      <c r="CI51">
        <f ca="1">IFERROR(IF(0=LEN(ReferenceData!$CI$51),"",ReferenceData!$CI$51),"")</f>
        <v>3600</v>
      </c>
      <c r="CJ51">
        <f ca="1">IFERROR(IF(0=LEN(ReferenceData!$CJ$51),"",ReferenceData!$CJ$51),"")</f>
        <v>3600</v>
      </c>
      <c r="CK51">
        <f ca="1">IFERROR(IF(0=LEN(ReferenceData!$CK$51),"",ReferenceData!$CK$51),"")</f>
        <v>3600</v>
      </c>
    </row>
    <row r="52" spans="1:89" x14ac:dyDescent="0.25">
      <c r="A52" t="str">
        <f>IFERROR(IF(0=LEN(ReferenceData!$A$52),"",ReferenceData!$A$52),"")</f>
        <v>Port Hedland Cargo Statistics - Australia Port Hedland Total Imports (tonnes) - General Cargo Imports (tonnes)</v>
      </c>
      <c r="B52" t="str">
        <f>IFERROR(IF(0=LEN(ReferenceData!$B$52),"",ReferenceData!$B$52),"")</f>
        <v>AHEDIMGE Index</v>
      </c>
      <c r="C52" t="str">
        <f>IFERROR(IF(0=LEN(ReferenceData!$C$52),"",ReferenceData!$C$52),"")</f>
        <v>PX385</v>
      </c>
      <c r="D52" t="str">
        <f>IFERROR(IF(0=LEN(ReferenceData!$D$52),"",ReferenceData!$D$52),"")</f>
        <v>INTERVAL_SUM</v>
      </c>
      <c r="E52" t="str">
        <f>IFERROR(IF(0=LEN(ReferenceData!$E$52),"",ReferenceData!$E$52),"")</f>
        <v>Dynamic</v>
      </c>
      <c r="F52" t="str">
        <f ca="1">IFERROR(IF(0=LEN(ReferenceData!$F$52),"",ReferenceData!$F$52),"")</f>
        <v/>
      </c>
      <c r="G52">
        <f ca="1">IFERROR(IF(0=LEN(ReferenceData!$G$52),"",ReferenceData!$G$52),"")</f>
        <v>33080.94</v>
      </c>
      <c r="H52">
        <f ca="1">IFERROR(IF(0=LEN(ReferenceData!$H$52),"",ReferenceData!$H$52),"")</f>
        <v>6595.65</v>
      </c>
      <c r="I52">
        <f ca="1">IFERROR(IF(0=LEN(ReferenceData!$I$52),"",ReferenceData!$I$52),"")</f>
        <v>33622.79</v>
      </c>
      <c r="J52">
        <f ca="1">IFERROR(IF(0=LEN(ReferenceData!$J$52),"",ReferenceData!$J$52),"")</f>
        <v>1732.47</v>
      </c>
      <c r="K52">
        <f ca="1">IFERROR(IF(0=LEN(ReferenceData!$K$52),"",ReferenceData!$K$52),"")</f>
        <v>26907.67</v>
      </c>
      <c r="L52">
        <f ca="1">IFERROR(IF(0=LEN(ReferenceData!$L$52),"",ReferenceData!$L$52),"")</f>
        <v>1612.81</v>
      </c>
      <c r="M52">
        <f ca="1">IFERROR(IF(0=LEN(ReferenceData!$M$52),"",ReferenceData!$M$52),"")</f>
        <v>12808.01</v>
      </c>
      <c r="N52">
        <f ca="1">IFERROR(IF(0=LEN(ReferenceData!$N$52),"",ReferenceData!$N$52),"")</f>
        <v>19562.55</v>
      </c>
      <c r="O52">
        <f ca="1">IFERROR(IF(0=LEN(ReferenceData!$O$52),"",ReferenceData!$O$52),"")</f>
        <v>13246.73</v>
      </c>
      <c r="P52">
        <f ca="1">IFERROR(IF(0=LEN(ReferenceData!$P$52),"",ReferenceData!$P$52),"")</f>
        <v>15588.5</v>
      </c>
      <c r="Q52">
        <f ca="1">IFERROR(IF(0=LEN(ReferenceData!$Q$52),"",ReferenceData!$Q$52),"")</f>
        <v>1490.81</v>
      </c>
      <c r="R52">
        <f ca="1">IFERROR(IF(0=LEN(ReferenceData!$R$52),"",ReferenceData!$R$52),"")</f>
        <v>30754.39</v>
      </c>
      <c r="S52">
        <f ca="1">IFERROR(IF(0=LEN(ReferenceData!$S$52),"",ReferenceData!$S$52),"")</f>
        <v>8015.59</v>
      </c>
      <c r="T52">
        <f ca="1">IFERROR(IF(0=LEN(ReferenceData!$T$52),"",ReferenceData!$T$52),"")</f>
        <v>4391.95</v>
      </c>
      <c r="U52">
        <f ca="1">IFERROR(IF(0=LEN(ReferenceData!$U$52),"",ReferenceData!$U$52),"")</f>
        <v>16204.68</v>
      </c>
      <c r="V52">
        <f ca="1">IFERROR(IF(0=LEN(ReferenceData!$V$52),"",ReferenceData!$V$52),"")</f>
        <v>45519.67</v>
      </c>
      <c r="W52">
        <f ca="1">IFERROR(IF(0=LEN(ReferenceData!$W$52),"",ReferenceData!$W$52),"")</f>
        <v>16193.67</v>
      </c>
      <c r="X52">
        <f ca="1">IFERROR(IF(0=LEN(ReferenceData!$X$52),"",ReferenceData!$X$52),"")</f>
        <v>35370.19</v>
      </c>
      <c r="Y52">
        <f ca="1">IFERROR(IF(0=LEN(ReferenceData!$Y$52),"",ReferenceData!$Y$52),"")</f>
        <v>7402.41</v>
      </c>
      <c r="Z52">
        <f ca="1">IFERROR(IF(0=LEN(ReferenceData!$Z$52),"",ReferenceData!$Z$52),"")</f>
        <v>7437.83</v>
      </c>
      <c r="AA52">
        <f ca="1">IFERROR(IF(0=LEN(ReferenceData!$AA$52),"",ReferenceData!$AA$52),"")</f>
        <v>19202.53</v>
      </c>
      <c r="AB52">
        <f ca="1">IFERROR(IF(0=LEN(ReferenceData!$AB$52),"",ReferenceData!$AB$52),"")</f>
        <v>34309.26</v>
      </c>
      <c r="AC52">
        <f ca="1">IFERROR(IF(0=LEN(ReferenceData!$AC$52),"",ReferenceData!$AC$52),"")</f>
        <v>37166.44</v>
      </c>
      <c r="AD52">
        <f ca="1">IFERROR(IF(0=LEN(ReferenceData!$AD$52),"",ReferenceData!$AD$52),"")</f>
        <v>25465.59</v>
      </c>
      <c r="AE52">
        <f ca="1">IFERROR(IF(0=LEN(ReferenceData!$AE$52),"",ReferenceData!$AE$52),"")</f>
        <v>18442.919999999998</v>
      </c>
      <c r="AF52">
        <f ca="1">IFERROR(IF(0=LEN(ReferenceData!$AF$52),"",ReferenceData!$AF$52),"")</f>
        <v>12398.55</v>
      </c>
      <c r="AG52">
        <f ca="1">IFERROR(IF(0=LEN(ReferenceData!$AG$52),"",ReferenceData!$AG$52),"")</f>
        <v>25973.33</v>
      </c>
      <c r="AH52">
        <f ca="1">IFERROR(IF(0=LEN(ReferenceData!$AH$52),"",ReferenceData!$AH$52),"")</f>
        <v>28062.66</v>
      </c>
      <c r="AI52">
        <f ca="1">IFERROR(IF(0=LEN(ReferenceData!$AI$52),"",ReferenceData!$AI$52),"")</f>
        <v>2967.2</v>
      </c>
      <c r="AJ52">
        <f ca="1">IFERROR(IF(0=LEN(ReferenceData!$AJ$52),"",ReferenceData!$AJ$52),"")</f>
        <v>37758.839999999997</v>
      </c>
      <c r="AK52">
        <f ca="1">IFERROR(IF(0=LEN(ReferenceData!$AK$52),"",ReferenceData!$AK$52),"")</f>
        <v>29891.33</v>
      </c>
      <c r="AL52">
        <f ca="1">IFERROR(IF(0=LEN(ReferenceData!$AL$52),"",ReferenceData!$AL$52),"")</f>
        <v>30937.98</v>
      </c>
      <c r="AM52">
        <f ca="1">IFERROR(IF(0=LEN(ReferenceData!$AM$52),"",ReferenceData!$AM$52),"")</f>
        <v>24886.83</v>
      </c>
      <c r="AN52">
        <f ca="1">IFERROR(IF(0=LEN(ReferenceData!$AN$52),"",ReferenceData!$AN$52),"")</f>
        <v>32054.33</v>
      </c>
      <c r="AO52">
        <f ca="1">IFERROR(IF(0=LEN(ReferenceData!$AO$52),"",ReferenceData!$AO$52),"")</f>
        <v>18672.45</v>
      </c>
      <c r="AP52">
        <f ca="1">IFERROR(IF(0=LEN(ReferenceData!$AP$52),"",ReferenceData!$AP$52),"")</f>
        <v>37112.58</v>
      </c>
      <c r="AQ52">
        <f ca="1">IFERROR(IF(0=LEN(ReferenceData!$AQ$52),"",ReferenceData!$AQ$52),"")</f>
        <v>21090.74</v>
      </c>
      <c r="AR52">
        <f ca="1">IFERROR(IF(0=LEN(ReferenceData!$AR$52),"",ReferenceData!$AR$52),"")</f>
        <v>18590.689999999999</v>
      </c>
      <c r="AS52">
        <f ca="1">IFERROR(IF(0=LEN(ReferenceData!$AS$52),"",ReferenceData!$AS$52),"")</f>
        <v>20266.25</v>
      </c>
      <c r="AT52">
        <f ca="1">IFERROR(IF(0=LEN(ReferenceData!$AT$52),"",ReferenceData!$AT$52),"")</f>
        <v>25146.09</v>
      </c>
      <c r="AU52">
        <f ca="1">IFERROR(IF(0=LEN(ReferenceData!$AU$52),"",ReferenceData!$AU$52),"")</f>
        <v>25732.67</v>
      </c>
      <c r="AV52">
        <f ca="1">IFERROR(IF(0=LEN(ReferenceData!$AV$52),"",ReferenceData!$AV$52),"")</f>
        <v>13820.54</v>
      </c>
      <c r="AW52">
        <f ca="1">IFERROR(IF(0=LEN(ReferenceData!$AW$52),"",ReferenceData!$AW$52),"")</f>
        <v>10015.83</v>
      </c>
      <c r="AX52">
        <f ca="1">IFERROR(IF(0=LEN(ReferenceData!$AX$52),"",ReferenceData!$AX$52),"")</f>
        <v>7303.55</v>
      </c>
      <c r="AY52">
        <f ca="1">IFERROR(IF(0=LEN(ReferenceData!$AY$52),"",ReferenceData!$AY$52),"")</f>
        <v>20480.39</v>
      </c>
      <c r="AZ52">
        <f ca="1">IFERROR(IF(0=LEN(ReferenceData!$AZ$52),"",ReferenceData!$AZ$52),"")</f>
        <v>12581.84</v>
      </c>
      <c r="BA52">
        <f ca="1">IFERROR(IF(0=LEN(ReferenceData!$BA$52),"",ReferenceData!$BA$52),"")</f>
        <v>25115.58</v>
      </c>
      <c r="BB52">
        <f ca="1">IFERROR(IF(0=LEN(ReferenceData!$BB$52),"",ReferenceData!$BB$52),"")</f>
        <v>4835</v>
      </c>
      <c r="BC52">
        <f ca="1">IFERROR(IF(0=LEN(ReferenceData!$BC$52),"",ReferenceData!$BC$52),"")</f>
        <v>23353.68</v>
      </c>
      <c r="BD52">
        <f ca="1">IFERROR(IF(0=LEN(ReferenceData!$BD$52),"",ReferenceData!$BD$52),"")</f>
        <v>20581.990000000002</v>
      </c>
      <c r="BE52">
        <f ca="1">IFERROR(IF(0=LEN(ReferenceData!$BE$52),"",ReferenceData!$BE$52),"")</f>
        <v>17859.23</v>
      </c>
      <c r="BF52">
        <f ca="1">IFERROR(IF(0=LEN(ReferenceData!$BF$52),"",ReferenceData!$BF$52),"")</f>
        <v>10924.5</v>
      </c>
      <c r="BG52">
        <f ca="1">IFERROR(IF(0=LEN(ReferenceData!$BG$52),"",ReferenceData!$BG$52),"")</f>
        <v>17745.09</v>
      </c>
      <c r="BH52">
        <f ca="1">IFERROR(IF(0=LEN(ReferenceData!$BH$52),"",ReferenceData!$BH$52),"")</f>
        <v>27727.01</v>
      </c>
      <c r="BI52">
        <f ca="1">IFERROR(IF(0=LEN(ReferenceData!$BI$52),"",ReferenceData!$BI$52),"")</f>
        <v>5692.28</v>
      </c>
      <c r="BJ52">
        <f ca="1">IFERROR(IF(0=LEN(ReferenceData!$BJ$52),"",ReferenceData!$BJ$52),"")</f>
        <v>12540.15</v>
      </c>
      <c r="BK52">
        <f ca="1">IFERROR(IF(0=LEN(ReferenceData!$BK$52),"",ReferenceData!$BK$52),"")</f>
        <v>11542.63</v>
      </c>
      <c r="BL52">
        <f ca="1">IFERROR(IF(0=LEN(ReferenceData!$BL$52),"",ReferenceData!$BL$52),"")</f>
        <v>6676</v>
      </c>
      <c r="BM52">
        <f ca="1">IFERROR(IF(0=LEN(ReferenceData!$BM$52),"",ReferenceData!$BM$52),"")</f>
        <v>615.23</v>
      </c>
      <c r="BN52">
        <f ca="1">IFERROR(IF(0=LEN(ReferenceData!$BN$52),"",ReferenceData!$BN$52),"")</f>
        <v>22590.76</v>
      </c>
      <c r="BO52">
        <f ca="1">IFERROR(IF(0=LEN(ReferenceData!$BO$52),"",ReferenceData!$BO$52),"")</f>
        <v>10821.89</v>
      </c>
      <c r="BP52">
        <f ca="1">IFERROR(IF(0=LEN(ReferenceData!$BP$52),"",ReferenceData!$BP$52),"")</f>
        <v>1937.7</v>
      </c>
      <c r="BQ52">
        <f ca="1">IFERROR(IF(0=LEN(ReferenceData!$BQ$52),"",ReferenceData!$BQ$52),"")</f>
        <v>17836.810000000001</v>
      </c>
      <c r="BR52">
        <f ca="1">IFERROR(IF(0=LEN(ReferenceData!$BR$52),"",ReferenceData!$BR$52),"")</f>
        <v>14362.87</v>
      </c>
      <c r="BS52">
        <f ca="1">IFERROR(IF(0=LEN(ReferenceData!$BS$52),"",ReferenceData!$BS$52),"")</f>
        <v>8718.83</v>
      </c>
      <c r="BT52">
        <f ca="1">IFERROR(IF(0=LEN(ReferenceData!$BT$52),"",ReferenceData!$BT$52),"")</f>
        <v>6886.7</v>
      </c>
      <c r="BU52">
        <f ca="1">IFERROR(IF(0=LEN(ReferenceData!$BU$52),"",ReferenceData!$BU$52),"")</f>
        <v>21877.95</v>
      </c>
      <c r="BV52">
        <f ca="1">IFERROR(IF(0=LEN(ReferenceData!$BV$52),"",ReferenceData!$BV$52),"")</f>
        <v>5183.91</v>
      </c>
      <c r="BW52">
        <f ca="1">IFERROR(IF(0=LEN(ReferenceData!$BW$52),"",ReferenceData!$BW$52),"")</f>
        <v>949.23</v>
      </c>
      <c r="BX52">
        <f ca="1">IFERROR(IF(0=LEN(ReferenceData!$BX$52),"",ReferenceData!$BX$52),"")</f>
        <v>14466.14</v>
      </c>
      <c r="BY52">
        <f ca="1">IFERROR(IF(0=LEN(ReferenceData!$BY$52),"",ReferenceData!$BY$52),"")</f>
        <v>3993.37</v>
      </c>
      <c r="BZ52">
        <f ca="1">IFERROR(IF(0=LEN(ReferenceData!$BZ$52),"",ReferenceData!$BZ$52),"")</f>
        <v>17899.57</v>
      </c>
      <c r="CA52">
        <f ca="1">IFERROR(IF(0=LEN(ReferenceData!$CA$52),"",ReferenceData!$CA$52),"")</f>
        <v>984.48</v>
      </c>
      <c r="CB52">
        <f ca="1">IFERROR(IF(0=LEN(ReferenceData!$CB$52),"",ReferenceData!$CB$52),"")</f>
        <v>2032.3</v>
      </c>
      <c r="CC52">
        <f ca="1">IFERROR(IF(0=LEN(ReferenceData!$CC$52),"",ReferenceData!$CC$52),"")</f>
        <v>8245.5</v>
      </c>
      <c r="CD52">
        <f ca="1">IFERROR(IF(0=LEN(ReferenceData!$CD$52),"",ReferenceData!$CD$52),"")</f>
        <v>15262.52</v>
      </c>
      <c r="CE52">
        <f ca="1">IFERROR(IF(0=LEN(ReferenceData!$CE$52),"",ReferenceData!$CE$52),"")</f>
        <v>16055.41</v>
      </c>
      <c r="CF52">
        <f ca="1">IFERROR(IF(0=LEN(ReferenceData!$CF$52),"",ReferenceData!$CF$52),"")</f>
        <v>13833.53</v>
      </c>
      <c r="CG52">
        <f ca="1">IFERROR(IF(0=LEN(ReferenceData!$CG$52),"",ReferenceData!$CG$52),"")</f>
        <v>13078.13</v>
      </c>
      <c r="CH52">
        <f ca="1">IFERROR(IF(0=LEN(ReferenceData!$CH$52),"",ReferenceData!$CH$52),"")</f>
        <v>12336.11</v>
      </c>
      <c r="CI52">
        <f ca="1">IFERROR(IF(0=LEN(ReferenceData!$CI$52),"",ReferenceData!$CI$52),"")</f>
        <v>11473.19</v>
      </c>
      <c r="CJ52">
        <f ca="1">IFERROR(IF(0=LEN(ReferenceData!$CJ$52),"",ReferenceData!$CJ$52),"")</f>
        <v>17430.25</v>
      </c>
      <c r="CK52">
        <f ca="1">IFERROR(IF(0=LEN(ReferenceData!$CK$52),"",ReferenceData!$CK$52),"")</f>
        <v>1271.47</v>
      </c>
    </row>
    <row r="53" spans="1:89" x14ac:dyDescent="0.25">
      <c r="A53" t="str">
        <f>IFERROR(IF(0=LEN(ReferenceData!$A$53),"",ReferenceData!$A$53),"")</f>
        <v>Port Hedland Cargo Statistics - Australia Port Hedland Total Imports (tonnes) - Hydrocarbon Imports (tonnes)</v>
      </c>
      <c r="B53" t="str">
        <f>IFERROR(IF(0=LEN(ReferenceData!$B$53),"",ReferenceData!$B$53),"")</f>
        <v>AHEDIMHY Index</v>
      </c>
      <c r="C53" t="str">
        <f>IFERROR(IF(0=LEN(ReferenceData!$C$53),"",ReferenceData!$C$53),"")</f>
        <v>PX385</v>
      </c>
      <c r="D53" t="str">
        <f>IFERROR(IF(0=LEN(ReferenceData!$D$53),"",ReferenceData!$D$53),"")</f>
        <v>INTERVAL_SUM</v>
      </c>
      <c r="E53" t="str">
        <f>IFERROR(IF(0=LEN(ReferenceData!$E$53),"",ReferenceData!$E$53),"")</f>
        <v>Dynamic</v>
      </c>
      <c r="F53" t="str">
        <f ca="1">IFERROR(IF(0=LEN(ReferenceData!$F$53),"",ReferenceData!$F$53),"")</f>
        <v/>
      </c>
      <c r="G53">
        <f ca="1">IFERROR(IF(0=LEN(ReferenceData!$G$53),"",ReferenceData!$G$53),"")</f>
        <v>145932.32</v>
      </c>
      <c r="H53">
        <f ca="1">IFERROR(IF(0=LEN(ReferenceData!$H$53),"",ReferenceData!$H$53),"")</f>
        <v>159878.73000000001</v>
      </c>
      <c r="I53">
        <f ca="1">IFERROR(IF(0=LEN(ReferenceData!$I$53),"",ReferenceData!$I$53),"")</f>
        <v>151887.82</v>
      </c>
      <c r="J53">
        <f ca="1">IFERROR(IF(0=LEN(ReferenceData!$J$53),"",ReferenceData!$J$53),"")</f>
        <v>125206.89</v>
      </c>
      <c r="K53">
        <f ca="1">IFERROR(IF(0=LEN(ReferenceData!$K$53),"",ReferenceData!$K$53),"")</f>
        <v>152692.24</v>
      </c>
      <c r="L53">
        <f ca="1">IFERROR(IF(0=LEN(ReferenceData!$L$53),"",ReferenceData!$L$53),"")</f>
        <v>191655.23</v>
      </c>
      <c r="M53">
        <f ca="1">IFERROR(IF(0=LEN(ReferenceData!$M$53),"",ReferenceData!$M$53),"")</f>
        <v>157660.22</v>
      </c>
      <c r="N53">
        <f ca="1">IFERROR(IF(0=LEN(ReferenceData!$N$53),"",ReferenceData!$N$53),"")</f>
        <v>140899.84</v>
      </c>
      <c r="O53">
        <f ca="1">IFERROR(IF(0=LEN(ReferenceData!$O$53),"",ReferenceData!$O$53),"")</f>
        <v>153549.26</v>
      </c>
      <c r="P53">
        <f ca="1">IFERROR(IF(0=LEN(ReferenceData!$P$53),"",ReferenceData!$P$53),"")</f>
        <v>145159.07</v>
      </c>
      <c r="Q53">
        <f ca="1">IFERROR(IF(0=LEN(ReferenceData!$Q$53),"",ReferenceData!$Q$53),"")</f>
        <v>176176.88</v>
      </c>
      <c r="R53">
        <f ca="1">IFERROR(IF(0=LEN(ReferenceData!$R$53),"",ReferenceData!$R$53),"")</f>
        <v>164675.76999999999</v>
      </c>
      <c r="S53">
        <f ca="1">IFERROR(IF(0=LEN(ReferenceData!$S$53),"",ReferenceData!$S$53),"")</f>
        <v>110368.72</v>
      </c>
      <c r="T53">
        <f ca="1">IFERROR(IF(0=LEN(ReferenceData!$T$53),"",ReferenceData!$T$53),"")</f>
        <v>200617.26</v>
      </c>
      <c r="U53">
        <f ca="1">IFERROR(IF(0=LEN(ReferenceData!$U$53),"",ReferenceData!$U$53),"")</f>
        <v>164497.71</v>
      </c>
      <c r="V53">
        <f ca="1">IFERROR(IF(0=LEN(ReferenceData!$V$53),"",ReferenceData!$V$53),"")</f>
        <v>137458.94</v>
      </c>
      <c r="W53">
        <f ca="1">IFERROR(IF(0=LEN(ReferenceData!$W$53),"",ReferenceData!$W$53),"")</f>
        <v>145361.29999999999</v>
      </c>
      <c r="X53">
        <f ca="1">IFERROR(IF(0=LEN(ReferenceData!$X$53),"",ReferenceData!$X$53),"")</f>
        <v>139144.75</v>
      </c>
      <c r="Y53">
        <f ca="1">IFERROR(IF(0=LEN(ReferenceData!$Y$53),"",ReferenceData!$Y$53),"")</f>
        <v>133593.06</v>
      </c>
      <c r="Z53">
        <f ca="1">IFERROR(IF(0=LEN(ReferenceData!$Z$53),"",ReferenceData!$Z$53),"")</f>
        <v>155041.87</v>
      </c>
      <c r="AA53">
        <f ca="1">IFERROR(IF(0=LEN(ReferenceData!$AA$53),"",ReferenceData!$AA$53),"")</f>
        <v>121257.57</v>
      </c>
      <c r="AB53">
        <f ca="1">IFERROR(IF(0=LEN(ReferenceData!$AB$53),"",ReferenceData!$AB$53),"")</f>
        <v>174693.14</v>
      </c>
      <c r="AC53">
        <f ca="1">IFERROR(IF(0=LEN(ReferenceData!$AC$53),"",ReferenceData!$AC$53),"")</f>
        <v>128811.21</v>
      </c>
      <c r="AD53">
        <f ca="1">IFERROR(IF(0=LEN(ReferenceData!$AD$53),"",ReferenceData!$AD$53),"")</f>
        <v>160703.78</v>
      </c>
      <c r="AE53">
        <f ca="1">IFERROR(IF(0=LEN(ReferenceData!$AE$53),"",ReferenceData!$AE$53),"")</f>
        <v>121495.41</v>
      </c>
      <c r="AF53">
        <f ca="1">IFERROR(IF(0=LEN(ReferenceData!$AF$53),"",ReferenceData!$AF$53),"")</f>
        <v>211962.86</v>
      </c>
      <c r="AG53">
        <f ca="1">IFERROR(IF(0=LEN(ReferenceData!$AG$53),"",ReferenceData!$AG$53),"")</f>
        <v>152629.84</v>
      </c>
      <c r="AH53">
        <f ca="1">IFERROR(IF(0=LEN(ReferenceData!$AH$53),"",ReferenceData!$AH$53),"")</f>
        <v>143230.35999999999</v>
      </c>
      <c r="AI53">
        <f ca="1">IFERROR(IF(0=LEN(ReferenceData!$AI$53),"",ReferenceData!$AI$53),"")</f>
        <v>166724.76999999999</v>
      </c>
      <c r="AJ53">
        <f ca="1">IFERROR(IF(0=LEN(ReferenceData!$AJ$53),"",ReferenceData!$AJ$53),"")</f>
        <v>147187.95000000001</v>
      </c>
      <c r="AK53">
        <f ca="1">IFERROR(IF(0=LEN(ReferenceData!$AK$53),"",ReferenceData!$AK$53),"")</f>
        <v>148930.04</v>
      </c>
      <c r="AL53">
        <f ca="1">IFERROR(IF(0=LEN(ReferenceData!$AL$53),"",ReferenceData!$AL$53),"")</f>
        <v>108886.44</v>
      </c>
      <c r="AM53">
        <f ca="1">IFERROR(IF(0=LEN(ReferenceData!$AM$53),"",ReferenceData!$AM$53),"")</f>
        <v>148601.75</v>
      </c>
      <c r="AN53">
        <f ca="1">IFERROR(IF(0=LEN(ReferenceData!$AN$53),"",ReferenceData!$AN$53),"")</f>
        <v>131604.14000000001</v>
      </c>
      <c r="AO53">
        <f ca="1">IFERROR(IF(0=LEN(ReferenceData!$AO$53),"",ReferenceData!$AO$53),"")</f>
        <v>165860.19</v>
      </c>
      <c r="AP53">
        <f ca="1">IFERROR(IF(0=LEN(ReferenceData!$AP$53),"",ReferenceData!$AP$53),"")</f>
        <v>149781.66</v>
      </c>
      <c r="AQ53">
        <f ca="1">IFERROR(IF(0=LEN(ReferenceData!$AQ$53),"",ReferenceData!$AQ$53),"")</f>
        <v>157583.72</v>
      </c>
      <c r="AR53">
        <f ca="1">IFERROR(IF(0=LEN(ReferenceData!$AR$53),"",ReferenceData!$AR$53),"")</f>
        <v>165859.47</v>
      </c>
      <c r="AS53">
        <f ca="1">IFERROR(IF(0=LEN(ReferenceData!$AS$53),"",ReferenceData!$AS$53),"")</f>
        <v>165275.76999999999</v>
      </c>
      <c r="AT53">
        <f ca="1">IFERROR(IF(0=LEN(ReferenceData!$AT$53),"",ReferenceData!$AT$53),"")</f>
        <v>151825.76999999999</v>
      </c>
      <c r="AU53">
        <f ca="1">IFERROR(IF(0=LEN(ReferenceData!$AU$53),"",ReferenceData!$AU$53),"")</f>
        <v>150491.62</v>
      </c>
      <c r="AV53">
        <f ca="1">IFERROR(IF(0=LEN(ReferenceData!$AV$53),"",ReferenceData!$AV$53),"")</f>
        <v>118760.76</v>
      </c>
      <c r="AW53">
        <f ca="1">IFERROR(IF(0=LEN(ReferenceData!$AW$53),"",ReferenceData!$AW$53),"")</f>
        <v>146237.37</v>
      </c>
      <c r="AX53">
        <f ca="1">IFERROR(IF(0=LEN(ReferenceData!$AX$53),"",ReferenceData!$AX$53),"")</f>
        <v>113157.57</v>
      </c>
      <c r="AY53">
        <f ca="1">IFERROR(IF(0=LEN(ReferenceData!$AY$53),"",ReferenceData!$AY$53),"")</f>
        <v>162497.29999999999</v>
      </c>
      <c r="AZ53">
        <f ca="1">IFERROR(IF(0=LEN(ReferenceData!$AZ$53),"",ReferenceData!$AZ$53),"")</f>
        <v>148184.04</v>
      </c>
      <c r="BA53">
        <f ca="1">IFERROR(IF(0=LEN(ReferenceData!$BA$53),"",ReferenceData!$BA$53),"")</f>
        <v>119171.4</v>
      </c>
      <c r="BB53">
        <f ca="1">IFERROR(IF(0=LEN(ReferenceData!$BB$53),"",ReferenceData!$BB$53),"")</f>
        <v>206230.09</v>
      </c>
      <c r="BC53">
        <f ca="1">IFERROR(IF(0=LEN(ReferenceData!$BC$53),"",ReferenceData!$BC$53),"")</f>
        <v>144378.26</v>
      </c>
      <c r="BD53">
        <f ca="1">IFERROR(IF(0=LEN(ReferenceData!$BD$53),"",ReferenceData!$BD$53),"")</f>
        <v>155535</v>
      </c>
      <c r="BE53">
        <f ca="1">IFERROR(IF(0=LEN(ReferenceData!$BE$53),"",ReferenceData!$BE$53),"")</f>
        <v>142614.95000000001</v>
      </c>
      <c r="BF53">
        <f ca="1">IFERROR(IF(0=LEN(ReferenceData!$BF$53),"",ReferenceData!$BF$53),"")</f>
        <v>166631.82999999999</v>
      </c>
      <c r="BG53">
        <f ca="1">IFERROR(IF(0=LEN(ReferenceData!$BG$53),"",ReferenceData!$BG$53),"")</f>
        <v>131989.10999999999</v>
      </c>
      <c r="BH53">
        <f ca="1">IFERROR(IF(0=LEN(ReferenceData!$BH$53),"",ReferenceData!$BH$53),"")</f>
        <v>134201.26</v>
      </c>
      <c r="BI53">
        <f ca="1">IFERROR(IF(0=LEN(ReferenceData!$BI$53),"",ReferenceData!$BI$53),"")</f>
        <v>143188.85</v>
      </c>
      <c r="BJ53">
        <f ca="1">IFERROR(IF(0=LEN(ReferenceData!$BJ$53),"",ReferenceData!$BJ$53),"")</f>
        <v>143637.5</v>
      </c>
      <c r="BK53">
        <f ca="1">IFERROR(IF(0=LEN(ReferenceData!$BK$53),"",ReferenceData!$BK$53),"")</f>
        <v>64317.17</v>
      </c>
      <c r="BL53">
        <f ca="1">IFERROR(IF(0=LEN(ReferenceData!$BL$53),"",ReferenceData!$BL$53),"")</f>
        <v>208737.26</v>
      </c>
      <c r="BM53">
        <f ca="1">IFERROR(IF(0=LEN(ReferenceData!$BM$53),"",ReferenceData!$BM$53),"")</f>
        <v>97834.39</v>
      </c>
      <c r="BN53">
        <f ca="1">IFERROR(IF(0=LEN(ReferenceData!$BN$53),"",ReferenceData!$BN$53),"")</f>
        <v>138786.62</v>
      </c>
      <c r="BO53">
        <f ca="1">IFERROR(IF(0=LEN(ReferenceData!$BO$53),"",ReferenceData!$BO$53),"")</f>
        <v>128002.55</v>
      </c>
      <c r="BP53">
        <f ca="1">IFERROR(IF(0=LEN(ReferenceData!$BP$53),"",ReferenceData!$BP$53),"")</f>
        <v>105900.54</v>
      </c>
      <c r="BQ53">
        <f ca="1">IFERROR(IF(0=LEN(ReferenceData!$BQ$53),"",ReferenceData!$BQ$53),"")</f>
        <v>146805.44</v>
      </c>
      <c r="BR53">
        <f ca="1">IFERROR(IF(0=LEN(ReferenceData!$BR$53),"",ReferenceData!$BR$53),"")</f>
        <v>156352.37</v>
      </c>
      <c r="BS53">
        <f ca="1">IFERROR(IF(0=LEN(ReferenceData!$BS$53),"",ReferenceData!$BS$53),"")</f>
        <v>125084.81</v>
      </c>
      <c r="BT53">
        <f ca="1">IFERROR(IF(0=LEN(ReferenceData!$BT$53),"",ReferenceData!$BT$53),"")</f>
        <v>101347.11</v>
      </c>
      <c r="BU53">
        <f ca="1">IFERROR(IF(0=LEN(ReferenceData!$BU$53),"",ReferenceData!$BU$53),"")</f>
        <v>109267.25</v>
      </c>
      <c r="BV53">
        <f ca="1">IFERROR(IF(0=LEN(ReferenceData!$BV$53),"",ReferenceData!$BV$53),"")</f>
        <v>142480.93</v>
      </c>
      <c r="BW53">
        <f ca="1">IFERROR(IF(0=LEN(ReferenceData!$BW$53),"",ReferenceData!$BW$53),"")</f>
        <v>100757.28</v>
      </c>
      <c r="BX53">
        <f ca="1">IFERROR(IF(0=LEN(ReferenceData!$BX$53),"",ReferenceData!$BX$53),"")</f>
        <v>126138.53</v>
      </c>
      <c r="BY53">
        <f ca="1">IFERROR(IF(0=LEN(ReferenceData!$BY$53),"",ReferenceData!$BY$53),"")</f>
        <v>180903.49</v>
      </c>
      <c r="BZ53">
        <f ca="1">IFERROR(IF(0=LEN(ReferenceData!$BZ$53),"",ReferenceData!$BZ$53),"")</f>
        <v>99631.3</v>
      </c>
      <c r="CA53">
        <f ca="1">IFERROR(IF(0=LEN(ReferenceData!$CA$53),"",ReferenceData!$CA$53),"")</f>
        <v>139193.79999999999</v>
      </c>
      <c r="CB53">
        <f ca="1">IFERROR(IF(0=LEN(ReferenceData!$CB$53),"",ReferenceData!$CB$53),"")</f>
        <v>136802.54999999999</v>
      </c>
      <c r="CC53">
        <f ca="1">IFERROR(IF(0=LEN(ReferenceData!$CC$53),"",ReferenceData!$CC$53),"")</f>
        <v>119785.78</v>
      </c>
      <c r="CD53">
        <f ca="1">IFERROR(IF(0=LEN(ReferenceData!$CD$53),"",ReferenceData!$CD$53),"")</f>
        <v>147873.85</v>
      </c>
      <c r="CE53">
        <f ca="1">IFERROR(IF(0=LEN(ReferenceData!$CE$53),"",ReferenceData!$CE$53),"")</f>
        <v>134108.4</v>
      </c>
      <c r="CF53">
        <f ca="1">IFERROR(IF(0=LEN(ReferenceData!$CF$53),"",ReferenceData!$CF$53),"")</f>
        <v>80638.94</v>
      </c>
      <c r="CG53">
        <f ca="1">IFERROR(IF(0=LEN(ReferenceData!$CG$53),"",ReferenceData!$CG$53),"")</f>
        <v>127953.54</v>
      </c>
      <c r="CH53">
        <f ca="1">IFERROR(IF(0=LEN(ReferenceData!$CH$53),"",ReferenceData!$CH$53),"")</f>
        <v>118843.63</v>
      </c>
      <c r="CI53">
        <f ca="1">IFERROR(IF(0=LEN(ReferenceData!$CI$53),"",ReferenceData!$CI$53),"")</f>
        <v>106579.68</v>
      </c>
      <c r="CJ53">
        <f ca="1">IFERROR(IF(0=LEN(ReferenceData!$CJ$53),"",ReferenceData!$CJ$53),"")</f>
        <v>127849.18</v>
      </c>
      <c r="CK53">
        <f ca="1">IFERROR(IF(0=LEN(ReferenceData!$CK$53),"",ReferenceData!$CK$53),"")</f>
        <v>152999.88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Q142"/>
  <sheetViews>
    <sheetView workbookViewId="0"/>
  </sheetViews>
  <sheetFormatPr defaultRowHeight="15" x14ac:dyDescent="0.25"/>
  <cols>
    <col min="1" max="1" width="56.28515625" customWidth="1"/>
    <col min="2" max="2" width="15.85546875" customWidth="1"/>
    <col min="3" max="173" width="9.140625" bestFit="1" customWidth="1"/>
  </cols>
  <sheetData>
    <row r="1" spans="1:173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</row>
    <row r="2" spans="1:173" x14ac:dyDescent="0.25">
      <c r="A2" s="2" t="str">
        <f>"Description"</f>
        <v>Description</v>
      </c>
      <c r="B2" s="2" t="str">
        <f>"Ticker"</f>
        <v>Ticker</v>
      </c>
      <c r="C2" s="2" t="str">
        <f>"Field ID"</f>
        <v>Field ID</v>
      </c>
      <c r="D2" s="2" t="str">
        <f>"Field Mnemonic"</f>
        <v>Field Mnemonic</v>
      </c>
      <c r="E2" s="2" t="str">
        <f>"Data State"</f>
        <v>Data State</v>
      </c>
      <c r="F2" s="2" t="str">
        <f>ReferenceData!$C$133</f>
        <v>10/2023</v>
      </c>
      <c r="G2" s="2" t="str">
        <f>ReferenceData!$D$133</f>
        <v>9/2023</v>
      </c>
      <c r="H2" s="2" t="str">
        <f>ReferenceData!$E$133</f>
        <v>8/2023</v>
      </c>
      <c r="I2" s="2" t="str">
        <f>ReferenceData!$F$133</f>
        <v>7/2023</v>
      </c>
      <c r="J2" s="2" t="str">
        <f>ReferenceData!$G$133</f>
        <v>6/2023</v>
      </c>
      <c r="K2" s="2" t="str">
        <f>ReferenceData!$H$133</f>
        <v>5/2023</v>
      </c>
      <c r="L2" s="2" t="str">
        <f>ReferenceData!$I$133</f>
        <v>4/2023</v>
      </c>
      <c r="M2" s="2" t="str">
        <f>ReferenceData!$J$133</f>
        <v>3/2023</v>
      </c>
      <c r="N2" s="2" t="str">
        <f>ReferenceData!$K$133</f>
        <v>2/2023</v>
      </c>
      <c r="O2" s="2" t="str">
        <f>ReferenceData!$L$133</f>
        <v>1/2023</v>
      </c>
      <c r="P2" s="2" t="str">
        <f>ReferenceData!$M$133</f>
        <v>12/2022</v>
      </c>
      <c r="Q2" s="2" t="str">
        <f>ReferenceData!$N$133</f>
        <v>11/2022</v>
      </c>
      <c r="R2" s="2" t="str">
        <f>ReferenceData!$O$133</f>
        <v>10/2022</v>
      </c>
      <c r="S2" s="2" t="str">
        <f>ReferenceData!$P$133</f>
        <v>9/2022</v>
      </c>
      <c r="T2" s="2" t="str">
        <f>ReferenceData!$Q$133</f>
        <v>8/2022</v>
      </c>
      <c r="U2" s="2" t="str">
        <f>ReferenceData!$R$133</f>
        <v>7/2022</v>
      </c>
      <c r="V2" s="2" t="str">
        <f>ReferenceData!$S$133</f>
        <v>6/2022</v>
      </c>
      <c r="W2" s="2" t="str">
        <f>ReferenceData!$T$133</f>
        <v>5/2022</v>
      </c>
      <c r="X2" s="2" t="str">
        <f>ReferenceData!$U$133</f>
        <v>4/2022</v>
      </c>
      <c r="Y2" s="2" t="str">
        <f>ReferenceData!$V$133</f>
        <v>3/2022</v>
      </c>
      <c r="Z2" s="2" t="str">
        <f>ReferenceData!$W$133</f>
        <v>2/2022</v>
      </c>
      <c r="AA2" s="2" t="str">
        <f>ReferenceData!$X$133</f>
        <v>1/2022</v>
      </c>
      <c r="AB2" s="2" t="str">
        <f>ReferenceData!$Y$133</f>
        <v>12/2021</v>
      </c>
      <c r="AC2" s="2" t="str">
        <f>ReferenceData!$Z$133</f>
        <v>11/2021</v>
      </c>
      <c r="AD2" s="2" t="str">
        <f>ReferenceData!$AA$133</f>
        <v>10/2021</v>
      </c>
      <c r="AE2" s="2" t="str">
        <f>ReferenceData!$AB$133</f>
        <v>9/2021</v>
      </c>
      <c r="AF2" s="2" t="str">
        <f>ReferenceData!$AC$133</f>
        <v>8/2021</v>
      </c>
      <c r="AG2" s="2" t="str">
        <f>ReferenceData!$AD$133</f>
        <v>7/2021</v>
      </c>
      <c r="AH2" s="2" t="str">
        <f>ReferenceData!$AE$133</f>
        <v>6/2021</v>
      </c>
      <c r="AI2" s="2" t="str">
        <f>ReferenceData!$AF$133</f>
        <v>5/2021</v>
      </c>
      <c r="AJ2" s="2" t="str">
        <f>ReferenceData!$AG$133</f>
        <v>4/2021</v>
      </c>
      <c r="AK2" s="2" t="str">
        <f>ReferenceData!$AH$133</f>
        <v>3/2021</v>
      </c>
      <c r="AL2" s="2" t="str">
        <f>ReferenceData!$AI$133</f>
        <v>2/2021</v>
      </c>
      <c r="AM2" s="2" t="str">
        <f>ReferenceData!$AJ$133</f>
        <v>1/2021</v>
      </c>
      <c r="AN2" s="2" t="str">
        <f>ReferenceData!$AK$133</f>
        <v>12/2020</v>
      </c>
      <c r="AO2" s="2" t="str">
        <f>ReferenceData!$AL$133</f>
        <v>11/2020</v>
      </c>
      <c r="AP2" s="2" t="str">
        <f>ReferenceData!$AM$133</f>
        <v>10/2020</v>
      </c>
      <c r="AQ2" s="2" t="str">
        <f>ReferenceData!$AN$133</f>
        <v>9/2020</v>
      </c>
      <c r="AR2" s="2" t="str">
        <f>ReferenceData!$AO$133</f>
        <v>8/2020</v>
      </c>
      <c r="AS2" s="2" t="str">
        <f>ReferenceData!$AP$133</f>
        <v>7/2020</v>
      </c>
      <c r="AT2" s="2" t="str">
        <f>ReferenceData!$AQ$133</f>
        <v>6/2020</v>
      </c>
      <c r="AU2" s="2" t="str">
        <f>ReferenceData!$AR$133</f>
        <v>5/2020</v>
      </c>
      <c r="AV2" s="2" t="str">
        <f>ReferenceData!$AS$133</f>
        <v>4/2020</v>
      </c>
      <c r="AW2" s="2" t="str">
        <f>ReferenceData!$AT$133</f>
        <v>3/2020</v>
      </c>
      <c r="AX2" s="2" t="str">
        <f>ReferenceData!$AU$133</f>
        <v>2/2020</v>
      </c>
      <c r="AY2" s="2" t="str">
        <f>ReferenceData!$AV$133</f>
        <v>1/2020</v>
      </c>
      <c r="AZ2" s="2" t="str">
        <f>ReferenceData!$AW$133</f>
        <v>12/2019</v>
      </c>
      <c r="BA2" s="2" t="str">
        <f>ReferenceData!$AX$133</f>
        <v>11/2019</v>
      </c>
      <c r="BB2" s="2" t="str">
        <f>ReferenceData!$AY$133</f>
        <v>10/2019</v>
      </c>
      <c r="BC2" s="2" t="str">
        <f>ReferenceData!$AZ$133</f>
        <v>9/2019</v>
      </c>
      <c r="BD2" s="2" t="str">
        <f>ReferenceData!$BA$133</f>
        <v>8/2019</v>
      </c>
      <c r="BE2" s="2" t="str">
        <f>ReferenceData!$BB$133</f>
        <v>7/2019</v>
      </c>
      <c r="BF2" s="2" t="str">
        <f>ReferenceData!$BC$133</f>
        <v>6/2019</v>
      </c>
      <c r="BG2" s="2" t="str">
        <f>ReferenceData!$BD$133</f>
        <v>5/2019</v>
      </c>
      <c r="BH2" s="2" t="str">
        <f>ReferenceData!$BE$133</f>
        <v>4/2019</v>
      </c>
      <c r="BI2" s="2" t="str">
        <f>ReferenceData!$BF$133</f>
        <v>3/2019</v>
      </c>
      <c r="BJ2" s="2" t="str">
        <f>ReferenceData!$BG$133</f>
        <v>2/2019</v>
      </c>
      <c r="BK2" s="2" t="str">
        <f>ReferenceData!$BH$133</f>
        <v>1/2019</v>
      </c>
      <c r="BL2" s="2" t="str">
        <f>ReferenceData!$BI$133</f>
        <v>12/2018</v>
      </c>
      <c r="BM2" s="2" t="str">
        <f>ReferenceData!$BJ$133</f>
        <v>11/2018</v>
      </c>
      <c r="BN2" s="2" t="str">
        <f>ReferenceData!$BK$133</f>
        <v>10/2018</v>
      </c>
      <c r="BO2" s="2" t="str">
        <f>ReferenceData!$BL$133</f>
        <v>9/2018</v>
      </c>
      <c r="BP2" s="2" t="str">
        <f>ReferenceData!$BM$133</f>
        <v>8/2018</v>
      </c>
      <c r="BQ2" s="2" t="str">
        <f>ReferenceData!$BN$133</f>
        <v>7/2018</v>
      </c>
      <c r="BR2" s="2" t="str">
        <f>ReferenceData!$BO$133</f>
        <v>6/2018</v>
      </c>
      <c r="BS2" s="2" t="str">
        <f>ReferenceData!$BP$133</f>
        <v>5/2018</v>
      </c>
      <c r="BT2" s="2" t="str">
        <f>ReferenceData!$BQ$133</f>
        <v>4/2018</v>
      </c>
      <c r="BU2" s="2" t="str">
        <f>ReferenceData!$BR$133</f>
        <v>3/2018</v>
      </c>
      <c r="BV2" s="2" t="str">
        <f>ReferenceData!$BS$133</f>
        <v>2/2018</v>
      </c>
      <c r="BW2" s="2" t="str">
        <f>ReferenceData!$BT$133</f>
        <v>1/2018</v>
      </c>
      <c r="BX2" s="2" t="str">
        <f>ReferenceData!$BU$133</f>
        <v>12/2017</v>
      </c>
      <c r="BY2" s="2" t="str">
        <f>ReferenceData!$BV$133</f>
        <v>11/2017</v>
      </c>
      <c r="BZ2" s="2" t="str">
        <f>ReferenceData!$BW$133</f>
        <v>10/2017</v>
      </c>
      <c r="CA2" s="2" t="str">
        <f>ReferenceData!$BX$133</f>
        <v>9/2017</v>
      </c>
      <c r="CB2" s="2" t="str">
        <f>ReferenceData!$BY$133</f>
        <v>8/2017</v>
      </c>
      <c r="CC2" s="2" t="str">
        <f>ReferenceData!$BZ$133</f>
        <v>7/2017</v>
      </c>
      <c r="CD2" s="2" t="str">
        <f>ReferenceData!$CA$133</f>
        <v>6/2017</v>
      </c>
      <c r="CE2" s="2" t="str">
        <f>ReferenceData!$CB$133</f>
        <v>5/2017</v>
      </c>
      <c r="CF2" s="2" t="str">
        <f>ReferenceData!$CC$133</f>
        <v>4/2017</v>
      </c>
      <c r="CG2" s="2" t="str">
        <f>ReferenceData!$CD$133</f>
        <v>3/2017</v>
      </c>
      <c r="CH2" s="2" t="str">
        <f>ReferenceData!$CE$133</f>
        <v>2/2017</v>
      </c>
      <c r="CI2" s="2" t="str">
        <f>ReferenceData!$CF$133</f>
        <v>1/2017</v>
      </c>
      <c r="CJ2" s="2" t="str">
        <f>ReferenceData!$CG$133</f>
        <v>12/2016</v>
      </c>
      <c r="CK2" s="2" t="str">
        <f>ReferenceData!$CH$133</f>
        <v>11/2016</v>
      </c>
      <c r="CL2" t="str">
        <f>$C$133</f>
        <v>10/2023</v>
      </c>
      <c r="CM2" t="str">
        <f>$D$133</f>
        <v>9/2023</v>
      </c>
      <c r="CN2" t="str">
        <f>$E$133</f>
        <v>8/2023</v>
      </c>
      <c r="CO2" t="str">
        <f>$F$133</f>
        <v>7/2023</v>
      </c>
      <c r="CP2" t="str">
        <f>$G$133</f>
        <v>6/2023</v>
      </c>
      <c r="CQ2" t="str">
        <f>$H$133</f>
        <v>5/2023</v>
      </c>
      <c r="CR2" t="str">
        <f>$I$133</f>
        <v>4/2023</v>
      </c>
      <c r="CS2" t="str">
        <f>$J$133</f>
        <v>3/2023</v>
      </c>
      <c r="CT2" t="str">
        <f>$K$133</f>
        <v>2/2023</v>
      </c>
      <c r="CU2" t="str">
        <f>$L$133</f>
        <v>1/2023</v>
      </c>
      <c r="CV2" t="str">
        <f>$M$133</f>
        <v>12/2022</v>
      </c>
      <c r="CW2" t="str">
        <f>$N$133</f>
        <v>11/2022</v>
      </c>
      <c r="CX2" t="str">
        <f>$O$133</f>
        <v>10/2022</v>
      </c>
      <c r="CY2" t="str">
        <f>$P$133</f>
        <v>9/2022</v>
      </c>
      <c r="CZ2" t="str">
        <f>$Q$133</f>
        <v>8/2022</v>
      </c>
      <c r="DA2" t="str">
        <f>$R$133</f>
        <v>7/2022</v>
      </c>
      <c r="DB2" t="str">
        <f>$S$133</f>
        <v>6/2022</v>
      </c>
      <c r="DC2" t="str">
        <f>$T$133</f>
        <v>5/2022</v>
      </c>
      <c r="DD2" t="str">
        <f>$U$133</f>
        <v>4/2022</v>
      </c>
      <c r="DE2" t="str">
        <f>$V$133</f>
        <v>3/2022</v>
      </c>
      <c r="DF2" t="str">
        <f>$W$133</f>
        <v>2/2022</v>
      </c>
      <c r="DG2" t="str">
        <f>$X$133</f>
        <v>1/2022</v>
      </c>
      <c r="DH2" t="str">
        <f>$Y$133</f>
        <v>12/2021</v>
      </c>
      <c r="DI2" t="str">
        <f>$Z$133</f>
        <v>11/2021</v>
      </c>
      <c r="DJ2" t="str">
        <f>$AA$133</f>
        <v>10/2021</v>
      </c>
      <c r="DK2" t="str">
        <f>$AB$133</f>
        <v>9/2021</v>
      </c>
      <c r="DL2" t="str">
        <f>$AC$133</f>
        <v>8/2021</v>
      </c>
      <c r="DM2" t="str">
        <f>$AD$133</f>
        <v>7/2021</v>
      </c>
      <c r="DN2" t="str">
        <f>$AE$133</f>
        <v>6/2021</v>
      </c>
      <c r="DO2" t="str">
        <f>$AF$133</f>
        <v>5/2021</v>
      </c>
      <c r="DP2" t="str">
        <f>$AG$133</f>
        <v>4/2021</v>
      </c>
      <c r="DQ2" t="str">
        <f>$AH$133</f>
        <v>3/2021</v>
      </c>
      <c r="DR2" t="str">
        <f>$AI$133</f>
        <v>2/2021</v>
      </c>
      <c r="DS2" t="str">
        <f>$AJ$133</f>
        <v>1/2021</v>
      </c>
      <c r="DT2" t="str">
        <f>$AK$133</f>
        <v>12/2020</v>
      </c>
      <c r="DU2" t="str">
        <f>$AL$133</f>
        <v>11/2020</v>
      </c>
      <c r="DV2" t="str">
        <f>$AM$133</f>
        <v>10/2020</v>
      </c>
      <c r="DW2" t="str">
        <f>$AN$133</f>
        <v>9/2020</v>
      </c>
      <c r="DX2" t="str">
        <f>$AO$133</f>
        <v>8/2020</v>
      </c>
      <c r="DY2" t="str">
        <f>$AP$133</f>
        <v>7/2020</v>
      </c>
      <c r="DZ2" t="str">
        <f>$AQ$133</f>
        <v>6/2020</v>
      </c>
      <c r="EA2" t="str">
        <f>$AR$133</f>
        <v>5/2020</v>
      </c>
      <c r="EB2" t="str">
        <f>$AS$133</f>
        <v>4/2020</v>
      </c>
      <c r="EC2" t="str">
        <f>$AT$133</f>
        <v>3/2020</v>
      </c>
      <c r="ED2" t="str">
        <f>$AU$133</f>
        <v>2/2020</v>
      </c>
      <c r="EE2" t="str">
        <f>$AV$133</f>
        <v>1/2020</v>
      </c>
      <c r="EF2" t="str">
        <f>$AW$133</f>
        <v>12/2019</v>
      </c>
      <c r="EG2" t="str">
        <f>$AX$133</f>
        <v>11/2019</v>
      </c>
      <c r="EH2" t="str">
        <f>$AY$133</f>
        <v>10/2019</v>
      </c>
      <c r="EI2" t="str">
        <f>$AZ$133</f>
        <v>9/2019</v>
      </c>
      <c r="EJ2" t="str">
        <f>$BA$133</f>
        <v>8/2019</v>
      </c>
      <c r="EK2" t="str">
        <f>$BB$133</f>
        <v>7/2019</v>
      </c>
      <c r="EL2" t="str">
        <f>$BC$133</f>
        <v>6/2019</v>
      </c>
      <c r="EM2" t="str">
        <f>$BD$133</f>
        <v>5/2019</v>
      </c>
      <c r="EN2" t="str">
        <f>$BE$133</f>
        <v>4/2019</v>
      </c>
      <c r="EO2" t="str">
        <f>$BF$133</f>
        <v>3/2019</v>
      </c>
      <c r="EP2" t="str">
        <f>$BG$133</f>
        <v>2/2019</v>
      </c>
      <c r="EQ2" t="str">
        <f>$BH$133</f>
        <v>1/2019</v>
      </c>
      <c r="ER2" t="str">
        <f>$BI$133</f>
        <v>12/2018</v>
      </c>
      <c r="ES2" t="str">
        <f>$BJ$133</f>
        <v>11/2018</v>
      </c>
      <c r="ET2" t="str">
        <f>$BK$133</f>
        <v>10/2018</v>
      </c>
      <c r="EU2" t="str">
        <f>$BL$133</f>
        <v>9/2018</v>
      </c>
      <c r="EV2" t="str">
        <f>$BM$133</f>
        <v>8/2018</v>
      </c>
      <c r="EW2" t="str">
        <f>$BN$133</f>
        <v>7/2018</v>
      </c>
      <c r="EX2" t="str">
        <f>$BO$133</f>
        <v>6/2018</v>
      </c>
      <c r="EY2" t="str">
        <f>$BP$133</f>
        <v>5/2018</v>
      </c>
      <c r="EZ2" t="str">
        <f>$BQ$133</f>
        <v>4/2018</v>
      </c>
      <c r="FA2" t="str">
        <f>$BR$133</f>
        <v>3/2018</v>
      </c>
      <c r="FB2" t="str">
        <f>$BS$133</f>
        <v>2/2018</v>
      </c>
      <c r="FC2" t="str">
        <f>$BT$133</f>
        <v>1/2018</v>
      </c>
      <c r="FD2" t="str">
        <f>$BU$133</f>
        <v>12/2017</v>
      </c>
      <c r="FE2" t="str">
        <f>$BV$133</f>
        <v>11/2017</v>
      </c>
      <c r="FF2" t="str">
        <f>$BW$133</f>
        <v>10/2017</v>
      </c>
      <c r="FG2" t="str">
        <f>$BX$133</f>
        <v>9/2017</v>
      </c>
      <c r="FH2" t="str">
        <f>$BY$133</f>
        <v>8/2017</v>
      </c>
      <c r="FI2" t="str">
        <f>$BZ$133</f>
        <v>7/2017</v>
      </c>
      <c r="FJ2" t="str">
        <f>$CA$133</f>
        <v>6/2017</v>
      </c>
      <c r="FK2" t="str">
        <f>$CB$133</f>
        <v>5/2017</v>
      </c>
      <c r="FL2" t="str">
        <f>$CC$133</f>
        <v>4/2017</v>
      </c>
      <c r="FM2" t="str">
        <f>$CD$133</f>
        <v>3/2017</v>
      </c>
      <c r="FN2" t="str">
        <f>$CE$133</f>
        <v>2/2017</v>
      </c>
      <c r="FO2" t="str">
        <f>$CF$133</f>
        <v>1/2017</v>
      </c>
      <c r="FP2" t="str">
        <f>$CG$133</f>
        <v>12/2016</v>
      </c>
      <c r="FQ2" t="str">
        <f>$CH$133</f>
        <v>11/2016</v>
      </c>
    </row>
    <row r="3" spans="1:173" x14ac:dyDescent="0.25">
      <c r="A3" t="str">
        <f>"Singapore Port Statistics"</f>
        <v>Singapore Port Statistics</v>
      </c>
      <c r="B3" t="str">
        <f>""</f>
        <v/>
      </c>
      <c r="E3" t="str">
        <f>"Heading"</f>
        <v>Heading</v>
      </c>
      <c r="CL3" t="str">
        <f>""</f>
        <v/>
      </c>
      <c r="CM3" t="str">
        <f>""</f>
        <v/>
      </c>
      <c r="CN3" t="str">
        <f>""</f>
        <v/>
      </c>
      <c r="CO3" t="str">
        <f>""</f>
        <v/>
      </c>
      <c r="CP3" t="str">
        <f>""</f>
        <v/>
      </c>
      <c r="CQ3" t="str">
        <f>""</f>
        <v/>
      </c>
      <c r="CR3" t="str">
        <f>""</f>
        <v/>
      </c>
      <c r="CS3" t="str">
        <f>""</f>
        <v/>
      </c>
      <c r="CT3" t="str">
        <f>""</f>
        <v/>
      </c>
      <c r="CU3" t="str">
        <f>""</f>
        <v/>
      </c>
      <c r="CV3" t="str">
        <f>""</f>
        <v/>
      </c>
      <c r="CW3" t="str">
        <f>""</f>
        <v/>
      </c>
      <c r="CX3" t="str">
        <f>""</f>
        <v/>
      </c>
      <c r="CY3" t="str">
        <f>""</f>
        <v/>
      </c>
      <c r="CZ3" t="str">
        <f>""</f>
        <v/>
      </c>
      <c r="DA3" t="str">
        <f>""</f>
        <v/>
      </c>
      <c r="DB3" t="str">
        <f>""</f>
        <v/>
      </c>
      <c r="DC3" t="str">
        <f>""</f>
        <v/>
      </c>
      <c r="DD3" t="str">
        <f>""</f>
        <v/>
      </c>
      <c r="DE3" t="str">
        <f>""</f>
        <v/>
      </c>
      <c r="DF3" t="str">
        <f>""</f>
        <v/>
      </c>
      <c r="DG3" t="str">
        <f>""</f>
        <v/>
      </c>
      <c r="DH3" t="str">
        <f>""</f>
        <v/>
      </c>
      <c r="DI3" t="str">
        <f>""</f>
        <v/>
      </c>
      <c r="DJ3" t="str">
        <f>""</f>
        <v/>
      </c>
      <c r="DK3" t="str">
        <f>""</f>
        <v/>
      </c>
      <c r="DL3" t="str">
        <f>""</f>
        <v/>
      </c>
      <c r="DM3" t="str">
        <f>""</f>
        <v/>
      </c>
      <c r="DN3" t="str">
        <f>""</f>
        <v/>
      </c>
      <c r="DO3" t="str">
        <f>""</f>
        <v/>
      </c>
      <c r="DP3" t="str">
        <f>""</f>
        <v/>
      </c>
      <c r="DQ3" t="str">
        <f>""</f>
        <v/>
      </c>
      <c r="DR3" t="str">
        <f>""</f>
        <v/>
      </c>
      <c r="DS3" t="str">
        <f>""</f>
        <v/>
      </c>
      <c r="DT3" t="str">
        <f>""</f>
        <v/>
      </c>
      <c r="DU3" t="str">
        <f>""</f>
        <v/>
      </c>
      <c r="DV3" t="str">
        <f>""</f>
        <v/>
      </c>
      <c r="DW3" t="str">
        <f>""</f>
        <v/>
      </c>
      <c r="DX3" t="str">
        <f>""</f>
        <v/>
      </c>
      <c r="DY3" t="str">
        <f>""</f>
        <v/>
      </c>
      <c r="DZ3" t="str">
        <f>""</f>
        <v/>
      </c>
      <c r="EA3" t="str">
        <f>""</f>
        <v/>
      </c>
      <c r="EB3" t="str">
        <f>""</f>
        <v/>
      </c>
      <c r="EC3" t="str">
        <f>""</f>
        <v/>
      </c>
      <c r="ED3" t="str">
        <f>""</f>
        <v/>
      </c>
      <c r="EE3" t="str">
        <f>""</f>
        <v/>
      </c>
      <c r="EF3" t="str">
        <f>""</f>
        <v/>
      </c>
      <c r="EG3" t="str">
        <f>""</f>
        <v/>
      </c>
      <c r="EH3" t="str">
        <f>""</f>
        <v/>
      </c>
      <c r="EI3" t="str">
        <f>""</f>
        <v/>
      </c>
      <c r="EJ3" t="str">
        <f>""</f>
        <v/>
      </c>
      <c r="EK3" t="str">
        <f>""</f>
        <v/>
      </c>
      <c r="EL3" t="str">
        <f>""</f>
        <v/>
      </c>
      <c r="EM3" t="str">
        <f>""</f>
        <v/>
      </c>
      <c r="EN3" t="str">
        <f>""</f>
        <v/>
      </c>
      <c r="EO3" t="str">
        <f>""</f>
        <v/>
      </c>
      <c r="EP3" t="str">
        <f>""</f>
        <v/>
      </c>
      <c r="EQ3" t="str">
        <f>""</f>
        <v/>
      </c>
      <c r="ER3" t="str">
        <f>""</f>
        <v/>
      </c>
      <c r="ES3" t="str">
        <f>""</f>
        <v/>
      </c>
      <c r="ET3" t="str">
        <f>""</f>
        <v/>
      </c>
      <c r="EU3" t="str">
        <f>""</f>
        <v/>
      </c>
      <c r="EV3" t="str">
        <f>""</f>
        <v/>
      </c>
      <c r="EW3" t="str">
        <f>""</f>
        <v/>
      </c>
      <c r="EX3" t="str">
        <f>""</f>
        <v/>
      </c>
      <c r="EY3" t="str">
        <f>""</f>
        <v/>
      </c>
      <c r="EZ3" t="str">
        <f>""</f>
        <v/>
      </c>
      <c r="FA3" t="str">
        <f>""</f>
        <v/>
      </c>
      <c r="FB3" t="str">
        <f>""</f>
        <v/>
      </c>
      <c r="FC3" t="str">
        <f>""</f>
        <v/>
      </c>
      <c r="FD3" t="str">
        <f>""</f>
        <v/>
      </c>
      <c r="FE3" t="str">
        <f>""</f>
        <v/>
      </c>
      <c r="FF3" t="str">
        <f>""</f>
        <v/>
      </c>
      <c r="FG3" t="str">
        <f>""</f>
        <v/>
      </c>
      <c r="FH3" t="str">
        <f>""</f>
        <v/>
      </c>
      <c r="FI3" t="str">
        <f>""</f>
        <v/>
      </c>
      <c r="FJ3" t="str">
        <f>""</f>
        <v/>
      </c>
      <c r="FK3" t="str">
        <f>""</f>
        <v/>
      </c>
      <c r="FL3" t="str">
        <f>""</f>
        <v/>
      </c>
      <c r="FM3" t="str">
        <f>""</f>
        <v/>
      </c>
      <c r="FN3" t="str">
        <f>""</f>
        <v/>
      </c>
      <c r="FO3" t="str">
        <f>""</f>
        <v/>
      </c>
      <c r="FP3" t="str">
        <f>""</f>
        <v/>
      </c>
      <c r="FQ3" t="str">
        <f>""</f>
        <v/>
      </c>
    </row>
    <row r="4" spans="1:173" x14ac:dyDescent="0.25">
      <c r="A4" t="str">
        <f>"    Singapore Port Container Throughput (000 TEU)"</f>
        <v xml:space="preserve">    Singapore Port Container Throughput (000 TEU)</v>
      </c>
      <c r="B4" t="str">
        <f>"SICTTOTL Index"</f>
        <v>SICTTOTL Index</v>
      </c>
      <c r="C4" t="str">
        <f>"PX385"</f>
        <v>PX385</v>
      </c>
      <c r="D4" t="str">
        <f>"INTERVAL_SUM"</f>
        <v>INTERVAL_SUM</v>
      </c>
      <c r="E4" t="str">
        <f>"Dynamic"</f>
        <v>Dynamic</v>
      </c>
      <c r="F4" t="str">
        <f ca="1">IF(AND(ISNUMBER($F$77),$B$69=1),$F$77,HLOOKUP(INDIRECT(ADDRESS(2,COLUMN())),OFFSET($CL$2,0,0,ROW()-1,84),ROW()-1,FALSE))</f>
        <v/>
      </c>
      <c r="G4">
        <f ca="1">IF(AND(ISNUMBER($G$77),$B$69=1),$G$77,HLOOKUP(INDIRECT(ADDRESS(2,COLUMN())),OFFSET($CL$2,0,0,ROW()-1,84),ROW()-1,FALSE))</f>
        <v>3206.65</v>
      </c>
      <c r="H4">
        <f ca="1">IF(AND(ISNUMBER($H$77),$B$69=1),$H$77,HLOOKUP(INDIRECT(ADDRESS(2,COLUMN())),OFFSET($CL$2,0,0,ROW()-1,84),ROW()-1,FALSE))</f>
        <v>3328.44</v>
      </c>
      <c r="I4">
        <f ca="1">IF(AND(ISNUMBER($I$77),$B$69=1),$I$77,HLOOKUP(INDIRECT(ADDRESS(2,COLUMN())),OFFSET($CL$2,0,0,ROW()-1,84),ROW()-1,FALSE))</f>
        <v>3431.27</v>
      </c>
      <c r="J4">
        <f ca="1">IF(AND(ISNUMBER($J$77),$B$69=1),$J$77,HLOOKUP(INDIRECT(ADDRESS(2,COLUMN())),OFFSET($CL$2,0,0,ROW()-1,84),ROW()-1,FALSE))</f>
        <v>3345.55</v>
      </c>
      <c r="K4">
        <f ca="1">IF(AND(ISNUMBER($K$77),$B$69=1),$K$77,HLOOKUP(INDIRECT(ADDRESS(2,COLUMN())),OFFSET($CL$2,0,0,ROW()-1,84),ROW()-1,FALSE))</f>
        <v>3409.7</v>
      </c>
      <c r="L4">
        <f ca="1">IF(AND(ISNUMBER($L$77),$B$69=1),$L$77,HLOOKUP(INDIRECT(ADDRESS(2,COLUMN())),OFFSET($CL$2,0,0,ROW()-1,84),ROW()-1,FALSE))</f>
        <v>3264.67</v>
      </c>
      <c r="M4">
        <f ca="1">IF(AND(ISNUMBER($M$77),$B$69=1),$M$77,HLOOKUP(INDIRECT(ADDRESS(2,COLUMN())),OFFSET($CL$2,0,0,ROW()-1,84),ROW()-1,FALSE))</f>
        <v>3335.46</v>
      </c>
      <c r="N4">
        <f ca="1">IF(AND(ISNUMBER($N$77),$B$69=1),$N$77,HLOOKUP(INDIRECT(ADDRESS(2,COLUMN())),OFFSET($CL$2,0,0,ROW()-1,84),ROW()-1,FALSE))</f>
        <v>2684.43</v>
      </c>
      <c r="O4">
        <f ca="1">IF(AND(ISNUMBER($O$77),$B$69=1),$O$77,HLOOKUP(INDIRECT(ADDRESS(2,COLUMN())),OFFSET($CL$2,0,0,ROW()-1,84),ROW()-1,FALSE))</f>
        <v>2989.5</v>
      </c>
      <c r="P4">
        <f ca="1">IF(AND(ISNUMBER($P$77),$B$69=1),$P$77,HLOOKUP(INDIRECT(ADDRESS(2,COLUMN())),OFFSET($CL$2,0,0,ROW()-1,84),ROW()-1,FALSE))</f>
        <v>3252.9</v>
      </c>
      <c r="Q4">
        <f ca="1">IF(AND(ISNUMBER($Q$77),$B$69=1),$Q$77,HLOOKUP(INDIRECT(ADDRESS(2,COLUMN())),OFFSET($CL$2,0,0,ROW()-1,84),ROW()-1,FALSE))</f>
        <v>2955.47</v>
      </c>
      <c r="R4">
        <f ca="1">IF(AND(ISNUMBER($R$77),$B$69=1),$R$77,HLOOKUP(INDIRECT(ADDRESS(2,COLUMN())),OFFSET($CL$2,0,0,ROW()-1,84),ROW()-1,FALSE))</f>
        <v>3061.84</v>
      </c>
      <c r="S4">
        <f ca="1">IF(AND(ISNUMBER($S$77),$B$69=1),$S$77,HLOOKUP(INDIRECT(ADDRESS(2,COLUMN())),OFFSET($CL$2,0,0,ROW()-1,84),ROW()-1,FALSE))</f>
        <v>3063.77</v>
      </c>
      <c r="T4">
        <f ca="1">IF(AND(ISNUMBER($T$77),$B$69=1),$T$77,HLOOKUP(INDIRECT(ADDRESS(2,COLUMN())),OFFSET($CL$2,0,0,ROW()-1,84),ROW()-1,FALSE))</f>
        <v>3262.31</v>
      </c>
      <c r="U4">
        <f ca="1">IF(AND(ISNUMBER($U$77),$B$69=1),$U$77,HLOOKUP(INDIRECT(ADDRESS(2,COLUMN())),OFFSET($CL$2,0,0,ROW()-1,84),ROW()-1,FALSE))</f>
        <v>3286.33</v>
      </c>
      <c r="V4">
        <f ca="1">IF(AND(ISNUMBER($V$77),$B$69=1),$V$77,HLOOKUP(INDIRECT(ADDRESS(2,COLUMN())),OFFSET($CL$2,0,0,ROW()-1,84),ROW()-1,FALSE))</f>
        <v>3166.22975</v>
      </c>
      <c r="W4">
        <f ca="1">IF(AND(ISNUMBER($W$77),$B$69=1),$W$77,HLOOKUP(INDIRECT(ADDRESS(2,COLUMN())),OFFSET($CL$2,0,0,ROW()-1,84),ROW()-1,FALSE))</f>
        <v>3122.0102499999998</v>
      </c>
      <c r="X4">
        <f ca="1">IF(AND(ISNUMBER($X$77),$B$69=1),$X$77,HLOOKUP(INDIRECT(ADDRESS(2,COLUMN())),OFFSET($CL$2,0,0,ROW()-1,84),ROW()-1,FALSE))</f>
        <v>3042.01</v>
      </c>
      <c r="Y4">
        <f ca="1">IF(AND(ISNUMBER($Y$77),$B$69=1),$Y$77,HLOOKUP(INDIRECT(ADDRESS(2,COLUMN())),OFFSET($CL$2,0,0,ROW()-1,84),ROW()-1,FALSE))</f>
        <v>3089.48</v>
      </c>
      <c r="Z4">
        <f ca="1">IF(AND(ISNUMBER($Z$77),$B$69=1),$Z$77,HLOOKUP(INDIRECT(ADDRESS(2,COLUMN())),OFFSET($CL$2,0,0,ROW()-1,84),ROW()-1,FALSE))</f>
        <v>2843.53</v>
      </c>
      <c r="AA4">
        <f ca="1">IF(AND(ISNUMBER($AA$77),$B$69=1),$AA$77,HLOOKUP(INDIRECT(ADDRESS(2,COLUMN())),OFFSET($CL$2,0,0,ROW()-1,84),ROW()-1,FALSE))</f>
        <v>3143.71</v>
      </c>
      <c r="AB4">
        <f ca="1">IF(AND(ISNUMBER($AB$77),$B$69=1),$AB$77,HLOOKUP(INDIRECT(ADDRESS(2,COLUMN())),OFFSET($CL$2,0,0,ROW()-1,84),ROW()-1,FALSE))</f>
        <v>3292.21875</v>
      </c>
      <c r="AC4">
        <f ca="1">IF(AND(ISNUMBER($AC$77),$B$69=1),$AC$77,HLOOKUP(INDIRECT(ADDRESS(2,COLUMN())),OFFSET($CL$2,0,0,ROW()-1,84),ROW()-1,FALSE))</f>
        <v>3149.9814999999999</v>
      </c>
      <c r="AD4">
        <f ca="1">IF(AND(ISNUMBER($AD$77),$B$69=1),$AD$77,HLOOKUP(INDIRECT(ADDRESS(2,COLUMN())),OFFSET($CL$2,0,0,ROW()-1,84),ROW()-1,FALSE))</f>
        <v>2974.931</v>
      </c>
      <c r="AE4">
        <f ca="1">IF(AND(ISNUMBER($AE$77),$B$69=1),$AE$77,HLOOKUP(INDIRECT(ADDRESS(2,COLUMN())),OFFSET($CL$2,0,0,ROW()-1,84),ROW()-1,FALSE))</f>
        <v>3117.3595</v>
      </c>
      <c r="AF4">
        <f ca="1">IF(AND(ISNUMBER($AF$77),$B$69=1),$AF$77,HLOOKUP(INDIRECT(ADDRESS(2,COLUMN())),OFFSET($CL$2,0,0,ROW()-1,84),ROW()-1,FALSE))</f>
        <v>3182.2809999999999</v>
      </c>
      <c r="AG4">
        <f ca="1">IF(AND(ISNUMBER($AG$77),$B$69=1),$AG$77,HLOOKUP(INDIRECT(ADDRESS(2,COLUMN())),OFFSET($CL$2,0,0,ROW()-1,84),ROW()-1,FALSE))</f>
        <v>3123.5594999999998</v>
      </c>
      <c r="AH4">
        <f ca="1">IF(AND(ISNUMBER($AH$77),$B$69=1),$AH$77,HLOOKUP(INDIRECT(ADDRESS(2,COLUMN())),OFFSET($CL$2,0,0,ROW()-1,84),ROW()-1,FALSE))</f>
        <v>3114.5065</v>
      </c>
      <c r="AI4">
        <f ca="1">IF(AND(ISNUMBER($AI$77),$B$69=1),$AI$77,HLOOKUP(INDIRECT(ADDRESS(2,COLUMN())),OFFSET($CL$2,0,0,ROW()-1,84),ROW()-1,FALSE))</f>
        <v>3216.90425</v>
      </c>
      <c r="AJ4">
        <f ca="1">IF(AND(ISNUMBER($AJ$77),$B$69=1),$AJ$77,HLOOKUP(INDIRECT(ADDRESS(2,COLUMN())),OFFSET($CL$2,0,0,ROW()-1,84),ROW()-1,FALSE))</f>
        <v>3091.2807499999999</v>
      </c>
      <c r="AK4">
        <f ca="1">IF(AND(ISNUMBER($AK$77),$B$69=1),$AK$77,HLOOKUP(INDIRECT(ADDRESS(2,COLUMN())),OFFSET($CL$2,0,0,ROW()-1,84),ROW()-1,FALSE))</f>
        <v>3270.5747500000002</v>
      </c>
      <c r="AL4">
        <f ca="1">IF(AND(ISNUMBER($AL$77),$B$69=1),$AL$77,HLOOKUP(INDIRECT(ADDRESS(2,COLUMN())),OFFSET($CL$2,0,0,ROW()-1,84),ROW()-1,FALSE))</f>
        <v>2881.5867499999999</v>
      </c>
      <c r="AM4">
        <f ca="1">IF(AND(ISNUMBER($AM$77),$B$69=1),$AM$77,HLOOKUP(INDIRECT(ADDRESS(2,COLUMN())),OFFSET($CL$2,0,0,ROW()-1,84),ROW()-1,FALSE))</f>
        <v>3156.0217499999999</v>
      </c>
      <c r="AN4">
        <f ca="1">IF(AND(ISNUMBER($AN$77),$B$69=1),$AN$77,HLOOKUP(INDIRECT(ADDRESS(2,COLUMN())),OFFSET($CL$2,0,0,ROW()-1,84),ROW()-1,FALSE))</f>
        <v>3261.8344999999999</v>
      </c>
      <c r="AO4">
        <f ca="1">IF(AND(ISNUMBER($AO$77),$B$69=1),$AO$77,HLOOKUP(INDIRECT(ADDRESS(2,COLUMN())),OFFSET($CL$2,0,0,ROW()-1,84),ROW()-1,FALSE))</f>
        <v>3134.6464999999998</v>
      </c>
      <c r="AP4">
        <f ca="1">IF(AND(ISNUMBER($AP$77),$B$69=1),$AP$77,HLOOKUP(INDIRECT(ADDRESS(2,COLUMN())),OFFSET($CL$2,0,0,ROW()-1,84),ROW()-1,FALSE))</f>
        <v>3238.6937499999999</v>
      </c>
      <c r="AQ4">
        <f ca="1">IF(AND(ISNUMBER($AQ$77),$B$69=1),$AQ$77,HLOOKUP(INDIRECT(ADDRESS(2,COLUMN())),OFFSET($CL$2,0,0,ROW()-1,84),ROW()-1,FALSE))</f>
        <v>3207.67175</v>
      </c>
      <c r="AR4">
        <f ca="1">IF(AND(ISNUMBER($AR$77),$B$69=1),$AR$77,HLOOKUP(INDIRECT(ADDRESS(2,COLUMN())),OFFSET($CL$2,0,0,ROW()-1,84),ROW()-1,FALSE))</f>
        <v>3174.6954999999998</v>
      </c>
      <c r="AS4">
        <f ca="1">IF(AND(ISNUMBER($AS$77),$B$69=1),$AS$77,HLOOKUP(INDIRECT(ADDRESS(2,COLUMN())),OFFSET($CL$2,0,0,ROW()-1,84),ROW()-1,FALSE))</f>
        <v>3016.32</v>
      </c>
      <c r="AT4">
        <f ca="1">IF(AND(ISNUMBER($AT$77),$B$69=1),$AT$77,HLOOKUP(INDIRECT(ADDRESS(2,COLUMN())),OFFSET($CL$2,0,0,ROW()-1,84),ROW()-1,FALSE))</f>
        <v>2907.67175</v>
      </c>
      <c r="AU4">
        <f ca="1">IF(AND(ISNUMBER($AU$77),$B$69=1),$AU$77,HLOOKUP(INDIRECT(ADDRESS(2,COLUMN())),OFFSET($CL$2,0,0,ROW()-1,84),ROW()-1,FALSE))</f>
        <v>2806.7204999999999</v>
      </c>
      <c r="AV4">
        <f ca="1">IF(AND(ISNUMBER($AV$77),$B$69=1),$AV$77,HLOOKUP(INDIRECT(ADDRESS(2,COLUMN())),OFFSET($CL$2,0,0,ROW()-1,84),ROW()-1,FALSE))</f>
        <v>2843.48425</v>
      </c>
      <c r="AW4">
        <f ca="1">IF(AND(ISNUMBER($AW$77),$B$69=1),$AW$77,HLOOKUP(INDIRECT(ADDRESS(2,COLUMN())),OFFSET($CL$2,0,0,ROW()-1,84),ROW()-1,FALSE))</f>
        <v>3197.87925</v>
      </c>
      <c r="AX4">
        <f ca="1">IF(AND(ISNUMBER($AX$77),$B$69=1),$AX$77,HLOOKUP(INDIRECT(ADDRESS(2,COLUMN())),OFFSET($CL$2,0,0,ROW()-1,84),ROW()-1,FALSE))</f>
        <v>2898.6867499999998</v>
      </c>
      <c r="AY4">
        <f ca="1">IF(AND(ISNUMBER($AY$77),$B$69=1),$AY$77,HLOOKUP(INDIRECT(ADDRESS(2,COLUMN())),OFFSET($CL$2,0,0,ROW()-1,84),ROW()-1,FALSE))</f>
        <v>3182.5992500000002</v>
      </c>
      <c r="AZ4">
        <f ca="1">IF(AND(ISNUMBER($AZ$77),$B$69=1),$AZ$77,HLOOKUP(INDIRECT(ADDRESS(2,COLUMN())),OFFSET($CL$2,0,0,ROW()-1,84),ROW()-1,FALSE))</f>
        <v>3200.1662500000002</v>
      </c>
      <c r="BA4">
        <f ca="1">IF(AND(ISNUMBER($BA$77),$B$69=1),$BA$77,HLOOKUP(INDIRECT(ADDRESS(2,COLUMN())),OFFSET($CL$2,0,0,ROW()-1,84),ROW()-1,FALSE))</f>
        <v>3267.6979999999999</v>
      </c>
      <c r="BB4">
        <f ca="1">IF(AND(ISNUMBER($BB$77),$B$69=1),$BB$77,HLOOKUP(INDIRECT(ADDRESS(2,COLUMN())),OFFSET($CL$2,0,0,ROW()-1,84),ROW()-1,FALSE))</f>
        <v>3234.3984999999998</v>
      </c>
      <c r="BC4">
        <f ca="1">IF(AND(ISNUMBER($BC$77),$B$69=1),$BC$77,HLOOKUP(INDIRECT(ADDRESS(2,COLUMN())),OFFSET($CL$2,0,0,ROW()-1,84),ROW()-1,FALSE))</f>
        <v>3093.8562499999998</v>
      </c>
      <c r="BD4">
        <f ca="1">IF(AND(ISNUMBER($BD$77),$B$69=1),$BD$77,HLOOKUP(INDIRECT(ADDRESS(2,COLUMN())),OFFSET($CL$2,0,0,ROW()-1,84),ROW()-1,FALSE))</f>
        <v>3133.7402499999998</v>
      </c>
      <c r="BE4">
        <f ca="1">IF(AND(ISNUMBER($BE$77),$B$69=1),$BE$77,HLOOKUP(INDIRECT(ADDRESS(2,COLUMN())),OFFSET($CL$2,0,0,ROW()-1,84),ROW()-1,FALSE))</f>
        <v>3235.3522499999999</v>
      </c>
      <c r="BF4">
        <f ca="1">IF(AND(ISNUMBER($BF$77),$B$69=1),$BF$77,HLOOKUP(INDIRECT(ADDRESS(2,COLUMN())),OFFSET($CL$2,0,0,ROW()-1,84),ROW()-1,FALSE))</f>
        <v>2996.9879999999998</v>
      </c>
      <c r="BG4">
        <f ca="1">IF(AND(ISNUMBER($BG$77),$B$69=1),$BG$77,HLOOKUP(INDIRECT(ADDRESS(2,COLUMN())),OFFSET($CL$2,0,0,ROW()-1,84),ROW()-1,FALSE))</f>
        <v>3137.7637500000001</v>
      </c>
      <c r="BH4">
        <f ca="1">IF(AND(ISNUMBER($BH$77),$B$69=1),$BH$77,HLOOKUP(INDIRECT(ADDRESS(2,COLUMN())),OFFSET($CL$2,0,0,ROW()-1,84),ROW()-1,FALSE))</f>
        <v>2992.1289999999999</v>
      </c>
      <c r="BI4">
        <f ca="1">IF(AND(ISNUMBER($BI$77),$B$69=1),$BI$77,HLOOKUP(INDIRECT(ADDRESS(2,COLUMN())),OFFSET($CL$2,0,0,ROW()-1,84),ROW()-1,FALSE))</f>
        <v>3163.9034999999999</v>
      </c>
      <c r="BJ4">
        <f ca="1">IF(AND(ISNUMBER($BJ$77),$B$69=1),$BJ$77,HLOOKUP(INDIRECT(ADDRESS(2,COLUMN())),OFFSET($CL$2,0,0,ROW()-1,84),ROW()-1,FALSE))</f>
        <v>2740.5304999999998</v>
      </c>
      <c r="BK4">
        <f ca="1">IF(AND(ISNUMBER($BK$77),$B$69=1),$BK$77,HLOOKUP(INDIRECT(ADDRESS(2,COLUMN())),OFFSET($CL$2,0,0,ROW()-1,84),ROW()-1,FALSE))</f>
        <v>2999.11</v>
      </c>
      <c r="BL4">
        <f ca="1">IF(AND(ISNUMBER($BL$77),$B$69=1),$BL$77,HLOOKUP(INDIRECT(ADDRESS(2,COLUMN())),OFFSET($CL$2,0,0,ROW()-1,84),ROW()-1,FALSE))</f>
        <v>3131.34575</v>
      </c>
      <c r="BM4">
        <f ca="1">IF(AND(ISNUMBER($BM$77),$B$69=1),$BM$77,HLOOKUP(INDIRECT(ADDRESS(2,COLUMN())),OFFSET($CL$2,0,0,ROW()-1,84),ROW()-1,FALSE))</f>
        <v>3014.70975</v>
      </c>
      <c r="BN4">
        <f ca="1">IF(AND(ISNUMBER($BN$77),$B$69=1),$BN$77,HLOOKUP(INDIRECT(ADDRESS(2,COLUMN())),OFFSET($CL$2,0,0,ROW()-1,84),ROW()-1,FALSE))</f>
        <v>3153.0627500000001</v>
      </c>
      <c r="BO4">
        <f ca="1">IF(AND(ISNUMBER($BO$77),$B$69=1),$BO$77,HLOOKUP(INDIRECT(ADDRESS(2,COLUMN())),OFFSET($CL$2,0,0,ROW()-1,84),ROW()-1,FALSE))</f>
        <v>2988.9324999999999</v>
      </c>
      <c r="BP4">
        <f ca="1">IF(AND(ISNUMBER($BP$77),$B$69=1),$BP$77,HLOOKUP(INDIRECT(ADDRESS(2,COLUMN())),OFFSET($CL$2,0,0,ROW()-1,84),ROW()-1,FALSE))</f>
        <v>3156.3420000000001</v>
      </c>
      <c r="BQ4">
        <f ca="1">IF(AND(ISNUMBER($BQ$77),$B$69=1),$BQ$77,HLOOKUP(INDIRECT(ADDRESS(2,COLUMN())),OFFSET($CL$2,0,0,ROW()-1,84),ROW()-1,FALSE))</f>
        <v>3133.5387500000002</v>
      </c>
      <c r="BR4">
        <f ca="1">IF(AND(ISNUMBER($BR$77),$B$69=1),$BR$77,HLOOKUP(INDIRECT(ADDRESS(2,COLUMN())),OFFSET($CL$2,0,0,ROW()-1,84),ROW()-1,FALSE))</f>
        <v>3058.6529999999998</v>
      </c>
      <c r="BS4">
        <f ca="1">IF(AND(ISNUMBER($BS$77),$B$69=1),$BS$77,HLOOKUP(INDIRECT(ADDRESS(2,COLUMN())),OFFSET($CL$2,0,0,ROW()-1,84),ROW()-1,FALSE))</f>
        <v>3182.8115499999999</v>
      </c>
      <c r="BT4">
        <f ca="1">IF(AND(ISNUMBER($BT$77),$B$69=1),$BT$77,HLOOKUP(INDIRECT(ADDRESS(2,COLUMN())),OFFSET($CL$2,0,0,ROW()-1,84),ROW()-1,FALSE))</f>
        <v>2915.2597999999998</v>
      </c>
      <c r="BU4">
        <f ca="1">IF(AND(ISNUMBER($BU$77),$B$69=1),$BU$77,HLOOKUP(INDIRECT(ADDRESS(2,COLUMN())),OFFSET($CL$2,0,0,ROW()-1,84),ROW()-1,FALSE))</f>
        <v>3048.8145</v>
      </c>
      <c r="BV4">
        <f ca="1">IF(AND(ISNUMBER($BV$77),$B$69=1),$BV$77,HLOOKUP(INDIRECT(ADDRESS(2,COLUMN())),OFFSET($CL$2,0,0,ROW()-1,84),ROW()-1,FALSE))</f>
        <v>2822.93</v>
      </c>
      <c r="BW4">
        <f ca="1">IF(AND(ISNUMBER($BW$77),$B$69=1),$BW$77,HLOOKUP(INDIRECT(ADDRESS(2,COLUMN())),OFFSET($CL$2,0,0,ROW()-1,84),ROW()-1,FALSE))</f>
        <v>2992.8809999999999</v>
      </c>
      <c r="BX4">
        <f ca="1">IF(AND(ISNUMBER($BX$77),$B$69=1),$BX$77,HLOOKUP(INDIRECT(ADDRESS(2,COLUMN())),OFFSET($CL$2,0,0,ROW()-1,84),ROW()-1,FALSE))</f>
        <v>2958.1412500000001</v>
      </c>
      <c r="BY4">
        <f ca="1">IF(AND(ISNUMBER($BY$77),$B$69=1),$BY$77,HLOOKUP(INDIRECT(ADDRESS(2,COLUMN())),OFFSET($CL$2,0,0,ROW()-1,84),ROW()-1,FALSE))</f>
        <v>2977.0702500000002</v>
      </c>
      <c r="BZ4">
        <f ca="1">IF(AND(ISNUMBER($BZ$77),$B$69=1),$BZ$77,HLOOKUP(INDIRECT(ADDRESS(2,COLUMN())),OFFSET($CL$2,0,0,ROW()-1,84),ROW()-1,FALSE))</f>
        <v>2957.1462499999998</v>
      </c>
      <c r="CA4">
        <f ca="1">IF(AND(ISNUMBER($CA$77),$B$69=1),$CA$77,HLOOKUP(INDIRECT(ADDRESS(2,COLUMN())),OFFSET($CL$2,0,0,ROW()-1,84),ROW()-1,FALSE))</f>
        <v>2800.0115000000001</v>
      </c>
      <c r="CB4">
        <f ca="1">IF(AND(ISNUMBER($CB$77),$B$69=1),$CB$77,HLOOKUP(INDIRECT(ADDRESS(2,COLUMN())),OFFSET($CL$2,0,0,ROW()-1,84),ROW()-1,FALSE))</f>
        <v>2947.3722499999999</v>
      </c>
      <c r="CC4">
        <f ca="1">IF(AND(ISNUMBER($CC$77),$B$69=1),$CC$77,HLOOKUP(INDIRECT(ADDRESS(2,COLUMN())),OFFSET($CL$2,0,0,ROW()-1,84),ROW()-1,FALSE))</f>
        <v>2876.9760000000001</v>
      </c>
      <c r="CD4">
        <f ca="1">IF(AND(ISNUMBER($CD$77),$B$69=1),$CD$77,HLOOKUP(INDIRECT(ADDRESS(2,COLUMN())),OFFSET($CL$2,0,0,ROW()-1,84),ROW()-1,FALSE))</f>
        <v>2822.4290000000001</v>
      </c>
      <c r="CE4">
        <f ca="1">IF(AND(ISNUMBER($CE$77),$B$69=1),$CE$77,HLOOKUP(INDIRECT(ADDRESS(2,COLUMN())),OFFSET($CL$2,0,0,ROW()-1,84),ROW()-1,FALSE))</f>
        <v>2990.915</v>
      </c>
      <c r="CF4">
        <f ca="1">IF(AND(ISNUMBER($CF$77),$B$69=1),$CF$77,HLOOKUP(INDIRECT(ADDRESS(2,COLUMN())),OFFSET($CL$2,0,0,ROW()-1,84),ROW()-1,FALSE))</f>
        <v>2724.4180000000001</v>
      </c>
      <c r="CG4">
        <f ca="1">IF(AND(ISNUMBER($CG$77),$B$69=1),$CG$77,HLOOKUP(INDIRECT(ADDRESS(2,COLUMN())),OFFSET($CL$2,0,0,ROW()-1,84),ROW()-1,FALSE))</f>
        <v>2691.61375</v>
      </c>
      <c r="CH4">
        <f ca="1">IF(AND(ISNUMBER($CH$77),$B$69=1),$CH$77,HLOOKUP(INDIRECT(ADDRESS(2,COLUMN())),OFFSET($CL$2,0,0,ROW()-1,84),ROW()-1,FALSE))</f>
        <v>2297.1932499999998</v>
      </c>
      <c r="CI4">
        <f ca="1">IF(AND(ISNUMBER($CI$77),$B$69=1),$CI$77,HLOOKUP(INDIRECT(ADDRESS(2,COLUMN())),OFFSET($CL$2,0,0,ROW()-1,84),ROW()-1,FALSE))</f>
        <v>2623.2694999999999</v>
      </c>
      <c r="CJ4">
        <f ca="1">IF(AND(ISNUMBER($CJ$77),$B$69=1),$CJ$77,HLOOKUP(INDIRECT(ADDRESS(2,COLUMN())),OFFSET($CL$2,0,0,ROW()-1,84),ROW()-1,FALSE))</f>
        <v>2765.4637499999999</v>
      </c>
      <c r="CK4">
        <f ca="1">IF(AND(ISNUMBER($CK$77),$B$69=1),$CK$77,HLOOKUP(INDIRECT(ADDRESS(2,COLUMN())),OFFSET($CL$2,0,0,ROW()-1,84),ROW()-1,FALSE))</f>
        <v>2573.0637499999998</v>
      </c>
      <c r="CL4" t="str">
        <f>""</f>
        <v/>
      </c>
      <c r="CM4">
        <f>3206.65</f>
        <v>3206.65</v>
      </c>
      <c r="CN4">
        <f>3328.44</f>
        <v>3328.44</v>
      </c>
      <c r="CO4">
        <f>3431.27</f>
        <v>3431.27</v>
      </c>
      <c r="CP4">
        <f>3345.55</f>
        <v>3345.55</v>
      </c>
      <c r="CQ4">
        <f>3409.7</f>
        <v>3409.7</v>
      </c>
      <c r="CR4">
        <f>3264.67</f>
        <v>3264.67</v>
      </c>
      <c r="CS4">
        <f>3335.46</f>
        <v>3335.46</v>
      </c>
      <c r="CT4">
        <f>2684.43</f>
        <v>2684.43</v>
      </c>
      <c r="CU4">
        <f>2989.5</f>
        <v>2989.5</v>
      </c>
      <c r="CV4">
        <f>3252.9</f>
        <v>3252.9</v>
      </c>
      <c r="CW4">
        <f>2955.47</f>
        <v>2955.47</v>
      </c>
      <c r="CX4">
        <f>3061.84</f>
        <v>3061.84</v>
      </c>
      <c r="CY4">
        <f>3063.77</f>
        <v>3063.77</v>
      </c>
      <c r="CZ4">
        <f>3262.31</f>
        <v>3262.31</v>
      </c>
      <c r="DA4">
        <f>3286.33</f>
        <v>3286.33</v>
      </c>
      <c r="DB4">
        <f>3166.22975</f>
        <v>3166.22975</v>
      </c>
      <c r="DC4">
        <f>3122.01025</f>
        <v>3122.0102499999998</v>
      </c>
      <c r="DD4">
        <f>3042.01</f>
        <v>3042.01</v>
      </c>
      <c r="DE4">
        <f>3089.48</f>
        <v>3089.48</v>
      </c>
      <c r="DF4">
        <f>2843.53</f>
        <v>2843.53</v>
      </c>
      <c r="DG4">
        <f>3143.71</f>
        <v>3143.71</v>
      </c>
      <c r="DH4">
        <f>3292.21875</f>
        <v>3292.21875</v>
      </c>
      <c r="DI4">
        <f>3149.9815</f>
        <v>3149.9814999999999</v>
      </c>
      <c r="DJ4">
        <f>2974.931</f>
        <v>2974.931</v>
      </c>
      <c r="DK4">
        <f>3117.3595</f>
        <v>3117.3595</v>
      </c>
      <c r="DL4">
        <f>3182.281</f>
        <v>3182.2809999999999</v>
      </c>
      <c r="DM4">
        <f>3123.5595</f>
        <v>3123.5594999999998</v>
      </c>
      <c r="DN4">
        <f>3114.5065</f>
        <v>3114.5065</v>
      </c>
      <c r="DO4">
        <f>3216.90425</f>
        <v>3216.90425</v>
      </c>
      <c r="DP4">
        <f>3091.28075</f>
        <v>3091.2807499999999</v>
      </c>
      <c r="DQ4">
        <f>3270.57475</f>
        <v>3270.5747500000002</v>
      </c>
      <c r="DR4">
        <f>2881.58675</f>
        <v>2881.5867499999999</v>
      </c>
      <c r="DS4">
        <f>3156.02175</f>
        <v>3156.0217499999999</v>
      </c>
      <c r="DT4">
        <f>3261.8345</f>
        <v>3261.8344999999999</v>
      </c>
      <c r="DU4">
        <f>3134.6465</f>
        <v>3134.6464999999998</v>
      </c>
      <c r="DV4">
        <f>3238.69375</f>
        <v>3238.6937499999999</v>
      </c>
      <c r="DW4">
        <f>3207.67175</f>
        <v>3207.67175</v>
      </c>
      <c r="DX4">
        <f>3174.6955</f>
        <v>3174.6954999999998</v>
      </c>
      <c r="DY4">
        <f>3016.32</f>
        <v>3016.32</v>
      </c>
      <c r="DZ4">
        <f>2907.67175</f>
        <v>2907.67175</v>
      </c>
      <c r="EA4">
        <f>2806.7205</f>
        <v>2806.7204999999999</v>
      </c>
      <c r="EB4">
        <f>2843.48425</f>
        <v>2843.48425</v>
      </c>
      <c r="EC4">
        <f>3197.87925</f>
        <v>3197.87925</v>
      </c>
      <c r="ED4">
        <f>2898.68675</f>
        <v>2898.6867499999998</v>
      </c>
      <c r="EE4">
        <f>3182.59925</f>
        <v>3182.5992500000002</v>
      </c>
      <c r="EF4">
        <f>3200.16625</f>
        <v>3200.1662500000002</v>
      </c>
      <c r="EG4">
        <f>3267.698</f>
        <v>3267.6979999999999</v>
      </c>
      <c r="EH4">
        <f>3234.3985</f>
        <v>3234.3984999999998</v>
      </c>
      <c r="EI4">
        <f>3093.85625</f>
        <v>3093.8562499999998</v>
      </c>
      <c r="EJ4">
        <f>3133.74025</f>
        <v>3133.7402499999998</v>
      </c>
      <c r="EK4">
        <f>3235.35225</f>
        <v>3235.3522499999999</v>
      </c>
      <c r="EL4">
        <f>2996.988</f>
        <v>2996.9879999999998</v>
      </c>
      <c r="EM4">
        <f>3137.76375</f>
        <v>3137.7637500000001</v>
      </c>
      <c r="EN4">
        <f>2992.129</f>
        <v>2992.1289999999999</v>
      </c>
      <c r="EO4">
        <f>3163.9035</f>
        <v>3163.9034999999999</v>
      </c>
      <c r="EP4">
        <f>2740.5305</f>
        <v>2740.5304999999998</v>
      </c>
      <c r="EQ4">
        <f>2999.11</f>
        <v>2999.11</v>
      </c>
      <c r="ER4">
        <f>3131.34575</f>
        <v>3131.34575</v>
      </c>
      <c r="ES4">
        <f>3014.70975</f>
        <v>3014.70975</v>
      </c>
      <c r="ET4">
        <f>3153.06275</f>
        <v>3153.0627500000001</v>
      </c>
      <c r="EU4">
        <f>2988.9325</f>
        <v>2988.9324999999999</v>
      </c>
      <c r="EV4">
        <f>3156.342</f>
        <v>3156.3420000000001</v>
      </c>
      <c r="EW4">
        <f>3133.53875</f>
        <v>3133.5387500000002</v>
      </c>
      <c r="EX4">
        <f>3058.653</f>
        <v>3058.6529999999998</v>
      </c>
      <c r="EY4">
        <f>3182.81155</f>
        <v>3182.8115499999999</v>
      </c>
      <c r="EZ4">
        <f>2915.2598</f>
        <v>2915.2597999999998</v>
      </c>
      <c r="FA4">
        <f>3048.8145</f>
        <v>3048.8145</v>
      </c>
      <c r="FB4">
        <f>2822.93</f>
        <v>2822.93</v>
      </c>
      <c r="FC4">
        <f>2992.881</f>
        <v>2992.8809999999999</v>
      </c>
      <c r="FD4">
        <f>2958.14125</f>
        <v>2958.1412500000001</v>
      </c>
      <c r="FE4">
        <f>2977.07025</f>
        <v>2977.0702500000002</v>
      </c>
      <c r="FF4">
        <f>2957.14625</f>
        <v>2957.1462499999998</v>
      </c>
      <c r="FG4">
        <f>2800.0115</f>
        <v>2800.0115000000001</v>
      </c>
      <c r="FH4">
        <f>2947.37225</f>
        <v>2947.3722499999999</v>
      </c>
      <c r="FI4">
        <f>2876.976</f>
        <v>2876.9760000000001</v>
      </c>
      <c r="FJ4">
        <f>2822.429</f>
        <v>2822.4290000000001</v>
      </c>
      <c r="FK4">
        <f>2990.915</f>
        <v>2990.915</v>
      </c>
      <c r="FL4">
        <f>2724.418</f>
        <v>2724.4180000000001</v>
      </c>
      <c r="FM4">
        <f>2691.61375</f>
        <v>2691.61375</v>
      </c>
      <c r="FN4">
        <f>2297.19325</f>
        <v>2297.1932499999998</v>
      </c>
      <c r="FO4">
        <f>2623.2695</f>
        <v>2623.2694999999999</v>
      </c>
      <c r="FP4">
        <f>2765.46375</f>
        <v>2765.4637499999999</v>
      </c>
      <c r="FQ4">
        <f>2573.06375</f>
        <v>2573.0637499999998</v>
      </c>
    </row>
    <row r="5" spans="1:173" x14ac:dyDescent="0.25">
      <c r="A5" t="str">
        <f>"    Total Cargo (000 tonnes)"</f>
        <v xml:space="preserve">    Total Cargo (000 tonnes)</v>
      </c>
      <c r="B5" t="str">
        <f>"SIVSCRGO Index"</f>
        <v>SIVSCRGO Index</v>
      </c>
      <c r="C5" t="str">
        <f>"PR005"</f>
        <v>PR005</v>
      </c>
      <c r="D5" t="str">
        <f>"PX_LAST"</f>
        <v>PX_LAST</v>
      </c>
      <c r="E5" t="str">
        <f>"Dynamic"</f>
        <v>Dynamic</v>
      </c>
      <c r="F5" t="str">
        <f ca="1">IF(AND(ISNUMBER($F$78),$B$69=1),$F$78,HLOOKUP(INDIRECT(ADDRESS(2,COLUMN())),OFFSET($CL$2,0,0,ROW()-1,84),ROW()-1,FALSE))</f>
        <v/>
      </c>
      <c r="G5">
        <f ca="1">IF(AND(ISNUMBER($G$78),$B$69=1),$G$78,HLOOKUP(INDIRECT(ADDRESS(2,COLUMN())),OFFSET($CL$2,0,0,ROW()-1,84),ROW()-1,FALSE))</f>
        <v>47652.45</v>
      </c>
      <c r="H5">
        <f ca="1">IF(AND(ISNUMBER($H$78),$B$69=1),$H$78,HLOOKUP(INDIRECT(ADDRESS(2,COLUMN())),OFFSET($CL$2,0,0,ROW()-1,84),ROW()-1,FALSE))</f>
        <v>50068.4</v>
      </c>
      <c r="I5">
        <f ca="1">IF(AND(ISNUMBER($I$78),$B$69=1),$I$78,HLOOKUP(INDIRECT(ADDRESS(2,COLUMN())),OFFSET($CL$2,0,0,ROW()-1,84),ROW()-1,FALSE))</f>
        <v>51556.34</v>
      </c>
      <c r="J5">
        <f ca="1">IF(AND(ISNUMBER($J$78),$B$69=1),$J$78,HLOOKUP(INDIRECT(ADDRESS(2,COLUMN())),OFFSET($CL$2,0,0,ROW()-1,84),ROW()-1,FALSE))</f>
        <v>49414.52</v>
      </c>
      <c r="K5">
        <f ca="1">IF(AND(ISNUMBER($K$78),$B$69=1),$K$78,HLOOKUP(INDIRECT(ADDRESS(2,COLUMN())),OFFSET($CL$2,0,0,ROW()-1,84),ROW()-1,FALSE))</f>
        <v>48185.599999999999</v>
      </c>
      <c r="L5">
        <f ca="1">IF(AND(ISNUMBER($L$78),$B$69=1),$L$78,HLOOKUP(INDIRECT(ADDRESS(2,COLUMN())),OFFSET($CL$2,0,0,ROW()-1,84),ROW()-1,FALSE))</f>
        <v>49521.82372</v>
      </c>
      <c r="M5">
        <f ca="1">IF(AND(ISNUMBER($M$78),$B$69=1),$M$78,HLOOKUP(INDIRECT(ADDRESS(2,COLUMN())),OFFSET($CL$2,0,0,ROW()-1,84),ROW()-1,FALSE))</f>
        <v>50523.256399999998</v>
      </c>
      <c r="N5">
        <f ca="1">IF(AND(ISNUMBER($N$78),$B$69=1),$N$78,HLOOKUP(INDIRECT(ADDRESS(2,COLUMN())),OFFSET($CL$2,0,0,ROW()-1,84),ROW()-1,FALSE))</f>
        <v>45592.91</v>
      </c>
      <c r="O5">
        <f ca="1">IF(AND(ISNUMBER($O$78),$B$69=1),$O$78,HLOOKUP(INDIRECT(ADDRESS(2,COLUMN())),OFFSET($CL$2,0,0,ROW()-1,84),ROW()-1,FALSE))</f>
        <v>47812.407529999997</v>
      </c>
      <c r="P5">
        <f ca="1">IF(AND(ISNUMBER($P$78),$B$69=1),$P$78,HLOOKUP(INDIRECT(ADDRESS(2,COLUMN())),OFFSET($CL$2,0,0,ROW()-1,84),ROW()-1,FALSE))</f>
        <v>49057.031759999998</v>
      </c>
      <c r="Q5">
        <f ca="1">IF(AND(ISNUMBER($Q$78),$B$69=1),$Q$78,HLOOKUP(INDIRECT(ADDRESS(2,COLUMN())),OFFSET($CL$2,0,0,ROW()-1,84),ROW()-1,FALSE))</f>
        <v>46726.81798</v>
      </c>
      <c r="R5">
        <f ca="1">IF(AND(ISNUMBER($R$78),$B$69=1),$R$78,HLOOKUP(INDIRECT(ADDRESS(2,COLUMN())),OFFSET($CL$2,0,0,ROW()-1,84),ROW()-1,FALSE))</f>
        <v>47054.740989999998</v>
      </c>
      <c r="S5">
        <f ca="1">IF(AND(ISNUMBER($S$78),$B$69=1),$S$78,HLOOKUP(INDIRECT(ADDRESS(2,COLUMN())),OFFSET($CL$2,0,0,ROW()-1,84),ROW()-1,FALSE))</f>
        <v>46599.248200000002</v>
      </c>
      <c r="T5">
        <f ca="1">IF(AND(ISNUMBER($T$78),$B$69=1),$T$78,HLOOKUP(INDIRECT(ADDRESS(2,COLUMN())),OFFSET($CL$2,0,0,ROW()-1,84),ROW()-1,FALSE))</f>
        <v>49200.519679999998</v>
      </c>
      <c r="U5">
        <f ca="1">IF(AND(ISNUMBER($U$78),$B$69=1),$U$78,HLOOKUP(INDIRECT(ADDRESS(2,COLUMN())),OFFSET($CL$2,0,0,ROW()-1,84),ROW()-1,FALSE))</f>
        <v>50927.326059999999</v>
      </c>
      <c r="V5">
        <f ca="1">IF(AND(ISNUMBER($V$78),$B$69=1),$V$78,HLOOKUP(INDIRECT(ADDRESS(2,COLUMN())),OFFSET($CL$2,0,0,ROW()-1,84),ROW()-1,FALSE))</f>
        <v>48278.747519999997</v>
      </c>
      <c r="W5">
        <f ca="1">IF(AND(ISNUMBER($W$78),$B$69=1),$W$78,HLOOKUP(INDIRECT(ADDRESS(2,COLUMN())),OFFSET($CL$2,0,0,ROW()-1,84),ROW()-1,FALSE))</f>
        <v>47283.1</v>
      </c>
      <c r="X5">
        <f ca="1">IF(AND(ISNUMBER($X$78),$B$69=1),$X$78,HLOOKUP(INDIRECT(ADDRESS(2,COLUMN())),OFFSET($CL$2,0,0,ROW()-1,84),ROW()-1,FALSE))</f>
        <v>47132.138550000003</v>
      </c>
      <c r="Y5">
        <f ca="1">IF(AND(ISNUMBER($Y$78),$B$69=1),$Y$78,HLOOKUP(INDIRECT(ADDRESS(2,COLUMN())),OFFSET($CL$2,0,0,ROW()-1,84),ROW()-1,FALSE))</f>
        <v>48660.106939999998</v>
      </c>
      <c r="Z5">
        <f ca="1">IF(AND(ISNUMBER($Z$78),$B$69=1),$Z$78,HLOOKUP(INDIRECT(ADDRESS(2,COLUMN())),OFFSET($CL$2,0,0,ROW()-1,84),ROW()-1,FALSE))</f>
        <v>45204.98083</v>
      </c>
      <c r="AA5">
        <f ca="1">IF(AND(ISNUMBER($AA$78),$B$69=1),$AA$78,HLOOKUP(INDIRECT(ADDRESS(2,COLUMN())),OFFSET($CL$2,0,0,ROW()-1,84),ROW()-1,FALSE))</f>
        <v>52095.99</v>
      </c>
      <c r="AB5">
        <f ca="1">IF(AND(ISNUMBER($AB$78),$B$69=1),$AB$78,HLOOKUP(INDIRECT(ADDRESS(2,COLUMN())),OFFSET($CL$2,0,0,ROW()-1,84),ROW()-1,FALSE))</f>
        <v>48682.486599999997</v>
      </c>
      <c r="AC5">
        <f ca="1">IF(AND(ISNUMBER($AC$78),$B$69=1),$AC$78,HLOOKUP(INDIRECT(ADDRESS(2,COLUMN())),OFFSET($CL$2,0,0,ROW()-1,84),ROW()-1,FALSE))</f>
        <v>52126.287349999999</v>
      </c>
      <c r="AD5">
        <f ca="1">IF(AND(ISNUMBER($AD$78),$B$69=1),$AD$78,HLOOKUP(INDIRECT(ADDRESS(2,COLUMN())),OFFSET($CL$2,0,0,ROW()-1,84),ROW()-1,FALSE))</f>
        <v>48764.376380000002</v>
      </c>
      <c r="AE5">
        <f ca="1">IF(AND(ISNUMBER($AE$78),$B$69=1),$AE$78,HLOOKUP(INDIRECT(ADDRESS(2,COLUMN())),OFFSET($CL$2,0,0,ROW()-1,84),ROW()-1,FALSE))</f>
        <v>48263.52908</v>
      </c>
      <c r="AF5">
        <f ca="1">IF(AND(ISNUMBER($AF$78),$B$69=1),$AF$78,HLOOKUP(INDIRECT(ADDRESS(2,COLUMN())),OFFSET($CL$2,0,0,ROW()-1,84),ROW()-1,FALSE))</f>
        <v>49773.360820000002</v>
      </c>
      <c r="AG5">
        <f ca="1">IF(AND(ISNUMBER($AG$78),$B$69=1),$AG$78,HLOOKUP(INDIRECT(ADDRESS(2,COLUMN())),OFFSET($CL$2,0,0,ROW()-1,84),ROW()-1,FALSE))</f>
        <v>50446.904970000003</v>
      </c>
      <c r="AH5">
        <f ca="1">IF(AND(ISNUMBER($AH$78),$B$69=1),$AH$78,HLOOKUP(INDIRECT(ADDRESS(2,COLUMN())),OFFSET($CL$2,0,0,ROW()-1,84),ROW()-1,FALSE))</f>
        <v>48768.762190000001</v>
      </c>
      <c r="AI5">
        <f ca="1">IF(AND(ISNUMBER($AI$78),$B$69=1),$AI$78,HLOOKUP(INDIRECT(ADDRESS(2,COLUMN())),OFFSET($CL$2,0,0,ROW()-1,84),ROW()-1,FALSE))</f>
        <v>51385.096640000003</v>
      </c>
      <c r="AJ5">
        <f ca="1">IF(AND(ISNUMBER($AJ$78),$B$69=1),$AJ$78,HLOOKUP(INDIRECT(ADDRESS(2,COLUMN())),OFFSET($CL$2,0,0,ROW()-1,84),ROW()-1,FALSE))</f>
        <v>50261.30702</v>
      </c>
      <c r="AK5">
        <f ca="1">IF(AND(ISNUMBER($AK$78),$B$69=1),$AK$78,HLOOKUP(INDIRECT(ADDRESS(2,COLUMN())),OFFSET($CL$2,0,0,ROW()-1,84),ROW()-1,FALSE))</f>
        <v>52683.367030000001</v>
      </c>
      <c r="AL5">
        <f ca="1">IF(AND(ISNUMBER($AL$78),$B$69=1),$AL$78,HLOOKUP(INDIRECT(ADDRESS(2,COLUMN())),OFFSET($CL$2,0,0,ROW()-1,84),ROW()-1,FALSE))</f>
        <v>47445.234700000001</v>
      </c>
      <c r="AM5">
        <f ca="1">IF(AND(ISNUMBER($AM$78),$B$69=1),$AM$78,HLOOKUP(INDIRECT(ADDRESS(2,COLUMN())),OFFSET($CL$2,0,0,ROW()-1,84),ROW()-1,FALSE))</f>
        <v>51041.986969999998</v>
      </c>
      <c r="AN5">
        <f ca="1">IF(AND(ISNUMBER($AN$78),$B$69=1),$AN$78,HLOOKUP(INDIRECT(ADDRESS(2,COLUMN())),OFFSET($CL$2,0,0,ROW()-1,84),ROW()-1,FALSE))</f>
        <v>49976.493920000001</v>
      </c>
      <c r="AO5">
        <f ca="1">IF(AND(ISNUMBER($AO$78),$B$69=1),$AO$78,HLOOKUP(INDIRECT(ADDRESS(2,COLUMN())),OFFSET($CL$2,0,0,ROW()-1,84),ROW()-1,FALSE))</f>
        <v>49760.119639999997</v>
      </c>
      <c r="AP5">
        <f ca="1">IF(AND(ISNUMBER($AP$78),$B$69=1),$AP$78,HLOOKUP(INDIRECT(ADDRESS(2,COLUMN())),OFFSET($CL$2,0,0,ROW()-1,84),ROW()-1,FALSE))</f>
        <v>50058.542459999997</v>
      </c>
      <c r="AQ5">
        <f ca="1">IF(AND(ISNUMBER($AQ$78),$B$69=1),$AQ$78,HLOOKUP(INDIRECT(ADDRESS(2,COLUMN())),OFFSET($CL$2,0,0,ROW()-1,84),ROW()-1,FALSE))</f>
        <v>49197.255929999999</v>
      </c>
      <c r="AR5">
        <f ca="1">IF(AND(ISNUMBER($AR$78),$B$69=1),$AR$78,HLOOKUP(INDIRECT(ADDRESS(2,COLUMN())),OFFSET($CL$2,0,0,ROW()-1,84),ROW()-1,FALSE))</f>
        <v>50448.108030000003</v>
      </c>
      <c r="AS5">
        <f ca="1">IF(AND(ISNUMBER($AS$78),$B$69=1),$AS$78,HLOOKUP(INDIRECT(ADDRESS(2,COLUMN())),OFFSET($CL$2,0,0,ROW()-1,84),ROW()-1,FALSE))</f>
        <v>48752.143029999999</v>
      </c>
      <c r="AT5">
        <f ca="1">IF(AND(ISNUMBER($AT$78),$B$69=1),$AT$78,HLOOKUP(INDIRECT(ADDRESS(2,COLUMN())),OFFSET($CL$2,0,0,ROW()-1,84),ROW()-1,FALSE))</f>
        <v>48163.700210000003</v>
      </c>
      <c r="AU5">
        <f ca="1">IF(AND(ISNUMBER($AU$78),$B$69=1),$AU$78,HLOOKUP(INDIRECT(ADDRESS(2,COLUMN())),OFFSET($CL$2,0,0,ROW()-1,84),ROW()-1,FALSE))</f>
        <v>44620.530980000003</v>
      </c>
      <c r="AV5">
        <f ca="1">IF(AND(ISNUMBER($AV$78),$B$69=1),$AV$78,HLOOKUP(INDIRECT(ADDRESS(2,COLUMN())),OFFSET($CL$2,0,0,ROW()-1,84),ROW()-1,FALSE))</f>
        <v>47611.050260000004</v>
      </c>
      <c r="AW5">
        <f ca="1">IF(AND(ISNUMBER($AW$78),$B$69=1),$AW$78,HLOOKUP(INDIRECT(ADDRESS(2,COLUMN())),OFFSET($CL$2,0,0,ROW()-1,84),ROW()-1,FALSE))</f>
        <v>53344.501109999997</v>
      </c>
      <c r="AX5">
        <f ca="1">IF(AND(ISNUMBER($AX$78),$B$69=1),$AX$78,HLOOKUP(INDIRECT(ADDRESS(2,COLUMN())),OFFSET($CL$2,0,0,ROW()-1,84),ROW()-1,FALSE))</f>
        <v>47761.082009999998</v>
      </c>
      <c r="AY5">
        <f ca="1">IF(AND(ISNUMBER($AY$78),$B$69=1),$AY$78,HLOOKUP(INDIRECT(ADDRESS(2,COLUMN())),OFFSET($CL$2,0,0,ROW()-1,84),ROW()-1,FALSE))</f>
        <v>51044.72795</v>
      </c>
      <c r="AZ5">
        <f ca="1">IF(AND(ISNUMBER($AZ$78),$B$69=1),$AZ$78,HLOOKUP(INDIRECT(ADDRESS(2,COLUMN())),OFFSET($CL$2,0,0,ROW()-1,84),ROW()-1,FALSE))</f>
        <v>53177.933120000002</v>
      </c>
      <c r="BA5">
        <f ca="1">IF(AND(ISNUMBER($BA$78),$B$69=1),$BA$78,HLOOKUP(INDIRECT(ADDRESS(2,COLUMN())),OFFSET($CL$2,0,0,ROW()-1,84),ROW()-1,FALSE))</f>
        <v>52378.800179999998</v>
      </c>
      <c r="BB5">
        <f ca="1">IF(AND(ISNUMBER($BB$78),$B$69=1),$BB$78,HLOOKUP(INDIRECT(ADDRESS(2,COLUMN())),OFFSET($CL$2,0,0,ROW()-1,84),ROW()-1,FALSE))</f>
        <v>52557.720099999999</v>
      </c>
      <c r="BC5">
        <f ca="1">IF(AND(ISNUMBER($BC$78),$B$69=1),$BC$78,HLOOKUP(INDIRECT(ADDRESS(2,COLUMN())),OFFSET($CL$2,0,0,ROW()-1,84),ROW()-1,FALSE))</f>
        <v>49785.191780000001</v>
      </c>
      <c r="BD5">
        <f ca="1">IF(AND(ISNUMBER($BD$78),$B$69=1),$BD$78,HLOOKUP(INDIRECT(ADDRESS(2,COLUMN())),OFFSET($CL$2,0,0,ROW()-1,84),ROW()-1,FALSE))</f>
        <v>51066.407550000004</v>
      </c>
      <c r="BE5">
        <f ca="1">IF(AND(ISNUMBER($BE$78),$B$69=1),$BE$78,HLOOKUP(INDIRECT(ADDRESS(2,COLUMN())),OFFSET($CL$2,0,0,ROW()-1,84),ROW()-1,FALSE))</f>
        <v>52124.607989999997</v>
      </c>
      <c r="BF5">
        <f ca="1">IF(AND(ISNUMBER($BF$78),$B$69=1),$BF$78,HLOOKUP(INDIRECT(ADDRESS(2,COLUMN())),OFFSET($CL$2,0,0,ROW()-1,84),ROW()-1,FALSE))</f>
        <v>53341.029829999999</v>
      </c>
      <c r="BG5">
        <f ca="1">IF(AND(ISNUMBER($BG$78),$B$69=1),$BG$78,HLOOKUP(INDIRECT(ADDRESS(2,COLUMN())),OFFSET($CL$2,0,0,ROW()-1,84),ROW()-1,FALSE))</f>
        <v>55848.525719999998</v>
      </c>
      <c r="BH5">
        <f ca="1">IF(AND(ISNUMBER($BH$78),$B$69=1),$BH$78,HLOOKUP(INDIRECT(ADDRESS(2,COLUMN())),OFFSET($CL$2,0,0,ROW()-1,84),ROW()-1,FALSE))</f>
        <v>54329.106639999998</v>
      </c>
      <c r="BI5">
        <f ca="1">IF(AND(ISNUMBER($BI$78),$B$69=1),$BI$78,HLOOKUP(INDIRECT(ADDRESS(2,COLUMN())),OFFSET($CL$2,0,0,ROW()-1,84),ROW()-1,FALSE))</f>
        <v>52019.685429999998</v>
      </c>
      <c r="BJ5">
        <f ca="1">IF(AND(ISNUMBER($BJ$78),$B$69=1),$BJ$78,HLOOKUP(INDIRECT(ADDRESS(2,COLUMN())),OFFSET($CL$2,0,0,ROW()-1,84),ROW()-1,FALSE))</f>
        <v>47962.136899999998</v>
      </c>
      <c r="BK5">
        <f ca="1">IF(AND(ISNUMBER($BK$78),$B$69=1),$BK$78,HLOOKUP(INDIRECT(ADDRESS(2,COLUMN())),OFFSET($CL$2,0,0,ROW()-1,84),ROW()-1,FALSE))</f>
        <v>51930.017249999997</v>
      </c>
      <c r="BL5">
        <f ca="1">IF(AND(ISNUMBER($BL$78),$B$69=1),$BL$78,HLOOKUP(INDIRECT(ADDRESS(2,COLUMN())),OFFSET($CL$2,0,0,ROW()-1,84),ROW()-1,FALSE))</f>
        <v>54278.837319999999</v>
      </c>
      <c r="BM5">
        <f ca="1">IF(AND(ISNUMBER($BM$78),$B$69=1),$BM$78,HLOOKUP(INDIRECT(ADDRESS(2,COLUMN())),OFFSET($CL$2,0,0,ROW()-1,84),ROW()-1,FALSE))</f>
        <v>51785.264770000002</v>
      </c>
      <c r="BN5">
        <f ca="1">IF(AND(ISNUMBER($BN$78),$B$69=1),$BN$78,HLOOKUP(INDIRECT(ADDRESS(2,COLUMN())),OFFSET($CL$2,0,0,ROW()-1,84),ROW()-1,FALSE))</f>
        <v>53547.046060000001</v>
      </c>
      <c r="BO5">
        <f ca="1">IF(AND(ISNUMBER($BO$78),$B$69=1),$BO$78,HLOOKUP(INDIRECT(ADDRESS(2,COLUMN())),OFFSET($CL$2,0,0,ROW()-1,84),ROW()-1,FALSE))</f>
        <v>50349.814290000002</v>
      </c>
      <c r="BP5">
        <f ca="1">IF(AND(ISNUMBER($BP$78),$B$69=1),$BP$78,HLOOKUP(INDIRECT(ADDRESS(2,COLUMN())),OFFSET($CL$2,0,0,ROW()-1,84),ROW()-1,FALSE))</f>
        <v>54838.209990000003</v>
      </c>
      <c r="BQ5">
        <f ca="1">IF(AND(ISNUMBER($BQ$78),$B$69=1),$BQ$78,HLOOKUP(INDIRECT(ADDRESS(2,COLUMN())),OFFSET($CL$2,0,0,ROW()-1,84),ROW()-1,FALSE))</f>
        <v>52268.76945</v>
      </c>
      <c r="BR5">
        <f ca="1">IF(AND(ISNUMBER($BR$78),$B$69=1),$BR$78,HLOOKUP(INDIRECT(ADDRESS(2,COLUMN())),OFFSET($CL$2,0,0,ROW()-1,84),ROW()-1,FALSE))</f>
        <v>51768.089399999997</v>
      </c>
      <c r="BS5">
        <f ca="1">IF(AND(ISNUMBER($BS$78),$B$69=1),$BS$78,HLOOKUP(INDIRECT(ADDRESS(2,COLUMN())),OFFSET($CL$2,0,0,ROW()-1,84),ROW()-1,FALSE))</f>
        <v>53372.096389999999</v>
      </c>
      <c r="BT5">
        <f ca="1">IF(AND(ISNUMBER($BT$78),$B$69=1),$BT$78,HLOOKUP(INDIRECT(ADDRESS(2,COLUMN())),OFFSET($CL$2,0,0,ROW()-1,84),ROW()-1,FALSE))</f>
        <v>51969.934450000001</v>
      </c>
      <c r="BU5">
        <f ca="1">IF(AND(ISNUMBER($BU$78),$B$69=1),$BU$78,HLOOKUP(INDIRECT(ADDRESS(2,COLUMN())),OFFSET($CL$2,0,0,ROW()-1,84),ROW()-1,FALSE))</f>
        <v>53776.580869999998</v>
      </c>
      <c r="BV5">
        <f ca="1">IF(AND(ISNUMBER($BV$78),$B$69=1),$BV$78,HLOOKUP(INDIRECT(ADDRESS(2,COLUMN())),OFFSET($CL$2,0,0,ROW()-1,84),ROW()-1,FALSE))</f>
        <v>48984.082840000003</v>
      </c>
      <c r="BW5">
        <f ca="1">IF(AND(ISNUMBER($BW$78),$B$69=1),$BW$78,HLOOKUP(INDIRECT(ADDRESS(2,COLUMN())),OFFSET($CL$2,0,0,ROW()-1,84),ROW()-1,FALSE))</f>
        <v>53186.54664</v>
      </c>
      <c r="BX5">
        <f ca="1">IF(AND(ISNUMBER($BX$78),$B$69=1),$BX$78,HLOOKUP(INDIRECT(ADDRESS(2,COLUMN())),OFFSET($CL$2,0,0,ROW()-1,84),ROW()-1,FALSE))</f>
        <v>54458.902719999998</v>
      </c>
      <c r="BY5">
        <f ca="1">IF(AND(ISNUMBER($BY$78),$B$69=1),$BY$78,HLOOKUP(INDIRECT(ADDRESS(2,COLUMN())),OFFSET($CL$2,0,0,ROW()-1,84),ROW()-1,FALSE))</f>
        <v>53120.225960000003</v>
      </c>
      <c r="BZ5">
        <f ca="1">IF(AND(ISNUMBER($BZ$78),$B$69=1),$BZ$78,HLOOKUP(INDIRECT(ADDRESS(2,COLUMN())),OFFSET($CL$2,0,0,ROW()-1,84),ROW()-1,FALSE))</f>
        <v>53877.098740000001</v>
      </c>
      <c r="CA5">
        <f ca="1">IF(AND(ISNUMBER($CA$78),$B$69=1),$CA$78,HLOOKUP(INDIRECT(ADDRESS(2,COLUMN())),OFFSET($CL$2,0,0,ROW()-1,84),ROW()-1,FALSE))</f>
        <v>52833.161410000001</v>
      </c>
      <c r="CB5">
        <f ca="1">IF(AND(ISNUMBER($CB$78),$B$69=1),$CB$78,HLOOKUP(INDIRECT(ADDRESS(2,COLUMN())),OFFSET($CL$2,0,0,ROW()-1,84),ROW()-1,FALSE))</f>
        <v>52963.492899999997</v>
      </c>
      <c r="CC5">
        <f ca="1">IF(AND(ISNUMBER($CC$78),$B$69=1),$CC$78,HLOOKUP(INDIRECT(ADDRESS(2,COLUMN())),OFFSET($CL$2,0,0,ROW()-1,84),ROW()-1,FALSE))</f>
        <v>50115.54696</v>
      </c>
      <c r="CD5">
        <f ca="1">IF(AND(ISNUMBER($CD$78),$B$69=1),$CD$78,HLOOKUP(INDIRECT(ADDRESS(2,COLUMN())),OFFSET($CL$2,0,0,ROW()-1,84),ROW()-1,FALSE))</f>
        <v>50979.439230000004</v>
      </c>
      <c r="CE5">
        <f ca="1">IF(AND(ISNUMBER($CE$78),$B$69=1),$CE$78,HLOOKUP(INDIRECT(ADDRESS(2,COLUMN())),OFFSET($CL$2,0,0,ROW()-1,84),ROW()-1,FALSE))</f>
        <v>53920.121919999998</v>
      </c>
      <c r="CF5">
        <f ca="1">IF(AND(ISNUMBER($CF$78),$B$69=1),$CF$78,HLOOKUP(INDIRECT(ADDRESS(2,COLUMN())),OFFSET($CL$2,0,0,ROW()-1,84),ROW()-1,FALSE))</f>
        <v>52936.953710000002</v>
      </c>
      <c r="CG5">
        <f ca="1">IF(AND(ISNUMBER($CG$78),$B$69=1),$CG$78,HLOOKUP(INDIRECT(ADDRESS(2,COLUMN())),OFFSET($CL$2,0,0,ROW()-1,84),ROW()-1,FALSE))</f>
        <v>53068.255980000002</v>
      </c>
      <c r="CH5">
        <f ca="1">IF(AND(ISNUMBER($CH$78),$B$69=1),$CH$78,HLOOKUP(INDIRECT(ADDRESS(2,COLUMN())),OFFSET($CL$2,0,0,ROW()-1,84),ROW()-1,FALSE))</f>
        <v>48370.091229999998</v>
      </c>
      <c r="CI5">
        <f ca="1">IF(AND(ISNUMBER($CI$78),$B$69=1),$CI$78,HLOOKUP(INDIRECT(ADDRESS(2,COLUMN())),OFFSET($CL$2,0,0,ROW()-1,84),ROW()-1,FALSE))</f>
        <v>51044.764289999999</v>
      </c>
      <c r="CJ5">
        <f ca="1">IF(AND(ISNUMBER($CJ$78),$B$69=1),$CJ$78,HLOOKUP(INDIRECT(ADDRESS(2,COLUMN())),OFFSET($CL$2,0,0,ROW()-1,84),ROW()-1,FALSE))</f>
        <v>52635.6</v>
      </c>
      <c r="CK5">
        <f ca="1">IF(AND(ISNUMBER($CK$78),$B$69=1),$CK$78,HLOOKUP(INDIRECT(ADDRESS(2,COLUMN())),OFFSET($CL$2,0,0,ROW()-1,84),ROW()-1,FALSE))</f>
        <v>50101.4303</v>
      </c>
      <c r="CL5" t="str">
        <f>""</f>
        <v/>
      </c>
      <c r="CM5">
        <f>47652.45</f>
        <v>47652.45</v>
      </c>
      <c r="CN5">
        <f>50068.4</f>
        <v>50068.4</v>
      </c>
      <c r="CO5">
        <f>51556.34</f>
        <v>51556.34</v>
      </c>
      <c r="CP5">
        <f>49414.52</f>
        <v>49414.52</v>
      </c>
      <c r="CQ5">
        <f>48185.6</f>
        <v>48185.599999999999</v>
      </c>
      <c r="CR5">
        <f>49521.82372</f>
        <v>49521.82372</v>
      </c>
      <c r="CS5">
        <f>50523.2564</f>
        <v>50523.256399999998</v>
      </c>
      <c r="CT5">
        <f>45592.91</f>
        <v>45592.91</v>
      </c>
      <c r="CU5">
        <f>47812.40753</f>
        <v>47812.407529999997</v>
      </c>
      <c r="CV5">
        <f>49057.03176</f>
        <v>49057.031759999998</v>
      </c>
      <c r="CW5">
        <f>46726.81798</f>
        <v>46726.81798</v>
      </c>
      <c r="CX5">
        <f>47054.74099</f>
        <v>47054.740989999998</v>
      </c>
      <c r="CY5">
        <f>46599.2482</f>
        <v>46599.248200000002</v>
      </c>
      <c r="CZ5">
        <f>49200.51968</f>
        <v>49200.519679999998</v>
      </c>
      <c r="DA5">
        <f>50927.32606</f>
        <v>50927.326059999999</v>
      </c>
      <c r="DB5">
        <f>48278.74752</f>
        <v>48278.747519999997</v>
      </c>
      <c r="DC5">
        <f>47283.1</f>
        <v>47283.1</v>
      </c>
      <c r="DD5">
        <f>47132.13855</f>
        <v>47132.138550000003</v>
      </c>
      <c r="DE5">
        <f>48660.10694</f>
        <v>48660.106939999998</v>
      </c>
      <c r="DF5">
        <f>45204.98083</f>
        <v>45204.98083</v>
      </c>
      <c r="DG5">
        <f>52095.99</f>
        <v>52095.99</v>
      </c>
      <c r="DH5">
        <f>48682.4866</f>
        <v>48682.486599999997</v>
      </c>
      <c r="DI5">
        <f>52126.28735</f>
        <v>52126.287349999999</v>
      </c>
      <c r="DJ5">
        <f>48764.37638</f>
        <v>48764.376380000002</v>
      </c>
      <c r="DK5">
        <f>48263.52908</f>
        <v>48263.52908</v>
      </c>
      <c r="DL5">
        <f>49773.36082</f>
        <v>49773.360820000002</v>
      </c>
      <c r="DM5">
        <f>50446.90497</f>
        <v>50446.904970000003</v>
      </c>
      <c r="DN5">
        <f>48768.76219</f>
        <v>48768.762190000001</v>
      </c>
      <c r="DO5">
        <f>51385.09664</f>
        <v>51385.096640000003</v>
      </c>
      <c r="DP5">
        <f>50261.30702</f>
        <v>50261.30702</v>
      </c>
      <c r="DQ5">
        <f>52683.36703</f>
        <v>52683.367030000001</v>
      </c>
      <c r="DR5">
        <f>47445.2347</f>
        <v>47445.234700000001</v>
      </c>
      <c r="DS5">
        <f>51041.98697</f>
        <v>51041.986969999998</v>
      </c>
      <c r="DT5">
        <f>49976.49392</f>
        <v>49976.493920000001</v>
      </c>
      <c r="DU5">
        <f>49760.11964</f>
        <v>49760.119639999997</v>
      </c>
      <c r="DV5">
        <f>50058.54246</f>
        <v>50058.542459999997</v>
      </c>
      <c r="DW5">
        <f>49197.25593</f>
        <v>49197.255929999999</v>
      </c>
      <c r="DX5">
        <f>50448.10803</f>
        <v>50448.108030000003</v>
      </c>
      <c r="DY5">
        <f>48752.14303</f>
        <v>48752.143029999999</v>
      </c>
      <c r="DZ5">
        <f>48163.70021</f>
        <v>48163.700210000003</v>
      </c>
      <c r="EA5">
        <f>44620.53098</f>
        <v>44620.530980000003</v>
      </c>
      <c r="EB5">
        <f>47611.05026</f>
        <v>47611.050260000004</v>
      </c>
      <c r="EC5">
        <f>53344.50111</f>
        <v>53344.501109999997</v>
      </c>
      <c r="ED5">
        <f>47761.08201</f>
        <v>47761.082009999998</v>
      </c>
      <c r="EE5">
        <f>51044.72795</f>
        <v>51044.72795</v>
      </c>
      <c r="EF5">
        <f>53177.93312</f>
        <v>53177.933120000002</v>
      </c>
      <c r="EG5">
        <f>52378.80018</f>
        <v>52378.800179999998</v>
      </c>
      <c r="EH5">
        <f>52557.7201</f>
        <v>52557.720099999999</v>
      </c>
      <c r="EI5">
        <f>49785.19178</f>
        <v>49785.191780000001</v>
      </c>
      <c r="EJ5">
        <f>51066.40755</f>
        <v>51066.407550000004</v>
      </c>
      <c r="EK5">
        <f>52124.60799</f>
        <v>52124.607989999997</v>
      </c>
      <c r="EL5">
        <f>53341.02983</f>
        <v>53341.029829999999</v>
      </c>
      <c r="EM5">
        <f>55848.52572</f>
        <v>55848.525719999998</v>
      </c>
      <c r="EN5">
        <f>54329.10664</f>
        <v>54329.106639999998</v>
      </c>
      <c r="EO5">
        <f>52019.68543</f>
        <v>52019.685429999998</v>
      </c>
      <c r="EP5">
        <f>47962.1369</f>
        <v>47962.136899999998</v>
      </c>
      <c r="EQ5">
        <f>51930.01725</f>
        <v>51930.017249999997</v>
      </c>
      <c r="ER5">
        <f>54278.83732</f>
        <v>54278.837319999999</v>
      </c>
      <c r="ES5">
        <f>51785.26477</f>
        <v>51785.264770000002</v>
      </c>
      <c r="ET5">
        <f>53547.04606</f>
        <v>53547.046060000001</v>
      </c>
      <c r="EU5">
        <f>50349.81429</f>
        <v>50349.814290000002</v>
      </c>
      <c r="EV5">
        <f>54838.20999</f>
        <v>54838.209990000003</v>
      </c>
      <c r="EW5">
        <f>52268.76945</f>
        <v>52268.76945</v>
      </c>
      <c r="EX5">
        <f>51768.0894</f>
        <v>51768.089399999997</v>
      </c>
      <c r="EY5">
        <f>53372.09639</f>
        <v>53372.096389999999</v>
      </c>
      <c r="EZ5">
        <f>51969.93445</f>
        <v>51969.934450000001</v>
      </c>
      <c r="FA5">
        <f>53776.58087</f>
        <v>53776.580869999998</v>
      </c>
      <c r="FB5">
        <f>48984.08284</f>
        <v>48984.082840000003</v>
      </c>
      <c r="FC5">
        <f>53186.54664</f>
        <v>53186.54664</v>
      </c>
      <c r="FD5">
        <f>54458.90272</f>
        <v>54458.902719999998</v>
      </c>
      <c r="FE5">
        <f>53120.22596</f>
        <v>53120.225960000003</v>
      </c>
      <c r="FF5">
        <f>53877.09874</f>
        <v>53877.098740000001</v>
      </c>
      <c r="FG5">
        <f>52833.16141</f>
        <v>52833.161410000001</v>
      </c>
      <c r="FH5">
        <f>52963.4929</f>
        <v>52963.492899999997</v>
      </c>
      <c r="FI5">
        <f>50115.54696</f>
        <v>50115.54696</v>
      </c>
      <c r="FJ5">
        <f>50979.43923</f>
        <v>50979.439230000004</v>
      </c>
      <c r="FK5">
        <f>53920.12192</f>
        <v>53920.121919999998</v>
      </c>
      <c r="FL5">
        <f>52936.95371</f>
        <v>52936.953710000002</v>
      </c>
      <c r="FM5">
        <f>53068.25598</f>
        <v>53068.255980000002</v>
      </c>
      <c r="FN5">
        <f>48370.09123</f>
        <v>48370.091229999998</v>
      </c>
      <c r="FO5">
        <f>51044.76429</f>
        <v>51044.764289999999</v>
      </c>
      <c r="FP5">
        <f>52635.6</f>
        <v>52635.6</v>
      </c>
      <c r="FQ5">
        <f>50101.4303</f>
        <v>50101.4303</v>
      </c>
    </row>
    <row r="6" spans="1:173" x14ac:dyDescent="0.25">
      <c r="A6" t="str">
        <f>"        General Cargo (000 tonnes)"</f>
        <v xml:space="preserve">        General Cargo (000 tonnes)</v>
      </c>
      <c r="B6" t="str">
        <f>""</f>
        <v/>
      </c>
      <c r="E6" t="str">
        <f>"Sum"</f>
        <v>Sum</v>
      </c>
      <c r="F6" t="str">
        <f ca="1">IF(ISERROR(IF(SUM($F$7:$F$8) = 0, "", SUM($F$7:$F$8))), "", (IF(SUM($F$7:$F$8) = 0, "", SUM($F$7:$F$8))))</f>
        <v/>
      </c>
      <c r="G6">
        <f ca="1">IF(ISERROR(IF(SUM($G$7:$G$8) = 0, "", SUM($G$7:$G$8))), "", (IF(SUM($G$7:$G$8) = 0, "", SUM($G$7:$G$8))))</f>
        <v>31190.240000000002</v>
      </c>
      <c r="H6">
        <f ca="1">IF(ISERROR(IF(SUM($H$7:$H$8) = 0, "", SUM($H$7:$H$8))), "", (IF(SUM($H$7:$H$8) = 0, "", SUM($H$7:$H$8))))</f>
        <v>32158.74</v>
      </c>
      <c r="I6">
        <f ca="1">IF(ISERROR(IF(SUM($I$7:$I$8) = 0, "", SUM($I$7:$I$8))), "", (IF(SUM($I$7:$I$8) = 0, "", SUM($I$7:$I$8))))</f>
        <v>32991.629999999997</v>
      </c>
      <c r="J6">
        <f ca="1">IF(ISERROR(IF(SUM($J$7:$J$8) = 0, "", SUM($J$7:$J$8))), "", (IF(SUM($J$7:$J$8) = 0, "", SUM($J$7:$J$8))))</f>
        <v>31114.710000000003</v>
      </c>
      <c r="K6">
        <f ca="1">IF(ISERROR(IF(SUM($K$7:$K$8) = 0, "", SUM($K$7:$K$8))), "", (IF(SUM($K$7:$K$8) = 0, "", SUM($K$7:$K$8))))</f>
        <v>32048.280120000003</v>
      </c>
      <c r="L6">
        <f ca="1">IF(ISERROR(IF(SUM($L$7:$L$8) = 0, "", SUM($L$7:$L$8))), "", (IF(SUM($L$7:$L$8) = 0, "", SUM($L$7:$L$8))))</f>
        <v>32119.077740000001</v>
      </c>
      <c r="M6">
        <f ca="1">IF(ISERROR(IF(SUM($M$7:$M$8) = 0, "", SUM($M$7:$M$8))), "", (IF(SUM($M$7:$M$8) = 0, "", SUM($M$7:$M$8))))</f>
        <v>33132.29</v>
      </c>
      <c r="N6">
        <f ca="1">IF(ISERROR(IF(SUM($N$7:$N$8) = 0, "", SUM($N$7:$N$8))), "", (IF(SUM($N$7:$N$8) = 0, "", SUM($N$7:$N$8))))</f>
        <v>27119.129999999997</v>
      </c>
      <c r="O6">
        <f ca="1">IF(ISERROR(IF(SUM($O$7:$O$8) = 0, "", SUM($O$7:$O$8))), "", (IF(SUM($O$7:$O$8) = 0, "", SUM($O$7:$O$8))))</f>
        <v>29192.36</v>
      </c>
      <c r="P6">
        <f ca="1">IF(ISERROR(IF(SUM($P$7:$P$8) = 0, "", SUM($P$7:$P$8))), "", (IF(SUM($P$7:$P$8) = 0, "", SUM($P$7:$P$8))))</f>
        <v>30215.1407</v>
      </c>
      <c r="Q6">
        <f ca="1">IF(ISERROR(IF(SUM($Q$7:$Q$8) = 0, "", SUM($Q$7:$Q$8))), "", (IF(SUM($Q$7:$Q$8) = 0, "", SUM($Q$7:$Q$8))))</f>
        <v>29071.861830000002</v>
      </c>
      <c r="R6">
        <f ca="1">IF(ISERROR(IF(SUM($R$7:$R$8) = 0, "", SUM($R$7:$R$8))), "", (IF(SUM($R$7:$R$8) = 0, "", SUM($R$7:$R$8))))</f>
        <v>29338.181558</v>
      </c>
      <c r="S6">
        <f ca="1">IF(ISERROR(IF(SUM($S$7:$S$8) = 0, "", SUM($S$7:$S$8))), "", (IF(SUM($S$7:$S$8) = 0, "", SUM($S$7:$S$8))))</f>
        <v>28875.8688</v>
      </c>
      <c r="T6">
        <f ca="1">IF(ISERROR(IF(SUM($T$7:$T$8) = 0, "", SUM($T$7:$T$8))), "", (IF(SUM($T$7:$T$8) = 0, "", SUM($T$7:$T$8))))</f>
        <v>31125.590640000002</v>
      </c>
      <c r="U6">
        <f ca="1">IF(ISERROR(IF(SUM($U$7:$U$8) = 0, "", SUM($U$7:$U$8))), "", (IF(SUM($U$7:$U$8) = 0, "", SUM($U$7:$U$8))))</f>
        <v>32504.8469</v>
      </c>
      <c r="V6">
        <f ca="1">IF(ISERROR(IF(SUM($V$7:$V$8) = 0, "", SUM($V$7:$V$8))), "", (IF(SUM($V$7:$V$8) = 0, "", SUM($V$7:$V$8))))</f>
        <v>30919.40021</v>
      </c>
      <c r="W6">
        <f ca="1">IF(ISERROR(IF(SUM($W$7:$W$8) = 0, "", SUM($W$7:$W$8))), "", (IF(SUM($W$7:$W$8) = 0, "", SUM($W$7:$W$8))))</f>
        <v>30781.76065</v>
      </c>
      <c r="X6">
        <f ca="1">IF(ISERROR(IF(SUM($X$7:$X$8) = 0, "", SUM($X$7:$X$8))), "", (IF(SUM($X$7:$X$8) = 0, "", SUM($X$7:$X$8))))</f>
        <v>30720.197700000001</v>
      </c>
      <c r="Y6">
        <f ca="1">IF(ISERROR(IF(SUM($Y$7:$Y$8) = 0, "", SUM($Y$7:$Y$8))), "", (IF(SUM($Y$7:$Y$8) = 0, "", SUM($Y$7:$Y$8))))</f>
        <v>31738.39748</v>
      </c>
      <c r="Z6">
        <f ca="1">IF(ISERROR(IF(SUM($Z$7:$Z$8) = 0, "", SUM($Z$7:$Z$8))), "", (IF(SUM($Z$7:$Z$8) = 0, "", SUM($Z$7:$Z$8))))</f>
        <v>29511.600000000002</v>
      </c>
      <c r="AA6">
        <f ca="1">IF(ISERROR(IF(SUM($AA$7:$AA$8) = 0, "", SUM($AA$7:$AA$8))), "", (IF(SUM($AA$7:$AA$8) = 0, "", SUM($AA$7:$AA$8))))</f>
        <v>32301.980000000003</v>
      </c>
      <c r="AB6">
        <f ca="1">IF(ISERROR(IF(SUM($AB$7:$AB$8) = 0, "", SUM($AB$7:$AB$8))), "", (IF(SUM($AB$7:$AB$8) = 0, "", SUM($AB$7:$AB$8))))</f>
        <v>33320.646004000002</v>
      </c>
      <c r="AC6">
        <f ca="1">IF(ISERROR(IF(SUM($AC$7:$AC$8) = 0, "", SUM($AC$7:$AC$8))), "", (IF(SUM($AC$7:$AC$8) = 0, "", SUM($AC$7:$AC$8))))</f>
        <v>32336.209996999998</v>
      </c>
      <c r="AD6">
        <f ca="1">IF(ISERROR(IF(SUM($AD$7:$AD$8) = 0, "", SUM($AD$7:$AD$8))), "", (IF(SUM($AD$7:$AD$8) = 0, "", SUM($AD$7:$AD$8))))</f>
        <v>30971.799412</v>
      </c>
      <c r="AE6">
        <f ca="1">IF(ISERROR(IF(SUM($AE$7:$AE$8) = 0, "", SUM($AE$7:$AE$8))), "", (IF(SUM($AE$7:$AE$8) = 0, "", SUM($AE$7:$AE$8))))</f>
        <v>30896.308714000003</v>
      </c>
      <c r="AF6">
        <f ca="1">IF(ISERROR(IF(SUM($AF$7:$AF$8) = 0, "", SUM($AF$7:$AF$8))), "", (IF(SUM($AF$7:$AF$8) = 0, "", SUM($AF$7:$AF$8))))</f>
        <v>32069.313994</v>
      </c>
      <c r="AG6">
        <f ca="1">IF(ISERROR(IF(SUM($AG$7:$AG$8) = 0, "", SUM($AG$7:$AG$8))), "", (IF(SUM($AG$7:$AG$8) = 0, "", SUM($AG$7:$AG$8))))</f>
        <v>32357.103776</v>
      </c>
      <c r="AH6">
        <f ca="1">IF(ISERROR(IF(SUM($AH$7:$AH$8) = 0, "", SUM($AH$7:$AH$8))), "", (IF(SUM($AH$7:$AH$8) = 0, "", SUM($AH$7:$AH$8))))</f>
        <v>31798.464265999999</v>
      </c>
      <c r="AI6">
        <f ca="1">IF(ISERROR(IF(SUM($AI$7:$AI$8) = 0, "", SUM($AI$7:$AI$8))), "", (IF(SUM($AI$7:$AI$8) = 0, "", SUM($AI$7:$AI$8))))</f>
        <v>33274.9611</v>
      </c>
      <c r="AJ6">
        <f ca="1">IF(ISERROR(IF(SUM($AJ$7:$AJ$8) = 0, "", SUM($AJ$7:$AJ$8))), "", (IF(SUM($AJ$7:$AJ$8) = 0, "", SUM($AJ$7:$AJ$8))))</f>
        <v>31936.440616</v>
      </c>
      <c r="AK6">
        <f ca="1">IF(ISERROR(IF(SUM($AK$7:$AK$8) = 0, "", SUM($AK$7:$AK$8))), "", (IF(SUM($AK$7:$AK$8) = 0, "", SUM($AK$7:$AK$8))))</f>
        <v>33725.320814999999</v>
      </c>
      <c r="AL6">
        <f ca="1">IF(ISERROR(IF(SUM($AL$7:$AL$8) = 0, "", SUM($AL$7:$AL$8))), "", (IF(SUM($AL$7:$AL$8) = 0, "", SUM($AL$7:$AL$8))))</f>
        <v>30217.290202</v>
      </c>
      <c r="AM6">
        <f ca="1">IF(ISERROR(IF(SUM($AM$7:$AM$8) = 0, "", SUM($AM$7:$AM$8))), "", (IF(SUM($AM$7:$AM$8) = 0, "", SUM($AM$7:$AM$8))))</f>
        <v>32413.286547</v>
      </c>
      <c r="AN6">
        <f ca="1">IF(ISERROR(IF(SUM($AN$7:$AN$8) = 0, "", SUM($AN$7:$AN$8))), "", (IF(SUM($AN$7:$AN$8) = 0, "", SUM($AN$7:$AN$8))))</f>
        <v>33296.296560000003</v>
      </c>
      <c r="AO6">
        <f ca="1">IF(ISERROR(IF(SUM($AO$7:$AO$8) = 0, "", SUM($AO$7:$AO$8))), "", (IF(SUM($AO$7:$AO$8) = 0, "", SUM($AO$7:$AO$8))))</f>
        <v>32195.809499999999</v>
      </c>
      <c r="AP6">
        <f ca="1">IF(ISERROR(IF(SUM($AP$7:$AP$8) = 0, "", SUM($AP$7:$AP$8))), "", (IF(SUM($AP$7:$AP$8) = 0, "", SUM($AP$7:$AP$8))))</f>
        <v>32670.771220000002</v>
      </c>
      <c r="AQ6">
        <f ca="1">IF(ISERROR(IF(SUM($AQ$7:$AQ$8) = 0, "", SUM($AQ$7:$AQ$8))), "", (IF(SUM($AQ$7:$AQ$8) = 0, "", SUM($AQ$7:$AQ$8))))</f>
        <v>31731.33006</v>
      </c>
      <c r="AR6">
        <f ca="1">IF(ISERROR(IF(SUM($AR$7:$AR$8) = 0, "", SUM($AR$7:$AR$8))), "", (IF(SUM($AR$7:$AR$8) = 0, "", SUM($AR$7:$AR$8))))</f>
        <v>32165.525900000001</v>
      </c>
      <c r="AS6">
        <f ca="1">IF(ISERROR(IF(SUM($AS$7:$AS$8) = 0, "", SUM($AS$7:$AS$8))), "", (IF(SUM($AS$7:$AS$8) = 0, "", SUM($AS$7:$AS$8))))</f>
        <v>30393.241999999998</v>
      </c>
      <c r="AT6">
        <f ca="1">IF(ISERROR(IF(SUM($AT$7:$AT$8) = 0, "", SUM($AT$7:$AT$8))), "", (IF(SUM($AT$7:$AT$8) = 0, "", SUM($AT$7:$AT$8))))</f>
        <v>29261.263070000001</v>
      </c>
      <c r="AU6">
        <f ca="1">IF(ISERROR(IF(SUM($AU$7:$AU$8) = 0, "", SUM($AU$7:$AU$8))), "", (IF(SUM($AU$7:$AU$8) = 0, "", SUM($AU$7:$AU$8))))</f>
        <v>27737.916749999997</v>
      </c>
      <c r="AV6">
        <f ca="1">IF(ISERROR(IF(SUM($AV$7:$AV$8) = 0, "", SUM($AV$7:$AV$8))), "", (IF(SUM($AV$7:$AV$8) = 0, "", SUM($AV$7:$AV$8))))</f>
        <v>30340.307190000003</v>
      </c>
      <c r="AW6">
        <f ca="1">IF(ISERROR(IF(SUM($AW$7:$AW$8) = 0, "", SUM($AW$7:$AW$8))), "", (IF(SUM($AW$7:$AW$8) = 0, "", SUM($AW$7:$AW$8))))</f>
        <v>34576.727010000002</v>
      </c>
      <c r="AX6">
        <f ca="1">IF(ISERROR(IF(SUM($AX$7:$AX$8) = 0, "", SUM($AX$7:$AX$8))), "", (IF(SUM($AX$7:$AX$8) = 0, "", SUM($AX$7:$AX$8))))</f>
        <v>29848.194659999997</v>
      </c>
      <c r="AY6">
        <f ca="1">IF(ISERROR(IF(SUM($AY$7:$AY$8) = 0, "", SUM($AY$7:$AY$8))), "", (IF(SUM($AY$7:$AY$8) = 0, "", SUM($AY$7:$AY$8))))</f>
        <v>32152.919620000001</v>
      </c>
      <c r="AZ6">
        <f ca="1">IF(ISERROR(IF(SUM($AZ$7:$AZ$8) = 0, "", SUM($AZ$7:$AZ$8))), "", (IF(SUM($AZ$7:$AZ$8) = 0, "", SUM($AZ$7:$AZ$8))))</f>
        <v>33526.252609999996</v>
      </c>
      <c r="BA6">
        <f ca="1">IF(ISERROR(IF(SUM($BA$7:$BA$8) = 0, "", SUM($BA$7:$BA$8))), "", (IF(SUM($BA$7:$BA$8) = 0, "", SUM($BA$7:$BA$8))))</f>
        <v>33828.202099999995</v>
      </c>
      <c r="BB6">
        <f ca="1">IF(ISERROR(IF(SUM($BB$7:$BB$8) = 0, "", SUM($BB$7:$BB$8))), "", (IF(SUM($BB$7:$BB$8) = 0, "", SUM($BB$7:$BB$8))))</f>
        <v>32972.327089999999</v>
      </c>
      <c r="BC6">
        <f ca="1">IF(ISERROR(IF(SUM($BC$7:$BC$8) = 0, "", SUM($BC$7:$BC$8))), "", (IF(SUM($BC$7:$BC$8) = 0, "", SUM($BC$7:$BC$8))))</f>
        <v>31748.276399999999</v>
      </c>
      <c r="BD6">
        <f ca="1">IF(ISERROR(IF(SUM($BD$7:$BD$8) = 0, "", SUM($BD$7:$BD$8))), "", (IF(SUM($BD$7:$BD$8) = 0, "", SUM($BD$7:$BD$8))))</f>
        <v>32944.51109</v>
      </c>
      <c r="BE6">
        <f ca="1">IF(ISERROR(IF(SUM($BE$7:$BE$8) = 0, "", SUM($BE$7:$BE$8))), "", (IF(SUM($BE$7:$BE$8) = 0, "", SUM($BE$7:$BE$8))))</f>
        <v>33889.425499999998</v>
      </c>
      <c r="BF6">
        <f ca="1">IF(ISERROR(IF(SUM($BF$7:$BF$8) = 0, "", SUM($BF$7:$BF$8))), "", (IF(SUM($BF$7:$BF$8) = 0, "", SUM($BF$7:$BF$8))))</f>
        <v>31278.459930000001</v>
      </c>
      <c r="BG6">
        <f ca="1">IF(ISERROR(IF(SUM($BG$7:$BG$8) = 0, "", SUM($BG$7:$BG$8))), "", (IF(SUM($BG$7:$BG$8) = 0, "", SUM($BG$7:$BG$8))))</f>
        <v>32880.146009999997</v>
      </c>
      <c r="BH6">
        <f ca="1">IF(ISERROR(IF(SUM($BH$7:$BH$8) = 0, "", SUM($BH$7:$BH$8))), "", (IF(SUM($BH$7:$BH$8) = 0, "", SUM($BH$7:$BH$8))))</f>
        <v>32229.64572</v>
      </c>
      <c r="BI6">
        <f ca="1">IF(ISERROR(IF(SUM($BI$7:$BI$8) = 0, "", SUM($BI$7:$BI$8))), "", (IF(SUM($BI$7:$BI$8) = 0, "", SUM($BI$7:$BI$8))))</f>
        <v>34306.748630000002</v>
      </c>
      <c r="BJ6">
        <f ca="1">IF(ISERROR(IF(SUM($BJ$7:$BJ$8) = 0, "", SUM($BJ$7:$BJ$8))), "", (IF(SUM($BJ$7:$BJ$8) = 0, "", SUM($BJ$7:$BJ$8))))</f>
        <v>28500.234049999999</v>
      </c>
      <c r="BK6">
        <f ca="1">IF(ISERROR(IF(SUM($BK$7:$BK$8) = 0, "", SUM($BK$7:$BK$8))), "", (IF(SUM($BK$7:$BK$8) = 0, "", SUM($BK$7:$BK$8))))</f>
        <v>31331.40569</v>
      </c>
      <c r="BL6">
        <f ca="1">IF(ISERROR(IF(SUM($BL$7:$BL$8) = 0, "", SUM($BL$7:$BL$8))), "", (IF(SUM($BL$7:$BL$8) = 0, "", SUM($BL$7:$BL$8))))</f>
        <v>33304.035210000002</v>
      </c>
      <c r="BM6">
        <f ca="1">IF(ISERROR(IF(SUM($BM$7:$BM$8) = 0, "", SUM($BM$7:$BM$8))), "", (IF(SUM($BM$7:$BM$8) = 0, "", SUM($BM$7:$BM$8))))</f>
        <v>31884.649409999998</v>
      </c>
      <c r="BN6">
        <f ca="1">IF(ISERROR(IF(SUM($BN$7:$BN$8) = 0, "", SUM($BN$7:$BN$8))), "", (IF(SUM($BN$7:$BN$8) = 0, "", SUM($BN$7:$BN$8))))</f>
        <v>32493.538840000001</v>
      </c>
      <c r="BO6">
        <f ca="1">IF(ISERROR(IF(SUM($BO$7:$BO$8) = 0, "", SUM($BO$7:$BO$8))), "", (IF(SUM($BO$7:$BO$8) = 0, "", SUM($BO$7:$BO$8))))</f>
        <v>31679.871009999999</v>
      </c>
      <c r="BP6">
        <f ca="1">IF(ISERROR(IF(SUM($BP$7:$BP$8) = 0, "", SUM($BP$7:$BP$8))), "", (IF(SUM($BP$7:$BP$8) = 0, "", SUM($BP$7:$BP$8))))</f>
        <v>33273.454449999997</v>
      </c>
      <c r="BQ6">
        <f ca="1">IF(ISERROR(IF(SUM($BQ$7:$BQ$8) = 0, "", SUM($BQ$7:$BQ$8))), "", (IF(SUM($BQ$7:$BQ$8) = 0, "", SUM($BQ$7:$BQ$8))))</f>
        <v>33846.0458</v>
      </c>
      <c r="BR6">
        <f ca="1">IF(ISERROR(IF(SUM($BR$7:$BR$8) = 0, "", SUM($BR$7:$BR$8))), "", (IF(SUM($BR$7:$BR$8) = 0, "", SUM($BR$7:$BR$8))))</f>
        <v>32891.741549999999</v>
      </c>
      <c r="BS6">
        <f ca="1">IF(ISERROR(IF(SUM($BS$7:$BS$8) = 0, "", SUM($BS$7:$BS$8))), "", (IF(SUM($BS$7:$BS$8) = 0, "", SUM($BS$7:$BS$8))))</f>
        <v>34345.321750000003</v>
      </c>
      <c r="BT6">
        <f ca="1">IF(ISERROR(IF(SUM($BT$7:$BT$8) = 0, "", SUM($BT$7:$BT$8))), "", (IF(SUM($BT$7:$BT$8) = 0, "", SUM($BT$7:$BT$8))))</f>
        <v>32134.46889</v>
      </c>
      <c r="BU6">
        <f ca="1">IF(ISERROR(IF(SUM($BU$7:$BU$8) = 0, "", SUM($BU$7:$BU$8))), "", (IF(SUM($BU$7:$BU$8) = 0, "", SUM($BU$7:$BU$8))))</f>
        <v>34172.338040000002</v>
      </c>
      <c r="BV6">
        <f ca="1">IF(ISERROR(IF(SUM($BV$7:$BV$8) = 0, "", SUM($BV$7:$BV$8))), "", (IF(SUM($BV$7:$BV$8) = 0, "", SUM($BV$7:$BV$8))))</f>
        <v>29635.307520000002</v>
      </c>
      <c r="BW6">
        <f ca="1">IF(ISERROR(IF(SUM($BW$7:$BW$8) = 0, "", SUM($BW$7:$BW$8))), "", (IF(SUM($BW$7:$BW$8) = 0, "", SUM($BW$7:$BW$8))))</f>
        <v>32084.455880000001</v>
      </c>
      <c r="BX6">
        <f ca="1">IF(ISERROR(IF(SUM($BX$7:$BX$8) = 0, "", SUM($BX$7:$BX$8))), "", (IF(SUM($BX$7:$BX$8) = 0, "", SUM($BX$7:$BX$8))))</f>
        <v>32328.688839999999</v>
      </c>
      <c r="BY6">
        <f ca="1">IF(ISERROR(IF(SUM($BY$7:$BY$8) = 0, "", SUM($BY$7:$BY$8))), "", (IF(SUM($BY$7:$BY$8) = 0, "", SUM($BY$7:$BY$8))))</f>
        <v>31919.459369999997</v>
      </c>
      <c r="BZ6">
        <f ca="1">IF(ISERROR(IF(SUM($BZ$7:$BZ$8) = 0, "", SUM($BZ$7:$BZ$8))), "", (IF(SUM($BZ$7:$BZ$8) = 0, "", SUM($BZ$7:$BZ$8))))</f>
        <v>31270.208329999998</v>
      </c>
      <c r="CA6">
        <f ca="1">IF(ISERROR(IF(SUM($CA$7:$CA$8) = 0, "", SUM($CA$7:$CA$8))), "", (IF(SUM($CA$7:$CA$8) = 0, "", SUM($CA$7:$CA$8))))</f>
        <v>31002.961149999999</v>
      </c>
      <c r="CB6">
        <f ca="1">IF(ISERROR(IF(SUM($CB$7:$CB$8) = 0, "", SUM($CB$7:$CB$8))), "", (IF(SUM($CB$7:$CB$8) = 0, "", SUM($CB$7:$CB$8))))</f>
        <v>32433.570889999999</v>
      </c>
      <c r="CC6">
        <f ca="1">IF(ISERROR(IF(SUM($CC$7:$CC$8) = 0, "", SUM($CC$7:$CC$8))), "", (IF(SUM($CC$7:$CC$8) = 0, "", SUM($CC$7:$CC$8))))</f>
        <v>31700.514490000001</v>
      </c>
      <c r="CD6">
        <f ca="1">IF(ISERROR(IF(SUM($CD$7:$CD$8) = 0, "", SUM($CD$7:$CD$8))), "", (IF(SUM($CD$7:$CD$8) = 0, "", SUM($CD$7:$CD$8))))</f>
        <v>31425.89342</v>
      </c>
      <c r="CE6">
        <f ca="1">IF(ISERROR(IF(SUM($CE$7:$CE$8) = 0, "", SUM($CE$7:$CE$8))), "", (IF(SUM($CE$7:$CE$8) = 0, "", SUM($CE$7:$CE$8))))</f>
        <v>33454.943420000003</v>
      </c>
      <c r="CF6">
        <f ca="1">IF(ISERROR(IF(SUM($CF$7:$CF$8) = 0, "", SUM($CF$7:$CF$8))), "", (IF(SUM($CF$7:$CF$8) = 0, "", SUM($CF$7:$CF$8))))</f>
        <v>32614.182280000001</v>
      </c>
      <c r="CG6">
        <f ca="1">IF(ISERROR(IF(SUM($CG$7:$CG$8) = 0, "", SUM($CG$7:$CG$8))), "", (IF(SUM($CG$7:$CG$8) = 0, "", SUM($CG$7:$CG$8))))</f>
        <v>31876.787990000001</v>
      </c>
      <c r="CH6">
        <f ca="1">IF(ISERROR(IF(SUM($CH$7:$CH$8) = 0, "", SUM($CH$7:$CH$8))), "", (IF(SUM($CH$7:$CH$8) = 0, "", SUM($CH$7:$CH$8))))</f>
        <v>27186.320330000002</v>
      </c>
      <c r="CI6">
        <f ca="1">IF(ISERROR(IF(SUM($CI$7:$CI$8) = 0, "", SUM($CI$7:$CI$8))), "", (IF(SUM($CI$7:$CI$8) = 0, "", SUM($CI$7:$CI$8))))</f>
        <v>28832.18561</v>
      </c>
      <c r="CJ6">
        <f ca="1">IF(ISERROR(IF(SUM($CJ$7:$CJ$8) = 0, "", SUM($CJ$7:$CJ$8))), "", (IF(SUM($CJ$7:$CJ$8) = 0, "", SUM($CJ$7:$CJ$8))))</f>
        <v>30497.28787</v>
      </c>
      <c r="CK6">
        <f ca="1">IF(ISERROR(IF(SUM($CK$7:$CK$8) = 0, "", SUM($CK$7:$CK$8))), "", (IF(SUM($CK$7:$CK$8) = 0, "", SUM($CK$7:$CK$8))))</f>
        <v>29204.491960000003</v>
      </c>
      <c r="CL6" t="str">
        <f>""</f>
        <v/>
      </c>
      <c r="CM6">
        <f>31190.24</f>
        <v>31190.240000000002</v>
      </c>
      <c r="CN6">
        <f>32158.74</f>
        <v>32158.74</v>
      </c>
      <c r="CO6">
        <f>32991.63</f>
        <v>32991.629999999997</v>
      </c>
      <c r="CP6">
        <f>31114.71</f>
        <v>31114.71</v>
      </c>
      <c r="CQ6">
        <f>32048.28012</f>
        <v>32048.280119999999</v>
      </c>
      <c r="CR6">
        <f>32119.07774</f>
        <v>32119.077740000001</v>
      </c>
      <c r="CS6">
        <f>33132.29</f>
        <v>33132.29</v>
      </c>
      <c r="CT6">
        <f>27119.13</f>
        <v>27119.13</v>
      </c>
      <c r="CU6">
        <f>29192.36</f>
        <v>29192.36</v>
      </c>
      <c r="CV6">
        <f>30215.1407</f>
        <v>30215.1407</v>
      </c>
      <c r="CW6">
        <f>29071.86183</f>
        <v>29071.861830000002</v>
      </c>
      <c r="CX6">
        <f>29338.18155</f>
        <v>29338.181550000001</v>
      </c>
      <c r="CY6">
        <f>28875.8688</f>
        <v>28875.8688</v>
      </c>
      <c r="CZ6">
        <f>31125.59064</f>
        <v>31125.590639999999</v>
      </c>
      <c r="DA6">
        <f>32504.8469</f>
        <v>32504.8469</v>
      </c>
      <c r="DB6">
        <f>30919.40021</f>
        <v>30919.40021</v>
      </c>
      <c r="DC6">
        <f>30781.76065</f>
        <v>30781.76065</v>
      </c>
      <c r="DD6">
        <f>30720.1977</f>
        <v>30720.197700000001</v>
      </c>
      <c r="DE6">
        <f>31738.39748</f>
        <v>31738.39748</v>
      </c>
      <c r="DF6">
        <f>29511.6</f>
        <v>29511.599999999999</v>
      </c>
      <c r="DG6">
        <f>32301.98</f>
        <v>32301.98</v>
      </c>
      <c r="DH6">
        <f>33320.646</f>
        <v>33320.646000000001</v>
      </c>
      <c r="DI6">
        <f>32336.21</f>
        <v>32336.21</v>
      </c>
      <c r="DJ6">
        <f>30971.79941</f>
        <v>30971.79941</v>
      </c>
      <c r="DK6">
        <f>30896.30872</f>
        <v>30896.308720000001</v>
      </c>
      <c r="DL6">
        <f>32069.31399</f>
        <v>32069.313989999999</v>
      </c>
      <c r="DM6">
        <f>32357.10378</f>
        <v>32357.103780000001</v>
      </c>
      <c r="DN6">
        <f>31798.46427</f>
        <v>31798.46427</v>
      </c>
      <c r="DO6">
        <f>33274.9611</f>
        <v>33274.9611</v>
      </c>
      <c r="DP6">
        <f>31936.44061</f>
        <v>31936.440610000001</v>
      </c>
      <c r="DQ6">
        <f>33725.32081</f>
        <v>33725.320809999997</v>
      </c>
      <c r="DR6">
        <f>30217.2902</f>
        <v>30217.290199999999</v>
      </c>
      <c r="DS6">
        <f>32413.28654</f>
        <v>32413.286540000001</v>
      </c>
      <c r="DT6">
        <f>33296.29656</f>
        <v>33296.296560000003</v>
      </c>
      <c r="DU6">
        <f>32195.8095</f>
        <v>32195.809499999999</v>
      </c>
      <c r="DV6">
        <f>32670.77122</f>
        <v>32670.771219999999</v>
      </c>
      <c r="DW6">
        <f>31731.33006</f>
        <v>31731.33006</v>
      </c>
      <c r="DX6">
        <f>32165.5259</f>
        <v>32165.525900000001</v>
      </c>
      <c r="DY6">
        <f>30393.242</f>
        <v>30393.241999999998</v>
      </c>
      <c r="DZ6">
        <f>29261.26307</f>
        <v>29261.263070000001</v>
      </c>
      <c r="EA6">
        <f>27737.91675</f>
        <v>27737.91675</v>
      </c>
      <c r="EB6">
        <f>30340.30719</f>
        <v>30340.30719</v>
      </c>
      <c r="EC6">
        <f>34576.72701</f>
        <v>34576.727010000002</v>
      </c>
      <c r="ED6">
        <f>29848.19466</f>
        <v>29848.194660000001</v>
      </c>
      <c r="EE6">
        <f>32152.91962</f>
        <v>32152.919620000001</v>
      </c>
      <c r="EF6">
        <f>33526.25261</f>
        <v>33526.252610000003</v>
      </c>
      <c r="EG6">
        <f>33828.2021</f>
        <v>33828.202100000002</v>
      </c>
      <c r="EH6">
        <f>32972.32709</f>
        <v>32972.327089999999</v>
      </c>
      <c r="EI6">
        <f>31748.2764</f>
        <v>31748.276399999999</v>
      </c>
      <c r="EJ6">
        <f>32944.51109</f>
        <v>32944.51109</v>
      </c>
      <c r="EK6">
        <f>33889.4255</f>
        <v>33889.425499999998</v>
      </c>
      <c r="EL6">
        <f>31278.45993</f>
        <v>31278.459930000001</v>
      </c>
      <c r="EM6">
        <f>32880.14601</f>
        <v>32880.146009999997</v>
      </c>
      <c r="EN6">
        <f>32229.64572</f>
        <v>32229.64572</v>
      </c>
      <c r="EO6">
        <f>34306.74863</f>
        <v>34306.748630000002</v>
      </c>
      <c r="EP6">
        <f>28500.23405</f>
        <v>28500.234049999999</v>
      </c>
      <c r="EQ6">
        <f>31331.40569</f>
        <v>31331.40569</v>
      </c>
      <c r="ER6">
        <f>33304.03521</f>
        <v>33304.035210000002</v>
      </c>
      <c r="ES6">
        <f>31884.64941</f>
        <v>31884.649410000002</v>
      </c>
      <c r="ET6">
        <f>32493.53884</f>
        <v>32493.538840000001</v>
      </c>
      <c r="EU6">
        <f>31679.87101</f>
        <v>31679.871009999999</v>
      </c>
      <c r="EV6">
        <f>33273.45445</f>
        <v>33273.454449999997</v>
      </c>
      <c r="EW6">
        <f>33846.0458</f>
        <v>33846.0458</v>
      </c>
      <c r="EX6">
        <f>32891.74155</f>
        <v>32891.741549999999</v>
      </c>
      <c r="EY6">
        <f>34345.32175</f>
        <v>34345.321750000003</v>
      </c>
      <c r="EZ6">
        <f>32134.46889</f>
        <v>32134.46889</v>
      </c>
      <c r="FA6">
        <f>34172.33804</f>
        <v>34172.338040000002</v>
      </c>
      <c r="FB6">
        <f>29635.30752</f>
        <v>29635.307519999998</v>
      </c>
      <c r="FC6">
        <f>32084.45588</f>
        <v>32084.455880000001</v>
      </c>
      <c r="FD6">
        <f>32328.68884</f>
        <v>32328.688839999999</v>
      </c>
      <c r="FE6">
        <f>31919.45937</f>
        <v>31919.45937</v>
      </c>
      <c r="FF6">
        <f>31270.20833</f>
        <v>31270.208330000001</v>
      </c>
      <c r="FG6">
        <f>31002.96115</f>
        <v>31002.961149999999</v>
      </c>
      <c r="FH6">
        <f>32433.57089</f>
        <v>32433.570889999999</v>
      </c>
      <c r="FI6">
        <f>31700.51449</f>
        <v>31700.514490000001</v>
      </c>
      <c r="FJ6">
        <f>31425.89342</f>
        <v>31425.89342</v>
      </c>
      <c r="FK6">
        <f>33454.94342</f>
        <v>33454.943420000003</v>
      </c>
      <c r="FL6">
        <f>32614.18228</f>
        <v>32614.182280000001</v>
      </c>
      <c r="FM6">
        <f>31876.78799</f>
        <v>31876.787990000001</v>
      </c>
      <c r="FN6">
        <f>27186.32033</f>
        <v>27186.320329999999</v>
      </c>
      <c r="FO6">
        <f>28832.18561</f>
        <v>28832.18561</v>
      </c>
      <c r="FP6">
        <f>30497.28787</f>
        <v>30497.28787</v>
      </c>
      <c r="FQ6">
        <f>29204.49196</f>
        <v>29204.491959999999</v>
      </c>
    </row>
    <row r="7" spans="1:173" x14ac:dyDescent="0.25">
      <c r="A7" t="str">
        <f>"            Containerized Cargo (000 tonnes)"</f>
        <v xml:space="preserve">            Containerized Cargo (000 tonnes)</v>
      </c>
      <c r="B7" t="str">
        <f>"SIVSCONT Index"</f>
        <v>SIVSCONT Index</v>
      </c>
      <c r="C7" t="str">
        <f>"PR005"</f>
        <v>PR005</v>
      </c>
      <c r="D7" t="str">
        <f>"PX_LAST"</f>
        <v>PX_LAST</v>
      </c>
      <c r="E7" t="str">
        <f>"Dynamic"</f>
        <v>Dynamic</v>
      </c>
      <c r="F7" t="str">
        <f ca="1">IF(AND(ISNUMBER($F$79),$B$69=1),$F$79,HLOOKUP(INDIRECT(ADDRESS(2,COLUMN())),OFFSET($CL$2,0,0,ROW()-1,84),ROW()-1,FALSE))</f>
        <v/>
      </c>
      <c r="G7">
        <f ca="1">IF(AND(ISNUMBER($G$79),$B$69=1),$G$79,HLOOKUP(INDIRECT(ADDRESS(2,COLUMN())),OFFSET($CL$2,0,0,ROW()-1,84),ROW()-1,FALSE))</f>
        <v>29188.5</v>
      </c>
      <c r="H7">
        <f ca="1">IF(AND(ISNUMBER($H$79),$B$69=1),$H$79,HLOOKUP(INDIRECT(ADDRESS(2,COLUMN())),OFFSET($CL$2,0,0,ROW()-1,84),ROW()-1,FALSE))</f>
        <v>29935.34</v>
      </c>
      <c r="I7">
        <f ca="1">IF(AND(ISNUMBER($I$79),$B$69=1),$I$79,HLOOKUP(INDIRECT(ADDRESS(2,COLUMN())),OFFSET($CL$2,0,0,ROW()-1,84),ROW()-1,FALSE))</f>
        <v>30836.68</v>
      </c>
      <c r="J7">
        <f ca="1">IF(AND(ISNUMBER($J$79),$B$69=1),$J$79,HLOOKUP(INDIRECT(ADDRESS(2,COLUMN())),OFFSET($CL$2,0,0,ROW()-1,84),ROW()-1,FALSE))</f>
        <v>29050.06</v>
      </c>
      <c r="K7">
        <f ca="1">IF(AND(ISNUMBER($K$79),$B$69=1),$K$79,HLOOKUP(INDIRECT(ADDRESS(2,COLUMN())),OFFSET($CL$2,0,0,ROW()-1,84),ROW()-1,FALSE))</f>
        <v>29928.630120000002</v>
      </c>
      <c r="L7">
        <f ca="1">IF(AND(ISNUMBER($L$79),$B$69=1),$L$79,HLOOKUP(INDIRECT(ADDRESS(2,COLUMN())),OFFSET($CL$2,0,0,ROW()-1,84),ROW()-1,FALSE))</f>
        <v>29702.257740000001</v>
      </c>
      <c r="M7">
        <f ca="1">IF(AND(ISNUMBER($M$79),$B$69=1),$M$79,HLOOKUP(INDIRECT(ADDRESS(2,COLUMN())),OFFSET($CL$2,0,0,ROW()-1,84),ROW()-1,FALSE))</f>
        <v>30723.03</v>
      </c>
      <c r="N7">
        <f ca="1">IF(AND(ISNUMBER($N$79),$B$69=1),$N$79,HLOOKUP(INDIRECT(ADDRESS(2,COLUMN())),OFFSET($CL$2,0,0,ROW()-1,84),ROW()-1,FALSE))</f>
        <v>25153.119999999999</v>
      </c>
      <c r="O7">
        <f ca="1">IF(AND(ISNUMBER($O$79),$B$69=1),$O$79,HLOOKUP(INDIRECT(ADDRESS(2,COLUMN())),OFFSET($CL$2,0,0,ROW()-1,84),ROW()-1,FALSE))</f>
        <v>26912.6</v>
      </c>
      <c r="P7">
        <f ca="1">IF(AND(ISNUMBER($P$79),$B$69=1),$P$79,HLOOKUP(INDIRECT(ADDRESS(2,COLUMN())),OFFSET($CL$2,0,0,ROW()-1,84),ROW()-1,FALSE))</f>
        <v>28051.040700000001</v>
      </c>
      <c r="Q7">
        <f ca="1">IF(AND(ISNUMBER($Q$79),$B$69=1),$Q$79,HLOOKUP(INDIRECT(ADDRESS(2,COLUMN())),OFFSET($CL$2,0,0,ROW()-1,84),ROW()-1,FALSE))</f>
        <v>26980.181830000001</v>
      </c>
      <c r="R7">
        <f ca="1">IF(AND(ISNUMBER($R$79),$B$69=1),$R$79,HLOOKUP(INDIRECT(ADDRESS(2,COLUMN())),OFFSET($CL$2,0,0,ROW()-1,84),ROW()-1,FALSE))</f>
        <v>26924.191330000001</v>
      </c>
      <c r="S7">
        <f ca="1">IF(AND(ISNUMBER($S$79),$B$69=1),$S$79,HLOOKUP(INDIRECT(ADDRESS(2,COLUMN())),OFFSET($CL$2,0,0,ROW()-1,84),ROW()-1,FALSE))</f>
        <v>26667.148799999999</v>
      </c>
      <c r="T7">
        <f ca="1">IF(AND(ISNUMBER($T$79),$B$69=1),$T$79,HLOOKUP(INDIRECT(ADDRESS(2,COLUMN())),OFFSET($CL$2,0,0,ROW()-1,84),ROW()-1,FALSE))</f>
        <v>28890.83064</v>
      </c>
      <c r="U7">
        <f ca="1">IF(AND(ISNUMBER($U$79),$B$69=1),$U$79,HLOOKUP(INDIRECT(ADDRESS(2,COLUMN())),OFFSET($CL$2,0,0,ROW()-1,84),ROW()-1,FALSE))</f>
        <v>30225.8469</v>
      </c>
      <c r="V7">
        <f ca="1">IF(AND(ISNUMBER($V$79),$B$69=1),$V$79,HLOOKUP(INDIRECT(ADDRESS(2,COLUMN())),OFFSET($CL$2,0,0,ROW()-1,84),ROW()-1,FALSE))</f>
        <v>28967.270209999999</v>
      </c>
      <c r="W7">
        <f ca="1">IF(AND(ISNUMBER($W$79),$B$69=1),$W$79,HLOOKUP(INDIRECT(ADDRESS(2,COLUMN())),OFFSET($CL$2,0,0,ROW()-1,84),ROW()-1,FALSE))</f>
        <v>28702.40065</v>
      </c>
      <c r="X7">
        <f ca="1">IF(AND(ISNUMBER($X$79),$B$69=1),$X$79,HLOOKUP(INDIRECT(ADDRESS(2,COLUMN())),OFFSET($CL$2,0,0,ROW()-1,84),ROW()-1,FALSE))</f>
        <v>28852.827700000002</v>
      </c>
      <c r="Y7">
        <f ca="1">IF(AND(ISNUMBER($Y$79),$B$69=1),$Y$79,HLOOKUP(INDIRECT(ADDRESS(2,COLUMN())),OFFSET($CL$2,0,0,ROW()-1,84),ROW()-1,FALSE))</f>
        <v>29776.517479999999</v>
      </c>
      <c r="Z7">
        <f ca="1">IF(AND(ISNUMBER($Z$79),$B$69=1),$Z$79,HLOOKUP(INDIRECT(ADDRESS(2,COLUMN())),OFFSET($CL$2,0,0,ROW()-1,84),ROW()-1,FALSE))</f>
        <v>27540.13</v>
      </c>
      <c r="AA7">
        <f ca="1">IF(AND(ISNUMBER($AA$79),$B$69=1),$AA$79,HLOOKUP(INDIRECT(ADDRESS(2,COLUMN())),OFFSET($CL$2,0,0,ROW()-1,84),ROW()-1,FALSE))</f>
        <v>30480.080000000002</v>
      </c>
      <c r="AB7">
        <f ca="1">IF(AND(ISNUMBER($AB$79),$B$69=1),$AB$79,HLOOKUP(INDIRECT(ADDRESS(2,COLUMN())),OFFSET($CL$2,0,0,ROW()-1,84),ROW()-1,FALSE))</f>
        <v>31475.817360000001</v>
      </c>
      <c r="AC7">
        <f ca="1">IF(AND(ISNUMBER($AC$79),$B$69=1),$AC$79,HLOOKUP(INDIRECT(ADDRESS(2,COLUMN())),OFFSET($CL$2,0,0,ROW()-1,84),ROW()-1,FALSE))</f>
        <v>30571.819049999998</v>
      </c>
      <c r="AD7">
        <f ca="1">IF(AND(ISNUMBER($AD$79),$B$69=1),$AD$79,HLOOKUP(INDIRECT(ADDRESS(2,COLUMN())),OFFSET($CL$2,0,0,ROW()-1,84),ROW()-1,FALSE))</f>
        <v>29357.442159999999</v>
      </c>
      <c r="AE7">
        <f ca="1">IF(AND(ISNUMBER($AE$79),$B$69=1),$AE$79,HLOOKUP(INDIRECT(ADDRESS(2,COLUMN())),OFFSET($CL$2,0,0,ROW()-1,84),ROW()-1,FALSE))</f>
        <v>29367.170160000001</v>
      </c>
      <c r="AF7">
        <f ca="1">IF(AND(ISNUMBER($AF$79),$B$69=1),$AF$79,HLOOKUP(INDIRECT(ADDRESS(2,COLUMN())),OFFSET($CL$2,0,0,ROW()-1,84),ROW()-1,FALSE))</f>
        <v>30394.51154</v>
      </c>
      <c r="AG7">
        <f ca="1">IF(AND(ISNUMBER($AG$79),$B$69=1),$AG$79,HLOOKUP(INDIRECT(ADDRESS(2,COLUMN())),OFFSET($CL$2,0,0,ROW()-1,84),ROW()-1,FALSE))</f>
        <v>30469.623589999999</v>
      </c>
      <c r="AH7">
        <f ca="1">IF(AND(ISNUMBER($AH$79),$B$69=1),$AH$79,HLOOKUP(INDIRECT(ADDRESS(2,COLUMN())),OFFSET($CL$2,0,0,ROW()-1,84),ROW()-1,FALSE))</f>
        <v>30081.208689999999</v>
      </c>
      <c r="AI7">
        <f ca="1">IF(AND(ISNUMBER($AI$79),$B$69=1),$AI$79,HLOOKUP(INDIRECT(ADDRESS(2,COLUMN())),OFFSET($CL$2,0,0,ROW()-1,84),ROW()-1,FALSE))</f>
        <v>31291.900369999999</v>
      </c>
      <c r="AJ7">
        <f ca="1">IF(AND(ISNUMBER($AJ$79),$B$69=1),$AJ$79,HLOOKUP(INDIRECT(ADDRESS(2,COLUMN())),OFFSET($CL$2,0,0,ROW()-1,84),ROW()-1,FALSE))</f>
        <v>29780.717209999999</v>
      </c>
      <c r="AK7">
        <f ca="1">IF(AND(ISNUMBER($AK$79),$B$69=1),$AK$79,HLOOKUP(INDIRECT(ADDRESS(2,COLUMN())),OFFSET($CL$2,0,0,ROW()-1,84),ROW()-1,FALSE))</f>
        <v>31877.251530000001</v>
      </c>
      <c r="AL7">
        <f ca="1">IF(AND(ISNUMBER($AL$79),$B$69=1),$AL$79,HLOOKUP(INDIRECT(ADDRESS(2,COLUMN())),OFFSET($CL$2,0,0,ROW()-1,84),ROW()-1,FALSE))</f>
        <v>28390.06352</v>
      </c>
      <c r="AM7">
        <f ca="1">IF(AND(ISNUMBER($AM$79),$B$69=1),$AM$79,HLOOKUP(INDIRECT(ADDRESS(2,COLUMN())),OFFSET($CL$2,0,0,ROW()-1,84),ROW()-1,FALSE))</f>
        <v>30694.227050000001</v>
      </c>
      <c r="AN7">
        <f ca="1">IF(AND(ISNUMBER($AN$79),$B$69=1),$AN$79,HLOOKUP(INDIRECT(ADDRESS(2,COLUMN())),OFFSET($CL$2,0,0,ROW()-1,84),ROW()-1,FALSE))</f>
        <v>31537.665850000001</v>
      </c>
      <c r="AO7">
        <f ca="1">IF(AND(ISNUMBER($AO$79),$B$69=1),$AO$79,HLOOKUP(INDIRECT(ADDRESS(2,COLUMN())),OFFSET($CL$2,0,0,ROW()-1,84),ROW()-1,FALSE))</f>
        <v>30811.801100000001</v>
      </c>
      <c r="AP7">
        <f ca="1">IF(AND(ISNUMBER($AP$79),$B$69=1),$AP$79,HLOOKUP(INDIRECT(ADDRESS(2,COLUMN())),OFFSET($CL$2,0,0,ROW()-1,84),ROW()-1,FALSE))</f>
        <v>31231.840260000001</v>
      </c>
      <c r="AQ7">
        <f ca="1">IF(AND(ISNUMBER($AQ$79),$B$69=1),$AQ$79,HLOOKUP(INDIRECT(ADDRESS(2,COLUMN())),OFFSET($CL$2,0,0,ROW()-1,84),ROW()-1,FALSE))</f>
        <v>30539.461039999998</v>
      </c>
      <c r="AR7">
        <f ca="1">IF(AND(ISNUMBER($AR$79),$B$69=1),$AR$79,HLOOKUP(INDIRECT(ADDRESS(2,COLUMN())),OFFSET($CL$2,0,0,ROW()-1,84),ROW()-1,FALSE))</f>
        <v>30798.68606</v>
      </c>
      <c r="AS7">
        <f ca="1">IF(AND(ISNUMBER($AS$79),$B$69=1),$AS$79,HLOOKUP(INDIRECT(ADDRESS(2,COLUMN())),OFFSET($CL$2,0,0,ROW()-1,84),ROW()-1,FALSE))</f>
        <v>29065.25302</v>
      </c>
      <c r="AT7">
        <f ca="1">IF(AND(ISNUMBER($AT$79),$B$69=1),$AT$79,HLOOKUP(INDIRECT(ADDRESS(2,COLUMN())),OFFSET($CL$2,0,0,ROW()-1,84),ROW()-1,FALSE))</f>
        <v>28064.751980000001</v>
      </c>
      <c r="AU7">
        <f ca="1">IF(AND(ISNUMBER($AU$79),$B$69=1),$AU$79,HLOOKUP(INDIRECT(ADDRESS(2,COLUMN())),OFFSET($CL$2,0,0,ROW()-1,84),ROW()-1,FALSE))</f>
        <v>26698.691299999999</v>
      </c>
      <c r="AV7">
        <f ca="1">IF(AND(ISNUMBER($AV$79),$B$69=1),$AV$79,HLOOKUP(INDIRECT(ADDRESS(2,COLUMN())),OFFSET($CL$2,0,0,ROW()-1,84),ROW()-1,FALSE))</f>
        <v>28695.093690000002</v>
      </c>
      <c r="AW7">
        <f ca="1">IF(AND(ISNUMBER($AW$79),$B$69=1),$AW$79,HLOOKUP(INDIRECT(ADDRESS(2,COLUMN())),OFFSET($CL$2,0,0,ROW()-1,84),ROW()-1,FALSE))</f>
        <v>32539.882239999999</v>
      </c>
      <c r="AX7">
        <f ca="1">IF(AND(ISNUMBER($AX$79),$B$69=1),$AX$79,HLOOKUP(INDIRECT(ADDRESS(2,COLUMN())),OFFSET($CL$2,0,0,ROW()-1,84),ROW()-1,FALSE))</f>
        <v>27859.034479999998</v>
      </c>
      <c r="AY7">
        <f ca="1">IF(AND(ISNUMBER($AY$79),$B$69=1),$AY$79,HLOOKUP(INDIRECT(ADDRESS(2,COLUMN())),OFFSET($CL$2,0,0,ROW()-1,84),ROW()-1,FALSE))</f>
        <v>30136.59734</v>
      </c>
      <c r="AZ7">
        <f ca="1">IF(AND(ISNUMBER($AZ$79),$B$69=1),$AZ$79,HLOOKUP(INDIRECT(ADDRESS(2,COLUMN())),OFFSET($CL$2,0,0,ROW()-1,84),ROW()-1,FALSE))</f>
        <v>31493.006079999999</v>
      </c>
      <c r="BA7">
        <f ca="1">IF(AND(ISNUMBER($BA$79),$B$69=1),$BA$79,HLOOKUP(INDIRECT(ADDRESS(2,COLUMN())),OFFSET($CL$2,0,0,ROW()-1,84),ROW()-1,FALSE))</f>
        <v>31769.839639999998</v>
      </c>
      <c r="BB7">
        <f ca="1">IF(AND(ISNUMBER($BB$79),$B$69=1),$BB$79,HLOOKUP(INDIRECT(ADDRESS(2,COLUMN())),OFFSET($CL$2,0,0,ROW()-1,84),ROW()-1,FALSE))</f>
        <v>30886.49307</v>
      </c>
      <c r="BC7">
        <f ca="1">IF(AND(ISNUMBER($BC$79),$B$69=1),$BC$79,HLOOKUP(INDIRECT(ADDRESS(2,COLUMN())),OFFSET($CL$2,0,0,ROW()-1,84),ROW()-1,FALSE))</f>
        <v>29759.553479999999</v>
      </c>
      <c r="BD7">
        <f ca="1">IF(AND(ISNUMBER($BD$79),$B$69=1),$BD$79,HLOOKUP(INDIRECT(ADDRESS(2,COLUMN())),OFFSET($CL$2,0,0,ROW()-1,84),ROW()-1,FALSE))</f>
        <v>30887.05329</v>
      </c>
      <c r="BE7">
        <f ca="1">IF(AND(ISNUMBER($BE$79),$B$69=1),$BE$79,HLOOKUP(INDIRECT(ADDRESS(2,COLUMN())),OFFSET($CL$2,0,0,ROW()-1,84),ROW()-1,FALSE))</f>
        <v>31765.523740000001</v>
      </c>
      <c r="BF7">
        <f ca="1">IF(AND(ISNUMBER($BF$79),$B$69=1),$BF$79,HLOOKUP(INDIRECT(ADDRESS(2,COLUMN())),OFFSET($CL$2,0,0,ROW()-1,84),ROW()-1,FALSE))</f>
        <v>29452.00461</v>
      </c>
      <c r="BG7">
        <f ca="1">IF(AND(ISNUMBER($BG$79),$B$69=1),$BG$79,HLOOKUP(INDIRECT(ADDRESS(2,COLUMN())),OFFSET($CL$2,0,0,ROW()-1,84),ROW()-1,FALSE))</f>
        <v>30960.577369999999</v>
      </c>
      <c r="BH7">
        <f ca="1">IF(AND(ISNUMBER($BH$79),$B$69=1),$BH$79,HLOOKUP(INDIRECT(ADDRESS(2,COLUMN())),OFFSET($CL$2,0,0,ROW()-1,84),ROW()-1,FALSE))</f>
        <v>30346.43562</v>
      </c>
      <c r="BI7">
        <f ca="1">IF(AND(ISNUMBER($BI$79),$B$69=1),$BI$79,HLOOKUP(INDIRECT(ADDRESS(2,COLUMN())),OFFSET($CL$2,0,0,ROW()-1,84),ROW()-1,FALSE))</f>
        <v>32068.570110000001</v>
      </c>
      <c r="BJ7">
        <f ca="1">IF(AND(ISNUMBER($BJ$79),$B$69=1),$BJ$79,HLOOKUP(INDIRECT(ADDRESS(2,COLUMN())),OFFSET($CL$2,0,0,ROW()-1,84),ROW()-1,FALSE))</f>
        <v>26627.711729999999</v>
      </c>
      <c r="BK7">
        <f ca="1">IF(AND(ISNUMBER($BK$79),$B$69=1),$BK$79,HLOOKUP(INDIRECT(ADDRESS(2,COLUMN())),OFFSET($CL$2,0,0,ROW()-1,84),ROW()-1,FALSE))</f>
        <v>29217.360489999999</v>
      </c>
      <c r="BL7">
        <f ca="1">IF(AND(ISNUMBER($BL$79),$B$69=1),$BL$79,HLOOKUP(INDIRECT(ADDRESS(2,COLUMN())),OFFSET($CL$2,0,0,ROW()-1,84),ROW()-1,FALSE))</f>
        <v>31160.833999999999</v>
      </c>
      <c r="BM7">
        <f ca="1">IF(AND(ISNUMBER($BM$79),$B$69=1),$BM$79,HLOOKUP(INDIRECT(ADDRESS(2,COLUMN())),OFFSET($CL$2,0,0,ROW()-1,84),ROW()-1,FALSE))</f>
        <v>29934.149679999999</v>
      </c>
      <c r="BN7">
        <f ca="1">IF(AND(ISNUMBER($BN$79),$B$69=1),$BN$79,HLOOKUP(INDIRECT(ADDRESS(2,COLUMN())),OFFSET($CL$2,0,0,ROW()-1,84),ROW()-1,FALSE))</f>
        <v>30563.394960000001</v>
      </c>
      <c r="BO7">
        <f ca="1">IF(AND(ISNUMBER($BO$79),$B$69=1),$BO$79,HLOOKUP(INDIRECT(ADDRESS(2,COLUMN())),OFFSET($CL$2,0,0,ROW()-1,84),ROW()-1,FALSE))</f>
        <v>29678.752349999999</v>
      </c>
      <c r="BP7">
        <f ca="1">IF(AND(ISNUMBER($BP$79),$B$69=1),$BP$79,HLOOKUP(INDIRECT(ADDRESS(2,COLUMN())),OFFSET($CL$2,0,0,ROW()-1,84),ROW()-1,FALSE))</f>
        <v>31528.40941</v>
      </c>
      <c r="BQ7">
        <f ca="1">IF(AND(ISNUMBER($BQ$79),$B$69=1),$BQ$79,HLOOKUP(INDIRECT(ADDRESS(2,COLUMN())),OFFSET($CL$2,0,0,ROW()-1,84),ROW()-1,FALSE))</f>
        <v>31526.155009999999</v>
      </c>
      <c r="BR7">
        <f ca="1">IF(AND(ISNUMBER($BR$79),$B$69=1),$BR$79,HLOOKUP(INDIRECT(ADDRESS(2,COLUMN())),OFFSET($CL$2,0,0,ROW()-1,84),ROW()-1,FALSE))</f>
        <v>30841.840680000001</v>
      </c>
      <c r="BS7">
        <f ca="1">IF(AND(ISNUMBER($BS$79),$B$69=1),$BS$79,HLOOKUP(INDIRECT(ADDRESS(2,COLUMN())),OFFSET($CL$2,0,0,ROW()-1,84),ROW()-1,FALSE))</f>
        <v>32383.46859</v>
      </c>
      <c r="BT7">
        <f ca="1">IF(AND(ISNUMBER($BT$79),$B$69=1),$BT$79,HLOOKUP(INDIRECT(ADDRESS(2,COLUMN())),OFFSET($CL$2,0,0,ROW()-1,84),ROW()-1,FALSE))</f>
        <v>29994.294699999999</v>
      </c>
      <c r="BU7">
        <f ca="1">IF(AND(ISNUMBER($BU$79),$B$69=1),$BU$79,HLOOKUP(INDIRECT(ADDRESS(2,COLUMN())),OFFSET($CL$2,0,0,ROW()-1,84),ROW()-1,FALSE))</f>
        <v>31635.401040000001</v>
      </c>
      <c r="BV7">
        <f ca="1">IF(AND(ISNUMBER($BV$79),$B$69=1),$BV$79,HLOOKUP(INDIRECT(ADDRESS(2,COLUMN())),OFFSET($CL$2,0,0,ROW()-1,84),ROW()-1,FALSE))</f>
        <v>27967.37441</v>
      </c>
      <c r="BW7">
        <f ca="1">IF(AND(ISNUMBER($BW$79),$B$69=1),$BW$79,HLOOKUP(INDIRECT(ADDRESS(2,COLUMN())),OFFSET($CL$2,0,0,ROW()-1,84),ROW()-1,FALSE))</f>
        <v>30207.81612</v>
      </c>
      <c r="BX7">
        <f ca="1">IF(AND(ISNUMBER($BX$79),$B$69=1),$BX$79,HLOOKUP(INDIRECT(ADDRESS(2,COLUMN())),OFFSET($CL$2,0,0,ROW()-1,84),ROW()-1,FALSE))</f>
        <v>30366.542829999999</v>
      </c>
      <c r="BY7">
        <f ca="1">IF(AND(ISNUMBER($BY$79),$B$69=1),$BY$79,HLOOKUP(INDIRECT(ADDRESS(2,COLUMN())),OFFSET($CL$2,0,0,ROW()-1,84),ROW()-1,FALSE))</f>
        <v>29941.736099999998</v>
      </c>
      <c r="BZ7">
        <f ca="1">IF(AND(ISNUMBER($BZ$79),$B$69=1),$BZ$79,HLOOKUP(INDIRECT(ADDRESS(2,COLUMN())),OFFSET($CL$2,0,0,ROW()-1,84),ROW()-1,FALSE))</f>
        <v>29161.781019999999</v>
      </c>
      <c r="CA7">
        <f ca="1">IF(AND(ISNUMBER($CA$79),$B$69=1),$CA$79,HLOOKUP(INDIRECT(ADDRESS(2,COLUMN())),OFFSET($CL$2,0,0,ROW()-1,84),ROW()-1,FALSE))</f>
        <v>28774.62559</v>
      </c>
      <c r="CB7">
        <f ca="1">IF(AND(ISNUMBER($CB$79),$B$69=1),$CB$79,HLOOKUP(INDIRECT(ADDRESS(2,COLUMN())),OFFSET($CL$2,0,0,ROW()-1,84),ROW()-1,FALSE))</f>
        <v>29834.349139999998</v>
      </c>
      <c r="CC7">
        <f ca="1">IF(AND(ISNUMBER($CC$79),$B$69=1),$CC$79,HLOOKUP(INDIRECT(ADDRESS(2,COLUMN())),OFFSET($CL$2,0,0,ROW()-1,84),ROW()-1,FALSE))</f>
        <v>29786.442800000001</v>
      </c>
      <c r="CD7">
        <f ca="1">IF(AND(ISNUMBER($CD$79),$B$69=1),$CD$79,HLOOKUP(INDIRECT(ADDRESS(2,COLUMN())),OFFSET($CL$2,0,0,ROW()-1,84),ROW()-1,FALSE))</f>
        <v>29587.218140000001</v>
      </c>
      <c r="CE7">
        <f ca="1">IF(AND(ISNUMBER($CE$79),$B$69=1),$CE$79,HLOOKUP(INDIRECT(ADDRESS(2,COLUMN())),OFFSET($CL$2,0,0,ROW()-1,84),ROW()-1,FALSE))</f>
        <v>31401.76944</v>
      </c>
      <c r="CF7">
        <f ca="1">IF(AND(ISNUMBER($CF$79),$B$69=1),$CF$79,HLOOKUP(INDIRECT(ADDRESS(2,COLUMN())),OFFSET($CL$2,0,0,ROW()-1,84),ROW()-1,FALSE))</f>
        <v>28739.62515</v>
      </c>
      <c r="CG7">
        <f ca="1">IF(AND(ISNUMBER($CG$79),$B$69=1),$CG$79,HLOOKUP(INDIRECT(ADDRESS(2,COLUMN())),OFFSET($CL$2,0,0,ROW()-1,84),ROW()-1,FALSE))</f>
        <v>29294.03688</v>
      </c>
      <c r="CH7">
        <f ca="1">IF(AND(ISNUMBER($CH$79),$B$69=1),$CH$79,HLOOKUP(INDIRECT(ADDRESS(2,COLUMN())),OFFSET($CL$2,0,0,ROW()-1,84),ROW()-1,FALSE))</f>
        <v>25109.7</v>
      </c>
      <c r="CI7">
        <f ca="1">IF(AND(ISNUMBER($CI$79),$B$69=1),$CI$79,HLOOKUP(INDIRECT(ADDRESS(2,COLUMN())),OFFSET($CL$2,0,0,ROW()-1,84),ROW()-1,FALSE))</f>
        <v>27103.57444</v>
      </c>
      <c r="CJ7">
        <f ca="1">IF(AND(ISNUMBER($CJ$79),$B$69=1),$CJ$79,HLOOKUP(INDIRECT(ADDRESS(2,COLUMN())),OFFSET($CL$2,0,0,ROW()-1,84),ROW()-1,FALSE))</f>
        <v>28750.53701</v>
      </c>
      <c r="CK7">
        <f ca="1">IF(AND(ISNUMBER($CK$79),$B$69=1),$CK$79,HLOOKUP(INDIRECT(ADDRESS(2,COLUMN())),OFFSET($CL$2,0,0,ROW()-1,84),ROW()-1,FALSE))</f>
        <v>27050.817620000002</v>
      </c>
      <c r="CL7" t="str">
        <f>""</f>
        <v/>
      </c>
      <c r="CM7">
        <f>29188.5</f>
        <v>29188.5</v>
      </c>
      <c r="CN7">
        <f>29935.34</f>
        <v>29935.34</v>
      </c>
      <c r="CO7">
        <f>30836.68</f>
        <v>30836.68</v>
      </c>
      <c r="CP7">
        <f>29050.06</f>
        <v>29050.06</v>
      </c>
      <c r="CQ7">
        <f>29928.63012</f>
        <v>29928.630120000002</v>
      </c>
      <c r="CR7">
        <f>29702.25774</f>
        <v>29702.257740000001</v>
      </c>
      <c r="CS7">
        <f>30723.03</f>
        <v>30723.03</v>
      </c>
      <c r="CT7">
        <f>25153.12</f>
        <v>25153.119999999999</v>
      </c>
      <c r="CU7">
        <f>26912.6</f>
        <v>26912.6</v>
      </c>
      <c r="CV7">
        <f>28051.0407</f>
        <v>28051.040700000001</v>
      </c>
      <c r="CW7">
        <f>26980.18183</f>
        <v>26980.181830000001</v>
      </c>
      <c r="CX7">
        <f>26924.19133</f>
        <v>26924.191330000001</v>
      </c>
      <c r="CY7">
        <f>26667.1488</f>
        <v>26667.148799999999</v>
      </c>
      <c r="CZ7">
        <f>28890.83064</f>
        <v>28890.83064</v>
      </c>
      <c r="DA7">
        <f>30225.8469</f>
        <v>30225.8469</v>
      </c>
      <c r="DB7">
        <f>28967.27021</f>
        <v>28967.270209999999</v>
      </c>
      <c r="DC7">
        <f>28702.40065</f>
        <v>28702.40065</v>
      </c>
      <c r="DD7">
        <f>28852.8277</f>
        <v>28852.827700000002</v>
      </c>
      <c r="DE7">
        <f>29776.51748</f>
        <v>29776.517479999999</v>
      </c>
      <c r="DF7">
        <f>27540.13</f>
        <v>27540.13</v>
      </c>
      <c r="DG7">
        <f>30480.08</f>
        <v>30480.080000000002</v>
      </c>
      <c r="DH7">
        <f>31475.81736</f>
        <v>31475.817360000001</v>
      </c>
      <c r="DI7">
        <f>30571.81905</f>
        <v>30571.819049999998</v>
      </c>
      <c r="DJ7">
        <f>29357.44216</f>
        <v>29357.442159999999</v>
      </c>
      <c r="DK7">
        <f>29367.17016</f>
        <v>29367.170160000001</v>
      </c>
      <c r="DL7">
        <f>30394.51154</f>
        <v>30394.51154</v>
      </c>
      <c r="DM7">
        <f>30469.62359</f>
        <v>30469.623589999999</v>
      </c>
      <c r="DN7">
        <f>30081.2086899999</f>
        <v>30081.208689999999</v>
      </c>
      <c r="DO7">
        <f>31291.90037</f>
        <v>31291.900369999999</v>
      </c>
      <c r="DP7">
        <f>29780.71721</f>
        <v>29780.717209999999</v>
      </c>
      <c r="DQ7">
        <f>31877.25153</f>
        <v>31877.251530000001</v>
      </c>
      <c r="DR7">
        <f>28390.06352</f>
        <v>28390.06352</v>
      </c>
      <c r="DS7">
        <f>30694.22705</f>
        <v>30694.227050000001</v>
      </c>
      <c r="DT7">
        <f>31537.66585</f>
        <v>31537.665850000001</v>
      </c>
      <c r="DU7">
        <f>30811.8011</f>
        <v>30811.801100000001</v>
      </c>
      <c r="DV7">
        <f>31231.84026</f>
        <v>31231.840260000001</v>
      </c>
      <c r="DW7">
        <f>30539.46104</f>
        <v>30539.461039999998</v>
      </c>
      <c r="DX7">
        <f>30798.68606</f>
        <v>30798.68606</v>
      </c>
      <c r="DY7">
        <f>29065.25302</f>
        <v>29065.25302</v>
      </c>
      <c r="DZ7">
        <f>28064.75198</f>
        <v>28064.751980000001</v>
      </c>
      <c r="EA7">
        <f>26698.6913</f>
        <v>26698.691299999999</v>
      </c>
      <c r="EB7">
        <f>28695.09369</f>
        <v>28695.093690000002</v>
      </c>
      <c r="EC7">
        <f>32539.88224</f>
        <v>32539.882239999999</v>
      </c>
      <c r="ED7">
        <f>27859.03448</f>
        <v>27859.034479999998</v>
      </c>
      <c r="EE7">
        <f>30136.59734</f>
        <v>30136.59734</v>
      </c>
      <c r="EF7">
        <f>31493.00608</f>
        <v>31493.006079999999</v>
      </c>
      <c r="EG7">
        <f>31769.83964</f>
        <v>31769.839639999998</v>
      </c>
      <c r="EH7">
        <f>30886.49307</f>
        <v>30886.49307</v>
      </c>
      <c r="EI7">
        <f>29759.55348</f>
        <v>29759.553479999999</v>
      </c>
      <c r="EJ7">
        <f>30887.05329</f>
        <v>30887.05329</v>
      </c>
      <c r="EK7">
        <f>31765.52374</f>
        <v>31765.523740000001</v>
      </c>
      <c r="EL7">
        <f>29452.00461</f>
        <v>29452.00461</v>
      </c>
      <c r="EM7">
        <f>30960.57737</f>
        <v>30960.577369999999</v>
      </c>
      <c r="EN7">
        <f>30346.43562</f>
        <v>30346.43562</v>
      </c>
      <c r="EO7">
        <f>32068.57011</f>
        <v>32068.570110000001</v>
      </c>
      <c r="EP7">
        <f>26627.71173</f>
        <v>26627.711729999999</v>
      </c>
      <c r="EQ7">
        <f>29217.36049</f>
        <v>29217.360489999999</v>
      </c>
      <c r="ER7">
        <f>31160.834</f>
        <v>31160.833999999999</v>
      </c>
      <c r="ES7">
        <f>29934.14968</f>
        <v>29934.149679999999</v>
      </c>
      <c r="ET7">
        <f>30563.39496</f>
        <v>30563.394960000001</v>
      </c>
      <c r="EU7">
        <f>29678.75235</f>
        <v>29678.752349999999</v>
      </c>
      <c r="EV7">
        <f>31528.40941</f>
        <v>31528.40941</v>
      </c>
      <c r="EW7">
        <f>31526.15501</f>
        <v>31526.155009999999</v>
      </c>
      <c r="EX7">
        <f>30841.84068</f>
        <v>30841.840680000001</v>
      </c>
      <c r="EY7">
        <f>32383.46859</f>
        <v>32383.46859</v>
      </c>
      <c r="EZ7">
        <f>29994.2947</f>
        <v>29994.294699999999</v>
      </c>
      <c r="FA7">
        <f>31635.40104</f>
        <v>31635.401040000001</v>
      </c>
      <c r="FB7">
        <f>27967.37441</f>
        <v>27967.37441</v>
      </c>
      <c r="FC7">
        <f>30207.81612</f>
        <v>30207.81612</v>
      </c>
      <c r="FD7">
        <f>30366.54283</f>
        <v>30366.542829999999</v>
      </c>
      <c r="FE7">
        <f>29941.7361</f>
        <v>29941.736099999998</v>
      </c>
      <c r="FF7">
        <f>29161.78102</f>
        <v>29161.781019999999</v>
      </c>
      <c r="FG7">
        <f>28774.62559</f>
        <v>28774.62559</v>
      </c>
      <c r="FH7">
        <f>29834.34914</f>
        <v>29834.349139999998</v>
      </c>
      <c r="FI7">
        <f>29786.4428</f>
        <v>29786.442800000001</v>
      </c>
      <c r="FJ7">
        <f>29587.21814</f>
        <v>29587.218140000001</v>
      </c>
      <c r="FK7">
        <f>31401.76944</f>
        <v>31401.76944</v>
      </c>
      <c r="FL7">
        <f>28739.62515</f>
        <v>28739.62515</v>
      </c>
      <c r="FM7">
        <f>29294.03688</f>
        <v>29294.03688</v>
      </c>
      <c r="FN7">
        <f>25109.7</f>
        <v>25109.7</v>
      </c>
      <c r="FO7">
        <f>27103.57444</f>
        <v>27103.57444</v>
      </c>
      <c r="FP7">
        <f>28750.53701</f>
        <v>28750.53701</v>
      </c>
      <c r="FQ7">
        <f>27050.81762</f>
        <v>27050.817620000002</v>
      </c>
    </row>
    <row r="8" spans="1:173" x14ac:dyDescent="0.25">
      <c r="A8" t="str">
        <f>"            Conventional Cargo (000 tonnes)"</f>
        <v xml:space="preserve">            Conventional Cargo (000 tonnes)</v>
      </c>
      <c r="B8" t="str">
        <f>"SIVSCONV Index"</f>
        <v>SIVSCONV Index</v>
      </c>
      <c r="C8" t="str">
        <f>"PR005"</f>
        <v>PR005</v>
      </c>
      <c r="D8" t="str">
        <f>"PX_LAST"</f>
        <v>PX_LAST</v>
      </c>
      <c r="E8" t="str">
        <f>"Dynamic"</f>
        <v>Dynamic</v>
      </c>
      <c r="F8" t="str">
        <f ca="1">IF(AND(ISNUMBER($F$80),$B$69=1),$F$80,HLOOKUP(INDIRECT(ADDRESS(2,COLUMN())),OFFSET($CL$2,0,0,ROW()-1,84),ROW()-1,FALSE))</f>
        <v/>
      </c>
      <c r="G8">
        <f ca="1">IF(AND(ISNUMBER($G$80),$B$69=1),$G$80,HLOOKUP(INDIRECT(ADDRESS(2,COLUMN())),OFFSET($CL$2,0,0,ROW()-1,84),ROW()-1,FALSE))</f>
        <v>2001.74</v>
      </c>
      <c r="H8">
        <f ca="1">IF(AND(ISNUMBER($H$80),$B$69=1),$H$80,HLOOKUP(INDIRECT(ADDRESS(2,COLUMN())),OFFSET($CL$2,0,0,ROW()-1,84),ROW()-1,FALSE))</f>
        <v>2223.4</v>
      </c>
      <c r="I8">
        <f ca="1">IF(AND(ISNUMBER($I$80),$B$69=1),$I$80,HLOOKUP(INDIRECT(ADDRESS(2,COLUMN())),OFFSET($CL$2,0,0,ROW()-1,84),ROW()-1,FALSE))</f>
        <v>2154.9499999999998</v>
      </c>
      <c r="J8">
        <f ca="1">IF(AND(ISNUMBER($J$80),$B$69=1),$J$80,HLOOKUP(INDIRECT(ADDRESS(2,COLUMN())),OFFSET($CL$2,0,0,ROW()-1,84),ROW()-1,FALSE))</f>
        <v>2064.65</v>
      </c>
      <c r="K8">
        <f ca="1">IF(AND(ISNUMBER($K$80),$B$69=1),$K$80,HLOOKUP(INDIRECT(ADDRESS(2,COLUMN())),OFFSET($CL$2,0,0,ROW()-1,84),ROW()-1,FALSE))</f>
        <v>2119.65</v>
      </c>
      <c r="L8">
        <f ca="1">IF(AND(ISNUMBER($L$80),$B$69=1),$L$80,HLOOKUP(INDIRECT(ADDRESS(2,COLUMN())),OFFSET($CL$2,0,0,ROW()-1,84),ROW()-1,FALSE))</f>
        <v>2416.8200000000002</v>
      </c>
      <c r="M8">
        <f ca="1">IF(AND(ISNUMBER($M$80),$B$69=1),$M$80,HLOOKUP(INDIRECT(ADDRESS(2,COLUMN())),OFFSET($CL$2,0,0,ROW()-1,84),ROW()-1,FALSE))</f>
        <v>2409.2600000000002</v>
      </c>
      <c r="N8">
        <f ca="1">IF(AND(ISNUMBER($N$80),$B$69=1),$N$80,HLOOKUP(INDIRECT(ADDRESS(2,COLUMN())),OFFSET($CL$2,0,0,ROW()-1,84),ROW()-1,FALSE))</f>
        <v>1966.01</v>
      </c>
      <c r="O8">
        <f ca="1">IF(AND(ISNUMBER($O$80),$B$69=1),$O$80,HLOOKUP(INDIRECT(ADDRESS(2,COLUMN())),OFFSET($CL$2,0,0,ROW()-1,84),ROW()-1,FALSE))</f>
        <v>2279.7600000000002</v>
      </c>
      <c r="P8">
        <f ca="1">IF(AND(ISNUMBER($P$80),$B$69=1),$P$80,HLOOKUP(INDIRECT(ADDRESS(2,COLUMN())),OFFSET($CL$2,0,0,ROW()-1,84),ROW()-1,FALSE))</f>
        <v>2164.1</v>
      </c>
      <c r="Q8">
        <f ca="1">IF(AND(ISNUMBER($Q$80),$B$69=1),$Q$80,HLOOKUP(INDIRECT(ADDRESS(2,COLUMN())),OFFSET($CL$2,0,0,ROW()-1,84),ROW()-1,FALSE))</f>
        <v>2091.6799999999998</v>
      </c>
      <c r="R8">
        <f ca="1">IF(AND(ISNUMBER($R$80),$B$69=1),$R$80,HLOOKUP(INDIRECT(ADDRESS(2,COLUMN())),OFFSET($CL$2,0,0,ROW()-1,84),ROW()-1,FALSE))</f>
        <v>2413.9902280000001</v>
      </c>
      <c r="S8">
        <f ca="1">IF(AND(ISNUMBER($S$80),$B$69=1),$S$80,HLOOKUP(INDIRECT(ADDRESS(2,COLUMN())),OFFSET($CL$2,0,0,ROW()-1,84),ROW()-1,FALSE))</f>
        <v>2208.7199999999998</v>
      </c>
      <c r="T8">
        <f ca="1">IF(AND(ISNUMBER($T$80),$B$69=1),$T$80,HLOOKUP(INDIRECT(ADDRESS(2,COLUMN())),OFFSET($CL$2,0,0,ROW()-1,84),ROW()-1,FALSE))</f>
        <v>2234.7600000000002</v>
      </c>
      <c r="U8">
        <f ca="1">IF(AND(ISNUMBER($U$80),$B$69=1),$U$80,HLOOKUP(INDIRECT(ADDRESS(2,COLUMN())),OFFSET($CL$2,0,0,ROW()-1,84),ROW()-1,FALSE))</f>
        <v>2279</v>
      </c>
      <c r="V8">
        <f ca="1">IF(AND(ISNUMBER($V$80),$B$69=1),$V$80,HLOOKUP(INDIRECT(ADDRESS(2,COLUMN())),OFFSET($CL$2,0,0,ROW()-1,84),ROW()-1,FALSE))</f>
        <v>1952.13</v>
      </c>
      <c r="W8">
        <f ca="1">IF(AND(ISNUMBER($W$80),$B$69=1),$W$80,HLOOKUP(INDIRECT(ADDRESS(2,COLUMN())),OFFSET($CL$2,0,0,ROW()-1,84),ROW()-1,FALSE))</f>
        <v>2079.36</v>
      </c>
      <c r="X8">
        <f ca="1">IF(AND(ISNUMBER($X$80),$B$69=1),$X$80,HLOOKUP(INDIRECT(ADDRESS(2,COLUMN())),OFFSET($CL$2,0,0,ROW()-1,84),ROW()-1,FALSE))</f>
        <v>1867.37</v>
      </c>
      <c r="Y8">
        <f ca="1">IF(AND(ISNUMBER($Y$80),$B$69=1),$Y$80,HLOOKUP(INDIRECT(ADDRESS(2,COLUMN())),OFFSET($CL$2,0,0,ROW()-1,84),ROW()-1,FALSE))</f>
        <v>1961.88</v>
      </c>
      <c r="Z8">
        <f ca="1">IF(AND(ISNUMBER($Z$80),$B$69=1),$Z$80,HLOOKUP(INDIRECT(ADDRESS(2,COLUMN())),OFFSET($CL$2,0,0,ROW()-1,84),ROW()-1,FALSE))</f>
        <v>1971.47</v>
      </c>
      <c r="AA8">
        <f ca="1">IF(AND(ISNUMBER($AA$80),$B$69=1),$AA$80,HLOOKUP(INDIRECT(ADDRESS(2,COLUMN())),OFFSET($CL$2,0,0,ROW()-1,84),ROW()-1,FALSE))</f>
        <v>1821.9</v>
      </c>
      <c r="AB8">
        <f ca="1">IF(AND(ISNUMBER($AB$80),$B$69=1),$AB$80,HLOOKUP(INDIRECT(ADDRESS(2,COLUMN())),OFFSET($CL$2,0,0,ROW()-1,84),ROW()-1,FALSE))</f>
        <v>1844.8286439999999</v>
      </c>
      <c r="AC8">
        <f ca="1">IF(AND(ISNUMBER($AC$80),$B$69=1),$AC$80,HLOOKUP(INDIRECT(ADDRESS(2,COLUMN())),OFFSET($CL$2,0,0,ROW()-1,84),ROW()-1,FALSE))</f>
        <v>1764.3909470000001</v>
      </c>
      <c r="AD8">
        <f ca="1">IF(AND(ISNUMBER($AD$80),$B$69=1),$AD$80,HLOOKUP(INDIRECT(ADDRESS(2,COLUMN())),OFFSET($CL$2,0,0,ROW()-1,84),ROW()-1,FALSE))</f>
        <v>1614.357252</v>
      </c>
      <c r="AE8">
        <f ca="1">IF(AND(ISNUMBER($AE$80),$B$69=1),$AE$80,HLOOKUP(INDIRECT(ADDRESS(2,COLUMN())),OFFSET($CL$2,0,0,ROW()-1,84),ROW()-1,FALSE))</f>
        <v>1529.1385540000001</v>
      </c>
      <c r="AF8">
        <f ca="1">IF(AND(ISNUMBER($AF$80),$B$69=1),$AF$80,HLOOKUP(INDIRECT(ADDRESS(2,COLUMN())),OFFSET($CL$2,0,0,ROW()-1,84),ROW()-1,FALSE))</f>
        <v>1674.8024539999999</v>
      </c>
      <c r="AG8">
        <f ca="1">IF(AND(ISNUMBER($AG$80),$B$69=1),$AG$80,HLOOKUP(INDIRECT(ADDRESS(2,COLUMN())),OFFSET($CL$2,0,0,ROW()-1,84),ROW()-1,FALSE))</f>
        <v>1887.480186</v>
      </c>
      <c r="AH8">
        <f ca="1">IF(AND(ISNUMBER($AH$80),$B$69=1),$AH$80,HLOOKUP(INDIRECT(ADDRESS(2,COLUMN())),OFFSET($CL$2,0,0,ROW()-1,84),ROW()-1,FALSE))</f>
        <v>1717.255576</v>
      </c>
      <c r="AI8">
        <f ca="1">IF(AND(ISNUMBER($AI$80),$B$69=1),$AI$80,HLOOKUP(INDIRECT(ADDRESS(2,COLUMN())),OFFSET($CL$2,0,0,ROW()-1,84),ROW()-1,FALSE))</f>
        <v>1983.0607299999999</v>
      </c>
      <c r="AJ8">
        <f ca="1">IF(AND(ISNUMBER($AJ$80),$B$69=1),$AJ$80,HLOOKUP(INDIRECT(ADDRESS(2,COLUMN())),OFFSET($CL$2,0,0,ROW()-1,84),ROW()-1,FALSE))</f>
        <v>2155.7234060000001</v>
      </c>
      <c r="AK8">
        <f ca="1">IF(AND(ISNUMBER($AK$80),$B$69=1),$AK$80,HLOOKUP(INDIRECT(ADDRESS(2,COLUMN())),OFFSET($CL$2,0,0,ROW()-1,84),ROW()-1,FALSE))</f>
        <v>1848.069285</v>
      </c>
      <c r="AL8">
        <f ca="1">IF(AND(ISNUMBER($AL$80),$B$69=1),$AL$80,HLOOKUP(INDIRECT(ADDRESS(2,COLUMN())),OFFSET($CL$2,0,0,ROW()-1,84),ROW()-1,FALSE))</f>
        <v>1827.226682</v>
      </c>
      <c r="AM8">
        <f ca="1">IF(AND(ISNUMBER($AM$80),$B$69=1),$AM$80,HLOOKUP(INDIRECT(ADDRESS(2,COLUMN())),OFFSET($CL$2,0,0,ROW()-1,84),ROW()-1,FALSE))</f>
        <v>1719.059497</v>
      </c>
      <c r="AN8">
        <f ca="1">IF(AND(ISNUMBER($AN$80),$B$69=1),$AN$80,HLOOKUP(INDIRECT(ADDRESS(2,COLUMN())),OFFSET($CL$2,0,0,ROW()-1,84),ROW()-1,FALSE))</f>
        <v>1758.6307099999999</v>
      </c>
      <c r="AO8">
        <f ca="1">IF(AND(ISNUMBER($AO$80),$B$69=1),$AO$80,HLOOKUP(INDIRECT(ADDRESS(2,COLUMN())),OFFSET($CL$2,0,0,ROW()-1,84),ROW()-1,FALSE))</f>
        <v>1384.0083999999999</v>
      </c>
      <c r="AP8">
        <f ca="1">IF(AND(ISNUMBER($AP$80),$B$69=1),$AP$80,HLOOKUP(INDIRECT(ADDRESS(2,COLUMN())),OFFSET($CL$2,0,0,ROW()-1,84),ROW()-1,FALSE))</f>
        <v>1438.9309599999999</v>
      </c>
      <c r="AQ8">
        <f ca="1">IF(AND(ISNUMBER($AQ$80),$B$69=1),$AQ$80,HLOOKUP(INDIRECT(ADDRESS(2,COLUMN())),OFFSET($CL$2,0,0,ROW()-1,84),ROW()-1,FALSE))</f>
        <v>1191.8690200000001</v>
      </c>
      <c r="AR8">
        <f ca="1">IF(AND(ISNUMBER($AR$80),$B$69=1),$AR$80,HLOOKUP(INDIRECT(ADDRESS(2,COLUMN())),OFFSET($CL$2,0,0,ROW()-1,84),ROW()-1,FALSE))</f>
        <v>1366.8398400000001</v>
      </c>
      <c r="AS8">
        <f ca="1">IF(AND(ISNUMBER($AS$80),$B$69=1),$AS$80,HLOOKUP(INDIRECT(ADDRESS(2,COLUMN())),OFFSET($CL$2,0,0,ROW()-1,84),ROW()-1,FALSE))</f>
        <v>1327.9889800000001</v>
      </c>
      <c r="AT8">
        <f ca="1">IF(AND(ISNUMBER($AT$80),$B$69=1),$AT$80,HLOOKUP(INDIRECT(ADDRESS(2,COLUMN())),OFFSET($CL$2,0,0,ROW()-1,84),ROW()-1,FALSE))</f>
        <v>1196.51109</v>
      </c>
      <c r="AU8">
        <f ca="1">IF(AND(ISNUMBER($AU$80),$B$69=1),$AU$80,HLOOKUP(INDIRECT(ADDRESS(2,COLUMN())),OFFSET($CL$2,0,0,ROW()-1,84),ROW()-1,FALSE))</f>
        <v>1039.2254499999999</v>
      </c>
      <c r="AV8">
        <f ca="1">IF(AND(ISNUMBER($AV$80),$B$69=1),$AV$80,HLOOKUP(INDIRECT(ADDRESS(2,COLUMN())),OFFSET($CL$2,0,0,ROW()-1,84),ROW()-1,FALSE))</f>
        <v>1645.2135000000001</v>
      </c>
      <c r="AW8">
        <f ca="1">IF(AND(ISNUMBER($AW$80),$B$69=1),$AW$80,HLOOKUP(INDIRECT(ADDRESS(2,COLUMN())),OFFSET($CL$2,0,0,ROW()-1,84),ROW()-1,FALSE))</f>
        <v>2036.8447699999999</v>
      </c>
      <c r="AX8">
        <f ca="1">IF(AND(ISNUMBER($AX$80),$B$69=1),$AX$80,HLOOKUP(INDIRECT(ADDRESS(2,COLUMN())),OFFSET($CL$2,0,0,ROW()-1,84),ROW()-1,FALSE))</f>
        <v>1989.1601800000001</v>
      </c>
      <c r="AY8">
        <f ca="1">IF(AND(ISNUMBER($AY$80),$B$69=1),$AY$80,HLOOKUP(INDIRECT(ADDRESS(2,COLUMN())),OFFSET($CL$2,0,0,ROW()-1,84),ROW()-1,FALSE))</f>
        <v>2016.3222800000001</v>
      </c>
      <c r="AZ8">
        <f ca="1">IF(AND(ISNUMBER($AZ$80),$B$69=1),$AZ$80,HLOOKUP(INDIRECT(ADDRESS(2,COLUMN())),OFFSET($CL$2,0,0,ROW()-1,84),ROW()-1,FALSE))</f>
        <v>2033.2465299999999</v>
      </c>
      <c r="BA8">
        <f ca="1">IF(AND(ISNUMBER($BA$80),$B$69=1),$BA$80,HLOOKUP(INDIRECT(ADDRESS(2,COLUMN())),OFFSET($CL$2,0,0,ROW()-1,84),ROW()-1,FALSE))</f>
        <v>2058.3624599999998</v>
      </c>
      <c r="BB8">
        <f ca="1">IF(AND(ISNUMBER($BB$80),$B$69=1),$BB$80,HLOOKUP(INDIRECT(ADDRESS(2,COLUMN())),OFFSET($CL$2,0,0,ROW()-1,84),ROW()-1,FALSE))</f>
        <v>2085.8340199999998</v>
      </c>
      <c r="BC8">
        <f ca="1">IF(AND(ISNUMBER($BC$80),$B$69=1),$BC$80,HLOOKUP(INDIRECT(ADDRESS(2,COLUMN())),OFFSET($CL$2,0,0,ROW()-1,84),ROW()-1,FALSE))</f>
        <v>1988.7229199999999</v>
      </c>
      <c r="BD8">
        <f ca="1">IF(AND(ISNUMBER($BD$80),$B$69=1),$BD$80,HLOOKUP(INDIRECT(ADDRESS(2,COLUMN())),OFFSET($CL$2,0,0,ROW()-1,84),ROW()-1,FALSE))</f>
        <v>2057.4578000000001</v>
      </c>
      <c r="BE8">
        <f ca="1">IF(AND(ISNUMBER($BE$80),$B$69=1),$BE$80,HLOOKUP(INDIRECT(ADDRESS(2,COLUMN())),OFFSET($CL$2,0,0,ROW()-1,84),ROW()-1,FALSE))</f>
        <v>2123.9017600000002</v>
      </c>
      <c r="BF8">
        <f ca="1">IF(AND(ISNUMBER($BF$80),$B$69=1),$BF$80,HLOOKUP(INDIRECT(ADDRESS(2,COLUMN())),OFFSET($CL$2,0,0,ROW()-1,84),ROW()-1,FALSE))</f>
        <v>1826.45532</v>
      </c>
      <c r="BG8">
        <f ca="1">IF(AND(ISNUMBER($BG$80),$B$69=1),$BG$80,HLOOKUP(INDIRECT(ADDRESS(2,COLUMN())),OFFSET($CL$2,0,0,ROW()-1,84),ROW()-1,FALSE))</f>
        <v>1919.56864</v>
      </c>
      <c r="BH8">
        <f ca="1">IF(AND(ISNUMBER($BH$80),$B$69=1),$BH$80,HLOOKUP(INDIRECT(ADDRESS(2,COLUMN())),OFFSET($CL$2,0,0,ROW()-1,84),ROW()-1,FALSE))</f>
        <v>1883.2101</v>
      </c>
      <c r="BI8">
        <f ca="1">IF(AND(ISNUMBER($BI$80),$B$69=1),$BI$80,HLOOKUP(INDIRECT(ADDRESS(2,COLUMN())),OFFSET($CL$2,0,0,ROW()-1,84),ROW()-1,FALSE))</f>
        <v>2238.1785199999999</v>
      </c>
      <c r="BJ8">
        <f ca="1">IF(AND(ISNUMBER($BJ$80),$B$69=1),$BJ$80,HLOOKUP(INDIRECT(ADDRESS(2,COLUMN())),OFFSET($CL$2,0,0,ROW()-1,84),ROW()-1,FALSE))</f>
        <v>1872.52232</v>
      </c>
      <c r="BK8">
        <f ca="1">IF(AND(ISNUMBER($BK$80),$B$69=1),$BK$80,HLOOKUP(INDIRECT(ADDRESS(2,COLUMN())),OFFSET($CL$2,0,0,ROW()-1,84),ROW()-1,FALSE))</f>
        <v>2114.0452</v>
      </c>
      <c r="BL8">
        <f ca="1">IF(AND(ISNUMBER($BL$80),$B$69=1),$BL$80,HLOOKUP(INDIRECT(ADDRESS(2,COLUMN())),OFFSET($CL$2,0,0,ROW()-1,84),ROW()-1,FALSE))</f>
        <v>2143.2012100000002</v>
      </c>
      <c r="BM8">
        <f ca="1">IF(AND(ISNUMBER($BM$80),$B$69=1),$BM$80,HLOOKUP(INDIRECT(ADDRESS(2,COLUMN())),OFFSET($CL$2,0,0,ROW()-1,84),ROW()-1,FALSE))</f>
        <v>1950.49973</v>
      </c>
      <c r="BN8">
        <f ca="1">IF(AND(ISNUMBER($BN$80),$B$69=1),$BN$80,HLOOKUP(INDIRECT(ADDRESS(2,COLUMN())),OFFSET($CL$2,0,0,ROW()-1,84),ROW()-1,FALSE))</f>
        <v>1930.1438800000001</v>
      </c>
      <c r="BO8">
        <f ca="1">IF(AND(ISNUMBER($BO$80),$B$69=1),$BO$80,HLOOKUP(INDIRECT(ADDRESS(2,COLUMN())),OFFSET($CL$2,0,0,ROW()-1,84),ROW()-1,FALSE))</f>
        <v>2001.1186600000001</v>
      </c>
      <c r="BP8">
        <f ca="1">IF(AND(ISNUMBER($BP$80),$B$69=1),$BP$80,HLOOKUP(INDIRECT(ADDRESS(2,COLUMN())),OFFSET($CL$2,0,0,ROW()-1,84),ROW()-1,FALSE))</f>
        <v>1745.04504</v>
      </c>
      <c r="BQ8">
        <f ca="1">IF(AND(ISNUMBER($BQ$80),$B$69=1),$BQ$80,HLOOKUP(INDIRECT(ADDRESS(2,COLUMN())),OFFSET($CL$2,0,0,ROW()-1,84),ROW()-1,FALSE))</f>
        <v>2319.8907899999999</v>
      </c>
      <c r="BR8">
        <f ca="1">IF(AND(ISNUMBER($BR$80),$B$69=1),$BR$80,HLOOKUP(INDIRECT(ADDRESS(2,COLUMN())),OFFSET($CL$2,0,0,ROW()-1,84),ROW()-1,FALSE))</f>
        <v>2049.9008699999999</v>
      </c>
      <c r="BS8">
        <f ca="1">IF(AND(ISNUMBER($BS$80),$B$69=1),$BS$80,HLOOKUP(INDIRECT(ADDRESS(2,COLUMN())),OFFSET($CL$2,0,0,ROW()-1,84),ROW()-1,FALSE))</f>
        <v>1961.8531599999999</v>
      </c>
      <c r="BT8">
        <f ca="1">IF(AND(ISNUMBER($BT$80),$B$69=1),$BT$80,HLOOKUP(INDIRECT(ADDRESS(2,COLUMN())),OFFSET($CL$2,0,0,ROW()-1,84),ROW()-1,FALSE))</f>
        <v>2140.1741900000002</v>
      </c>
      <c r="BU8">
        <f ca="1">IF(AND(ISNUMBER($BU$80),$B$69=1),$BU$80,HLOOKUP(INDIRECT(ADDRESS(2,COLUMN())),OFFSET($CL$2,0,0,ROW()-1,84),ROW()-1,FALSE))</f>
        <v>2536.9369999999999</v>
      </c>
      <c r="BV8">
        <f ca="1">IF(AND(ISNUMBER($BV$80),$B$69=1),$BV$80,HLOOKUP(INDIRECT(ADDRESS(2,COLUMN())),OFFSET($CL$2,0,0,ROW()-1,84),ROW()-1,FALSE))</f>
        <v>1667.9331099999999</v>
      </c>
      <c r="BW8">
        <f ca="1">IF(AND(ISNUMBER($BW$80),$B$69=1),$BW$80,HLOOKUP(INDIRECT(ADDRESS(2,COLUMN())),OFFSET($CL$2,0,0,ROW()-1,84),ROW()-1,FALSE))</f>
        <v>1876.63976</v>
      </c>
      <c r="BX8">
        <f ca="1">IF(AND(ISNUMBER($BX$80),$B$69=1),$BX$80,HLOOKUP(INDIRECT(ADDRESS(2,COLUMN())),OFFSET($CL$2,0,0,ROW()-1,84),ROW()-1,FALSE))</f>
        <v>1962.1460099999999</v>
      </c>
      <c r="BY8">
        <f ca="1">IF(AND(ISNUMBER($BY$80),$B$69=1),$BY$80,HLOOKUP(INDIRECT(ADDRESS(2,COLUMN())),OFFSET($CL$2,0,0,ROW()-1,84),ROW()-1,FALSE))</f>
        <v>1977.72327</v>
      </c>
      <c r="BZ8">
        <f ca="1">IF(AND(ISNUMBER($BZ$80),$B$69=1),$BZ$80,HLOOKUP(INDIRECT(ADDRESS(2,COLUMN())),OFFSET($CL$2,0,0,ROW()-1,84),ROW()-1,FALSE))</f>
        <v>2108.42731</v>
      </c>
      <c r="CA8">
        <f ca="1">IF(AND(ISNUMBER($CA$80),$B$69=1),$CA$80,HLOOKUP(INDIRECT(ADDRESS(2,COLUMN())),OFFSET($CL$2,0,0,ROW()-1,84),ROW()-1,FALSE))</f>
        <v>2228.33556</v>
      </c>
      <c r="CB8">
        <f ca="1">IF(AND(ISNUMBER($CB$80),$B$69=1),$CB$80,HLOOKUP(INDIRECT(ADDRESS(2,COLUMN())),OFFSET($CL$2,0,0,ROW()-1,84),ROW()-1,FALSE))</f>
        <v>2599.2217500000002</v>
      </c>
      <c r="CC8">
        <f ca="1">IF(AND(ISNUMBER($CC$80),$B$69=1),$CC$80,HLOOKUP(INDIRECT(ADDRESS(2,COLUMN())),OFFSET($CL$2,0,0,ROW()-1,84),ROW()-1,FALSE))</f>
        <v>1914.07169</v>
      </c>
      <c r="CD8">
        <f ca="1">IF(AND(ISNUMBER($CD$80),$B$69=1),$CD$80,HLOOKUP(INDIRECT(ADDRESS(2,COLUMN())),OFFSET($CL$2,0,0,ROW()-1,84),ROW()-1,FALSE))</f>
        <v>1838.6752799999999</v>
      </c>
      <c r="CE8">
        <f ca="1">IF(AND(ISNUMBER($CE$80),$B$69=1),$CE$80,HLOOKUP(INDIRECT(ADDRESS(2,COLUMN())),OFFSET($CL$2,0,0,ROW()-1,84),ROW()-1,FALSE))</f>
        <v>2053.17398</v>
      </c>
      <c r="CF8">
        <f ca="1">IF(AND(ISNUMBER($CF$80),$B$69=1),$CF$80,HLOOKUP(INDIRECT(ADDRESS(2,COLUMN())),OFFSET($CL$2,0,0,ROW()-1,84),ROW()-1,FALSE))</f>
        <v>3874.5571300000001</v>
      </c>
      <c r="CG8">
        <f ca="1">IF(AND(ISNUMBER($CG$80),$B$69=1),$CG$80,HLOOKUP(INDIRECT(ADDRESS(2,COLUMN())),OFFSET($CL$2,0,0,ROW()-1,84),ROW()-1,FALSE))</f>
        <v>2582.7511100000002</v>
      </c>
      <c r="CH8">
        <f ca="1">IF(AND(ISNUMBER($CH$80),$B$69=1),$CH$80,HLOOKUP(INDIRECT(ADDRESS(2,COLUMN())),OFFSET($CL$2,0,0,ROW()-1,84),ROW()-1,FALSE))</f>
        <v>2076.6203300000002</v>
      </c>
      <c r="CI8">
        <f ca="1">IF(AND(ISNUMBER($CI$80),$B$69=1),$CI$80,HLOOKUP(INDIRECT(ADDRESS(2,COLUMN())),OFFSET($CL$2,0,0,ROW()-1,84),ROW()-1,FALSE))</f>
        <v>1728.6111699999999</v>
      </c>
      <c r="CJ8">
        <f ca="1">IF(AND(ISNUMBER($CJ$80),$B$69=1),$CJ$80,HLOOKUP(INDIRECT(ADDRESS(2,COLUMN())),OFFSET($CL$2,0,0,ROW()-1,84),ROW()-1,FALSE))</f>
        <v>1746.7508600000001</v>
      </c>
      <c r="CK8">
        <f ca="1">IF(AND(ISNUMBER($CK$80),$B$69=1),$CK$80,HLOOKUP(INDIRECT(ADDRESS(2,COLUMN())),OFFSET($CL$2,0,0,ROW()-1,84),ROW()-1,FALSE))</f>
        <v>2153.67434</v>
      </c>
      <c r="CL8" t="str">
        <f>""</f>
        <v/>
      </c>
      <c r="CM8">
        <f>2001.74</f>
        <v>2001.74</v>
      </c>
      <c r="CN8">
        <f>2223.4</f>
        <v>2223.4</v>
      </c>
      <c r="CO8">
        <f>2154.95</f>
        <v>2154.9499999999998</v>
      </c>
      <c r="CP8">
        <f>2064.65</f>
        <v>2064.65</v>
      </c>
      <c r="CQ8">
        <f>2119.65</f>
        <v>2119.65</v>
      </c>
      <c r="CR8">
        <f>2416.82</f>
        <v>2416.8200000000002</v>
      </c>
      <c r="CS8">
        <f>2409.26</f>
        <v>2409.2600000000002</v>
      </c>
      <c r="CT8">
        <f>1966.01</f>
        <v>1966.01</v>
      </c>
      <c r="CU8">
        <f>2279.76</f>
        <v>2279.7600000000002</v>
      </c>
      <c r="CV8">
        <f>2164.1</f>
        <v>2164.1</v>
      </c>
      <c r="CW8">
        <f>2091.68</f>
        <v>2091.6799999999998</v>
      </c>
      <c r="CX8">
        <f>2413.990228</f>
        <v>2413.9902280000001</v>
      </c>
      <c r="CY8">
        <f>2208.72</f>
        <v>2208.7199999999998</v>
      </c>
      <c r="CZ8">
        <f>2234.76</f>
        <v>2234.7600000000002</v>
      </c>
      <c r="DA8">
        <f>2279</f>
        <v>2279</v>
      </c>
      <c r="DB8">
        <f>1952.13</f>
        <v>1952.13</v>
      </c>
      <c r="DC8">
        <f>2079.36</f>
        <v>2079.36</v>
      </c>
      <c r="DD8">
        <f>1867.37</f>
        <v>1867.37</v>
      </c>
      <c r="DE8">
        <f>1961.88</f>
        <v>1961.88</v>
      </c>
      <c r="DF8">
        <f>1971.47</f>
        <v>1971.47</v>
      </c>
      <c r="DG8">
        <f>1821.9</f>
        <v>1821.9</v>
      </c>
      <c r="DH8">
        <f>1844.828644</f>
        <v>1844.8286439999999</v>
      </c>
      <c r="DI8">
        <f>1764.390947</f>
        <v>1764.3909470000001</v>
      </c>
      <c r="DJ8">
        <f>1614.357252</f>
        <v>1614.357252</v>
      </c>
      <c r="DK8">
        <f>1529.138554</f>
        <v>1529.1385540000001</v>
      </c>
      <c r="DL8">
        <f>1674.802454</f>
        <v>1674.8024539999999</v>
      </c>
      <c r="DM8">
        <f>1887.480186</f>
        <v>1887.480186</v>
      </c>
      <c r="DN8">
        <f>1717.255576</f>
        <v>1717.255576</v>
      </c>
      <c r="DO8">
        <f>1983.06073</f>
        <v>1983.0607299999999</v>
      </c>
      <c r="DP8">
        <f>2155.723406</f>
        <v>2155.7234060000001</v>
      </c>
      <c r="DQ8">
        <f>1848.069285</f>
        <v>1848.069285</v>
      </c>
      <c r="DR8">
        <f>1827.226682</f>
        <v>1827.226682</v>
      </c>
      <c r="DS8">
        <f>1719.059497</f>
        <v>1719.059497</v>
      </c>
      <c r="DT8">
        <f>1758.63071</f>
        <v>1758.6307099999999</v>
      </c>
      <c r="DU8">
        <f>1384.0084</f>
        <v>1384.0083999999999</v>
      </c>
      <c r="DV8">
        <f>1438.93096</f>
        <v>1438.9309599999999</v>
      </c>
      <c r="DW8">
        <f>1191.86902</f>
        <v>1191.8690200000001</v>
      </c>
      <c r="DX8">
        <f>1366.83984</f>
        <v>1366.8398400000001</v>
      </c>
      <c r="DY8">
        <f>1327.98898</f>
        <v>1327.9889800000001</v>
      </c>
      <c r="DZ8">
        <f>1196.51109</f>
        <v>1196.51109</v>
      </c>
      <c r="EA8">
        <f>1039.22545</f>
        <v>1039.2254499999999</v>
      </c>
      <c r="EB8">
        <f>1645.2135</f>
        <v>1645.2135000000001</v>
      </c>
      <c r="EC8">
        <f>2036.84477</f>
        <v>2036.8447699999999</v>
      </c>
      <c r="ED8">
        <f>1989.16018</f>
        <v>1989.1601800000001</v>
      </c>
      <c r="EE8">
        <f>2016.32228</f>
        <v>2016.3222800000001</v>
      </c>
      <c r="EF8">
        <f>2033.24653</f>
        <v>2033.2465299999999</v>
      </c>
      <c r="EG8">
        <f>2058.36246</f>
        <v>2058.3624599999998</v>
      </c>
      <c r="EH8">
        <f>2085.83402</f>
        <v>2085.8340199999998</v>
      </c>
      <c r="EI8">
        <f>1988.72292</f>
        <v>1988.7229199999999</v>
      </c>
      <c r="EJ8">
        <f>2057.4578</f>
        <v>2057.4578000000001</v>
      </c>
      <c r="EK8">
        <f>2123.90176</f>
        <v>2123.9017600000002</v>
      </c>
      <c r="EL8">
        <f>1826.45532</f>
        <v>1826.45532</v>
      </c>
      <c r="EM8">
        <f>1919.56864</f>
        <v>1919.56864</v>
      </c>
      <c r="EN8">
        <f>1883.2101</f>
        <v>1883.2101</v>
      </c>
      <c r="EO8">
        <f>2238.17852</f>
        <v>2238.1785199999999</v>
      </c>
      <c r="EP8">
        <f>1872.52232</f>
        <v>1872.52232</v>
      </c>
      <c r="EQ8">
        <f>2114.0452</f>
        <v>2114.0452</v>
      </c>
      <c r="ER8">
        <f>2143.20121</f>
        <v>2143.2012100000002</v>
      </c>
      <c r="ES8">
        <f>1950.49973</f>
        <v>1950.49973</v>
      </c>
      <c r="ET8">
        <f>1930.14388</f>
        <v>1930.1438800000001</v>
      </c>
      <c r="EU8">
        <f>2001.11866</f>
        <v>2001.1186600000001</v>
      </c>
      <c r="EV8">
        <f>1745.04504</f>
        <v>1745.04504</v>
      </c>
      <c r="EW8">
        <f>2319.89079</f>
        <v>2319.8907899999999</v>
      </c>
      <c r="EX8">
        <f>2049.90087</f>
        <v>2049.9008699999999</v>
      </c>
      <c r="EY8">
        <f>1961.85316</f>
        <v>1961.8531599999999</v>
      </c>
      <c r="EZ8">
        <f>2140.17419</f>
        <v>2140.1741900000002</v>
      </c>
      <c r="FA8">
        <f>2536.937</f>
        <v>2536.9369999999999</v>
      </c>
      <c r="FB8">
        <f>1667.93311</f>
        <v>1667.9331099999999</v>
      </c>
      <c r="FC8">
        <f>1876.63976</f>
        <v>1876.63976</v>
      </c>
      <c r="FD8">
        <f>1962.14601</f>
        <v>1962.1460099999999</v>
      </c>
      <c r="FE8">
        <f>1977.72327</f>
        <v>1977.72327</v>
      </c>
      <c r="FF8">
        <f>2108.42731</f>
        <v>2108.42731</v>
      </c>
      <c r="FG8">
        <f>2228.33556</f>
        <v>2228.33556</v>
      </c>
      <c r="FH8">
        <f>2599.22175</f>
        <v>2599.2217500000002</v>
      </c>
      <c r="FI8">
        <f>1914.07169</f>
        <v>1914.07169</v>
      </c>
      <c r="FJ8">
        <f>1838.67528</f>
        <v>1838.6752799999999</v>
      </c>
      <c r="FK8">
        <f>2053.17398</f>
        <v>2053.17398</v>
      </c>
      <c r="FL8">
        <f>3874.55713</f>
        <v>3874.5571300000001</v>
      </c>
      <c r="FM8">
        <f>2582.75111</f>
        <v>2582.7511100000002</v>
      </c>
      <c r="FN8">
        <f>2076.62033</f>
        <v>2076.6203300000002</v>
      </c>
      <c r="FO8">
        <f>1728.61117</f>
        <v>1728.6111699999999</v>
      </c>
      <c r="FP8">
        <f>1746.75086</f>
        <v>1746.7508600000001</v>
      </c>
      <c r="FQ8">
        <f>2153.67434</f>
        <v>2153.67434</v>
      </c>
    </row>
    <row r="9" spans="1:173" x14ac:dyDescent="0.25">
      <c r="A9" t="str">
        <f>"        Bulk Cargo (000 tonnes)"</f>
        <v xml:space="preserve">        Bulk Cargo (000 tonnes)</v>
      </c>
      <c r="B9" t="str">
        <f>""</f>
        <v/>
      </c>
      <c r="E9" t="str">
        <f>"Sum"</f>
        <v>Sum</v>
      </c>
      <c r="F9" t="str">
        <f ca="1">IF(ISERROR(IF(SUM($F$10:$F$11) = 0, "", SUM($F$10:$F$11))), "", (IF(SUM($F$10:$F$11) = 0, "", SUM($F$10:$F$11))))</f>
        <v/>
      </c>
      <c r="G9">
        <f ca="1">IF(ISERROR(IF(SUM($G$10:$G$11) = 0, "", SUM($G$10:$G$11))), "", (IF(SUM($G$10:$G$11) = 0, "", SUM($G$10:$G$11))))</f>
        <v>16462.22</v>
      </c>
      <c r="H9">
        <f ca="1">IF(ISERROR(IF(SUM($H$10:$H$11) = 0, "", SUM($H$10:$H$11))), "", (IF(SUM($H$10:$H$11) = 0, "", SUM($H$10:$H$11))))</f>
        <v>17909.66</v>
      </c>
      <c r="I9">
        <f ca="1">IF(ISERROR(IF(SUM($I$10:$I$11) = 0, "", SUM($I$10:$I$11))), "", (IF(SUM($I$10:$I$11) = 0, "", SUM($I$10:$I$11))))</f>
        <v>18564.71</v>
      </c>
      <c r="J9">
        <f ca="1">IF(ISERROR(IF(SUM($J$10:$J$11) = 0, "", SUM($J$10:$J$11))), "", (IF(SUM($J$10:$J$11) = 0, "", SUM($J$10:$J$11))))</f>
        <v>18299.82</v>
      </c>
      <c r="K9">
        <f ca="1">IF(ISERROR(IF(SUM($K$10:$K$11) = 0, "", SUM($K$10:$K$11))), "", (IF(SUM($K$10:$K$11) = 0, "", SUM($K$10:$K$11))))</f>
        <v>16137.32</v>
      </c>
      <c r="L9">
        <f ca="1">IF(ISERROR(IF(SUM($L$10:$L$11) = 0, "", SUM($L$10:$L$11))), "", (IF(SUM($L$10:$L$11) = 0, "", SUM($L$10:$L$11))))</f>
        <v>17402.75</v>
      </c>
      <c r="M9">
        <f ca="1">IF(ISERROR(IF(SUM($M$10:$M$11) = 0, "", SUM($M$10:$M$11))), "", (IF(SUM($M$10:$M$11) = 0, "", SUM($M$10:$M$11))))</f>
        <v>17390.95896</v>
      </c>
      <c r="N9">
        <f ca="1">IF(ISERROR(IF(SUM($N$10:$N$11) = 0, "", SUM($N$10:$N$11))), "", (IF(SUM($N$10:$N$11) = 0, "", SUM($N$10:$N$11))))</f>
        <v>18473.78</v>
      </c>
      <c r="O9">
        <f ca="1">IF(ISERROR(IF(SUM($O$10:$O$11) = 0, "", SUM($O$10:$O$11))), "", (IF(SUM($O$10:$O$11) = 0, "", SUM($O$10:$O$11))))</f>
        <v>18620.039900000003</v>
      </c>
      <c r="P9">
        <f ca="1">IF(ISERROR(IF(SUM($P$10:$P$11) = 0, "", SUM($P$10:$P$11))), "", (IF(SUM($P$10:$P$11) = 0, "", SUM($P$10:$P$11))))</f>
        <v>18841.89</v>
      </c>
      <c r="Q9">
        <f ca="1">IF(ISERROR(IF(SUM($Q$10:$Q$11) = 0, "", SUM($Q$10:$Q$11))), "", (IF(SUM($Q$10:$Q$11) = 0, "", SUM($Q$10:$Q$11))))</f>
        <v>17654.950229999999</v>
      </c>
      <c r="R9">
        <f ca="1">IF(ISERROR(IF(SUM($R$10:$R$11) = 0, "", SUM($R$10:$R$11))), "", (IF(SUM($R$10:$R$11) = 0, "", SUM($R$10:$R$11))))</f>
        <v>17716.560000000001</v>
      </c>
      <c r="S9">
        <f ca="1">IF(ISERROR(IF(SUM($S$10:$S$11) = 0, "", SUM($S$10:$S$11))), "", (IF(SUM($S$10:$S$11) = 0, "", SUM($S$10:$S$11))))</f>
        <v>17723.37</v>
      </c>
      <c r="T9">
        <f ca="1">IF(ISERROR(IF(SUM($T$10:$T$11) = 0, "", SUM($T$10:$T$11))), "", (IF(SUM($T$10:$T$11) = 0, "", SUM($T$10:$T$11))))</f>
        <v>18074.93</v>
      </c>
      <c r="U9">
        <f ca="1">IF(ISERROR(IF(SUM($U$10:$U$11) = 0, "", SUM($U$10:$U$11))), "", (IF(SUM($U$10:$U$11) = 0, "", SUM($U$10:$U$11))))</f>
        <v>18422.48</v>
      </c>
      <c r="V9">
        <f ca="1">IF(ISERROR(IF(SUM($V$10:$V$11) = 0, "", SUM($V$10:$V$11))), "", (IF(SUM($V$10:$V$11) = 0, "", SUM($V$10:$V$11))))</f>
        <v>17359.34</v>
      </c>
      <c r="W9">
        <f ca="1">IF(ISERROR(IF(SUM($W$10:$W$11) = 0, "", SUM($W$10:$W$11))), "", (IF(SUM($W$10:$W$11) = 0, "", SUM($W$10:$W$11))))</f>
        <v>16501.330000000002</v>
      </c>
      <c r="X9">
        <f ca="1">IF(ISERROR(IF(SUM($X$10:$X$11) = 0, "", SUM($X$10:$X$11))), "", (IF(SUM($X$10:$X$11) = 0, "", SUM($X$10:$X$11))))</f>
        <v>16411.939999999999</v>
      </c>
      <c r="Y9">
        <f ca="1">IF(ISERROR(IF(SUM($Y$10:$Y$11) = 0, "", SUM($Y$10:$Y$11))), "", (IF(SUM($Y$10:$Y$11) = 0, "", SUM($Y$10:$Y$11))))</f>
        <v>16921.71</v>
      </c>
      <c r="Z9">
        <f ca="1">IF(ISERROR(IF(SUM($Z$10:$Z$11) = 0, "", SUM($Z$10:$Z$11))), "", (IF(SUM($Z$10:$Z$11) = 0, "", SUM($Z$10:$Z$11))))</f>
        <v>15693.37</v>
      </c>
      <c r="AA9">
        <f ca="1">IF(ISERROR(IF(SUM($AA$10:$AA$11) = 0, "", SUM($AA$10:$AA$11))), "", (IF(SUM($AA$10:$AA$11) = 0, "", SUM($AA$10:$AA$11))))</f>
        <v>19794.02</v>
      </c>
      <c r="AB9">
        <f ca="1">IF(ISERROR(IF(SUM($AB$10:$AB$11) = 0, "", SUM($AB$10:$AB$11))), "", (IF(SUM($AB$10:$AB$11) = 0, "", SUM($AB$10:$AB$11))))</f>
        <v>15361.8406</v>
      </c>
      <c r="AC9">
        <f ca="1">IF(ISERROR(IF(SUM($AC$10:$AC$11) = 0, "", SUM($AC$10:$AC$11))), "", (IF(SUM($AC$10:$AC$11) = 0, "", SUM($AC$10:$AC$11))))</f>
        <v>19790.077350000003</v>
      </c>
      <c r="AD9">
        <f ca="1">IF(ISERROR(IF(SUM($AD$10:$AD$11) = 0, "", SUM($AD$10:$AD$11))), "", (IF(SUM($AD$10:$AD$11) = 0, "", SUM($AD$10:$AD$11))))</f>
        <v>17792.576970000002</v>
      </c>
      <c r="AE9">
        <f ca="1">IF(ISERROR(IF(SUM($AE$10:$AE$11) = 0, "", SUM($AE$10:$AE$11))), "", (IF(SUM($AE$10:$AE$11) = 0, "", SUM($AE$10:$AE$11))))</f>
        <v>17367.220359999999</v>
      </c>
      <c r="AF9">
        <f ca="1">IF(ISERROR(IF(SUM($AF$10:$AF$11) = 0, "", SUM($AF$10:$AF$11))), "", (IF(SUM($AF$10:$AF$11) = 0, "", SUM($AF$10:$AF$11))))</f>
        <v>17704.050439999999</v>
      </c>
      <c r="AG9">
        <f ca="1">IF(ISERROR(IF(SUM($AG$10:$AG$11) = 0, "", SUM($AG$10:$AG$11))), "", (IF(SUM($AG$10:$AG$11) = 0, "", SUM($AG$10:$AG$11))))</f>
        <v>18089.801190000002</v>
      </c>
      <c r="AH9">
        <f ca="1">IF(ISERROR(IF(SUM($AH$10:$AH$11) = 0, "", SUM($AH$10:$AH$11))), "", (IF(SUM($AH$10:$AH$11) = 0, "", SUM($AH$10:$AH$11))))</f>
        <v>16970.297879999998</v>
      </c>
      <c r="AI9">
        <f ca="1">IF(ISERROR(IF(SUM($AI$10:$AI$11) = 0, "", SUM($AI$10:$AI$11))), "", (IF(SUM($AI$10:$AI$11) = 0, "", SUM($AI$10:$AI$11))))</f>
        <v>18110.135539999999</v>
      </c>
      <c r="AJ9">
        <f ca="1">IF(ISERROR(IF(SUM($AJ$10:$AJ$11) = 0, "", SUM($AJ$10:$AJ$11))), "", (IF(SUM($AJ$10:$AJ$11) = 0, "", SUM($AJ$10:$AJ$11))))</f>
        <v>18324.86851</v>
      </c>
      <c r="AK9">
        <f ca="1">IF(ISERROR(IF(SUM($AK$10:$AK$11) = 0, "", SUM($AK$10:$AK$11))), "", (IF(SUM($AK$10:$AK$11) = 0, "", SUM($AK$10:$AK$11))))</f>
        <v>18958.04609</v>
      </c>
      <c r="AL9">
        <f ca="1">IF(ISERROR(IF(SUM($AL$10:$AL$11) = 0, "", SUM($AL$10:$AL$11))), "", (IF(SUM($AL$10:$AL$11) = 0, "", SUM($AL$10:$AL$11))))</f>
        <v>17227.944500000001</v>
      </c>
      <c r="AM9">
        <f ca="1">IF(ISERROR(IF(SUM($AM$10:$AM$11) = 0, "", SUM($AM$10:$AM$11))), "", (IF(SUM($AM$10:$AM$11) = 0, "", SUM($AM$10:$AM$11))))</f>
        <v>18628.700379999998</v>
      </c>
      <c r="AN9">
        <f ca="1">IF(ISERROR(IF(SUM($AN$10:$AN$11) = 0, "", SUM($AN$10:$AN$11))), "", (IF(SUM($AN$10:$AN$11) = 0, "", SUM($AN$10:$AN$11))))</f>
        <v>16680.197359999998</v>
      </c>
      <c r="AO9">
        <f ca="1">IF(ISERROR(IF(SUM($AO$10:$AO$11) = 0, "", SUM($AO$10:$AO$11))), "", (IF(SUM($AO$10:$AO$11) = 0, "", SUM($AO$10:$AO$11))))</f>
        <v>17564.310139999998</v>
      </c>
      <c r="AP9">
        <f ca="1">IF(ISERROR(IF(SUM($AP$10:$AP$11) = 0, "", SUM($AP$10:$AP$11))), "", (IF(SUM($AP$10:$AP$11) = 0, "", SUM($AP$10:$AP$11))))</f>
        <v>17387.771239999998</v>
      </c>
      <c r="AQ9">
        <f ca="1">IF(ISERROR(IF(SUM($AQ$10:$AQ$11) = 0, "", SUM($AQ$10:$AQ$11))), "", (IF(SUM($AQ$10:$AQ$11) = 0, "", SUM($AQ$10:$AQ$11))))</f>
        <v>17465.925869999999</v>
      </c>
      <c r="AR9">
        <f ca="1">IF(ISERROR(IF(SUM($AR$10:$AR$11) = 0, "", SUM($AR$10:$AR$11))), "", (IF(SUM($AR$10:$AR$11) = 0, "", SUM($AR$10:$AR$11))))</f>
        <v>18282.582129999999</v>
      </c>
      <c r="AS9">
        <f ca="1">IF(ISERROR(IF(SUM($AS$10:$AS$11) = 0, "", SUM($AS$10:$AS$11))), "", (IF(SUM($AS$10:$AS$11) = 0, "", SUM($AS$10:$AS$11))))</f>
        <v>18358.901030000001</v>
      </c>
      <c r="AT9">
        <f ca="1">IF(ISERROR(IF(SUM($AT$10:$AT$11) = 0, "", SUM($AT$10:$AT$11))), "", (IF(SUM($AT$10:$AT$11) = 0, "", SUM($AT$10:$AT$11))))</f>
        <v>18902.437139999998</v>
      </c>
      <c r="AU9">
        <f ca="1">IF(ISERROR(IF(SUM($AU$10:$AU$11) = 0, "", SUM($AU$10:$AU$11))), "", (IF(SUM($AU$10:$AU$11) = 0, "", SUM($AU$10:$AU$11))))</f>
        <v>16882.614229999999</v>
      </c>
      <c r="AV9">
        <f ca="1">IF(ISERROR(IF(SUM($AV$10:$AV$11) = 0, "", SUM($AV$10:$AV$11))), "", (IF(SUM($AV$10:$AV$11) = 0, "", SUM($AV$10:$AV$11))))</f>
        <v>17270.74307</v>
      </c>
      <c r="AW9">
        <f ca="1">IF(ISERROR(IF(SUM($AW$10:$AW$11) = 0, "", SUM($AW$10:$AW$11))), "", (IF(SUM($AW$10:$AW$11) = 0, "", SUM($AW$10:$AW$11))))</f>
        <v>18767.774100000002</v>
      </c>
      <c r="AX9">
        <f ca="1">IF(ISERROR(IF(SUM($AX$10:$AX$11) = 0, "", SUM($AX$10:$AX$11))), "", (IF(SUM($AX$10:$AX$11) = 0, "", SUM($AX$10:$AX$11))))</f>
        <v>17912.887350000001</v>
      </c>
      <c r="AY9">
        <f ca="1">IF(ISERROR(IF(SUM($AY$10:$AY$11) = 0, "", SUM($AY$10:$AY$11))), "", (IF(SUM($AY$10:$AY$11) = 0, "", SUM($AY$10:$AY$11))))</f>
        <v>18891.80833</v>
      </c>
      <c r="AZ9">
        <f ca="1">IF(ISERROR(IF(SUM($AZ$10:$AZ$11) = 0, "", SUM($AZ$10:$AZ$11))), "", (IF(SUM($AZ$10:$AZ$11) = 0, "", SUM($AZ$10:$AZ$11))))</f>
        <v>19651.680510000002</v>
      </c>
      <c r="BA9">
        <f ca="1">IF(ISERROR(IF(SUM($BA$10:$BA$11) = 0, "", SUM($BA$10:$BA$11))), "", (IF(SUM($BA$10:$BA$11) = 0, "", SUM($BA$10:$BA$11))))</f>
        <v>18550.59808</v>
      </c>
      <c r="BB9">
        <f ca="1">IF(ISERROR(IF(SUM($BB$10:$BB$11) = 0, "", SUM($BB$10:$BB$11))), "", (IF(SUM($BB$10:$BB$11) = 0, "", SUM($BB$10:$BB$11))))</f>
        <v>19585.39301</v>
      </c>
      <c r="BC9">
        <f ca="1">IF(ISERROR(IF(SUM($BC$10:$BC$11) = 0, "", SUM($BC$10:$BC$11))), "", (IF(SUM($BC$10:$BC$11) = 0, "", SUM($BC$10:$BC$11))))</f>
        <v>18036.916880000001</v>
      </c>
      <c r="BD9">
        <f ca="1">IF(ISERROR(IF(SUM($BD$10:$BD$11) = 0, "", SUM($BD$10:$BD$11))), "", (IF(SUM($BD$10:$BD$11) = 0, "", SUM($BD$10:$BD$11))))</f>
        <v>18121.89646</v>
      </c>
      <c r="BE9">
        <f ca="1">IF(ISERROR(IF(SUM($BE$10:$BE$11) = 0, "", SUM($BE$10:$BE$11))), "", (IF(SUM($BE$10:$BE$11) = 0, "", SUM($BE$10:$BE$11))))</f>
        <v>18235.182489999999</v>
      </c>
      <c r="BF9">
        <f ca="1">IF(ISERROR(IF(SUM($BF$10:$BF$11) = 0, "", SUM($BF$10:$BF$11))), "", (IF(SUM($BF$10:$BF$11) = 0, "", SUM($BF$10:$BF$11))))</f>
        <v>22062.569899999999</v>
      </c>
      <c r="BG9">
        <f ca="1">IF(ISERROR(IF(SUM($BG$10:$BG$11) = 0, "", SUM($BG$10:$BG$11))), "", (IF(SUM($BG$10:$BG$11) = 0, "", SUM($BG$10:$BG$11))))</f>
        <v>22968.379710000001</v>
      </c>
      <c r="BH9">
        <f ca="1">IF(ISERROR(IF(SUM($BH$10:$BH$11) = 0, "", SUM($BH$10:$BH$11))), "", (IF(SUM($BH$10:$BH$11) = 0, "", SUM($BH$10:$BH$11))))</f>
        <v>22099.460920000001</v>
      </c>
      <c r="BI9">
        <f ca="1">IF(ISERROR(IF(SUM($BI$10:$BI$11) = 0, "", SUM($BI$10:$BI$11))), "", (IF(SUM($BI$10:$BI$11) = 0, "", SUM($BI$10:$BI$11))))</f>
        <v>17712.936799999999</v>
      </c>
      <c r="BJ9">
        <f ca="1">IF(ISERROR(IF(SUM($BJ$10:$BJ$11) = 0, "", SUM($BJ$10:$BJ$11))), "", (IF(SUM($BJ$10:$BJ$11) = 0, "", SUM($BJ$10:$BJ$11))))</f>
        <v>19461.902850000002</v>
      </c>
      <c r="BK9">
        <f ca="1">IF(ISERROR(IF(SUM($BK$10:$BK$11) = 0, "", SUM($BK$10:$BK$11))), "", (IF(SUM($BK$10:$BK$11) = 0, "", SUM($BK$10:$BK$11))))</f>
        <v>20598.611559999998</v>
      </c>
      <c r="BL9">
        <f ca="1">IF(ISERROR(IF(SUM($BL$10:$BL$11) = 0, "", SUM($BL$10:$BL$11))), "", (IF(SUM($BL$10:$BL$11) = 0, "", SUM($BL$10:$BL$11))))</f>
        <v>20974.802110000001</v>
      </c>
      <c r="BM9">
        <f ca="1">IF(ISERROR(IF(SUM($BM$10:$BM$11) = 0, "", SUM($BM$10:$BM$11))), "", (IF(SUM($BM$10:$BM$11) = 0, "", SUM($BM$10:$BM$11))))</f>
        <v>19900.61536</v>
      </c>
      <c r="BN9">
        <f ca="1">IF(ISERROR(IF(SUM($BN$10:$BN$11) = 0, "", SUM($BN$10:$BN$11))), "", (IF(SUM($BN$10:$BN$11) = 0, "", SUM($BN$10:$BN$11))))</f>
        <v>21053.50722</v>
      </c>
      <c r="BO9">
        <f ca="1">IF(ISERROR(IF(SUM($BO$10:$BO$11) = 0, "", SUM($BO$10:$BO$11))), "", (IF(SUM($BO$10:$BO$11) = 0, "", SUM($BO$10:$BO$11))))</f>
        <v>18669.94328</v>
      </c>
      <c r="BP9">
        <f ca="1">IF(ISERROR(IF(SUM($BP$10:$BP$11) = 0, "", SUM($BP$10:$BP$11))), "", (IF(SUM($BP$10:$BP$11) = 0, "", SUM($BP$10:$BP$11))))</f>
        <v>21564.755539999998</v>
      </c>
      <c r="BQ9">
        <f ca="1">IF(ISERROR(IF(SUM($BQ$10:$BQ$11) = 0, "", SUM($BQ$10:$BQ$11))), "", (IF(SUM($BQ$10:$BQ$11) = 0, "", SUM($BQ$10:$BQ$11))))</f>
        <v>18422.722139999998</v>
      </c>
      <c r="BR9">
        <f ca="1">IF(ISERROR(IF(SUM($BR$10:$BR$11) = 0, "", SUM($BR$10:$BR$11))), "", (IF(SUM($BR$10:$BR$11) = 0, "", SUM($BR$10:$BR$11))))</f>
        <v>18876.347849999998</v>
      </c>
      <c r="BS9">
        <f ca="1">IF(ISERROR(IF(SUM($BS$10:$BS$11) = 0, "", SUM($BS$10:$BS$11))), "", (IF(SUM($BS$10:$BS$11) = 0, "", SUM($BS$10:$BS$11))))</f>
        <v>19026.77464</v>
      </c>
      <c r="BT9">
        <f ca="1">IF(ISERROR(IF(SUM($BT$10:$BT$11) = 0, "", SUM($BT$10:$BT$11))), "", (IF(SUM($BT$10:$BT$11) = 0, "", SUM($BT$10:$BT$11))))</f>
        <v>19835.465560000001</v>
      </c>
      <c r="BU9">
        <f ca="1">IF(ISERROR(IF(SUM($BU$10:$BU$11) = 0, "", SUM($BU$10:$BU$11))), "", (IF(SUM($BU$10:$BU$11) = 0, "", SUM($BU$10:$BU$11))))</f>
        <v>19604.242829999999</v>
      </c>
      <c r="BV9">
        <f ca="1">IF(ISERROR(IF(SUM($BV$10:$BV$11) = 0, "", SUM($BV$10:$BV$11))), "", (IF(SUM($BV$10:$BV$11) = 0, "", SUM($BV$10:$BV$11))))</f>
        <v>19348.775320000001</v>
      </c>
      <c r="BW9">
        <f ca="1">IF(ISERROR(IF(SUM($BW$10:$BW$11) = 0, "", SUM($BW$10:$BW$11))), "", (IF(SUM($BW$10:$BW$11) = 0, "", SUM($BW$10:$BW$11))))</f>
        <v>21102.086759999998</v>
      </c>
      <c r="BX9">
        <f ca="1">IF(ISERROR(IF(SUM($BX$10:$BX$11) = 0, "", SUM($BX$10:$BX$11))), "", (IF(SUM($BX$10:$BX$11) = 0, "", SUM($BX$10:$BX$11))))</f>
        <v>22130.213879999999</v>
      </c>
      <c r="BY9">
        <f ca="1">IF(ISERROR(IF(SUM($BY$10:$BY$11) = 0, "", SUM($BY$10:$BY$11))), "", (IF(SUM($BY$10:$BY$11) = 0, "", SUM($BY$10:$BY$11))))</f>
        <v>21200.766589999999</v>
      </c>
      <c r="BZ9">
        <f ca="1">IF(ISERROR(IF(SUM($BZ$10:$BZ$11) = 0, "", SUM($BZ$10:$BZ$11))), "", (IF(SUM($BZ$10:$BZ$11) = 0, "", SUM($BZ$10:$BZ$11))))</f>
        <v>22606.88941</v>
      </c>
      <c r="CA9">
        <f ca="1">IF(ISERROR(IF(SUM($CA$10:$CA$11) = 0, "", SUM($CA$10:$CA$11))), "", (IF(SUM($CA$10:$CA$11) = 0, "", SUM($CA$10:$CA$11))))</f>
        <v>21830.200260000001</v>
      </c>
      <c r="CB9">
        <f ca="1">IF(ISERROR(IF(SUM($CB$10:$CB$11) = 0, "", SUM($CB$10:$CB$11))), "", (IF(SUM($CB$10:$CB$11) = 0, "", SUM($CB$10:$CB$11))))</f>
        <v>20529.922009999998</v>
      </c>
      <c r="CC9">
        <f ca="1">IF(ISERROR(IF(SUM($CC$10:$CC$11) = 0, "", SUM($CC$10:$CC$11))), "", (IF(SUM($CC$10:$CC$11) = 0, "", SUM($CC$10:$CC$11))))</f>
        <v>18415.032469999998</v>
      </c>
      <c r="CD9">
        <f ca="1">IF(ISERROR(IF(SUM($CD$10:$CD$11) = 0, "", SUM($CD$10:$CD$11))), "", (IF(SUM($CD$10:$CD$11) = 0, "", SUM($CD$10:$CD$11))))</f>
        <v>19553.54581</v>
      </c>
      <c r="CE9">
        <f ca="1">IF(ISERROR(IF(SUM($CE$10:$CE$11) = 0, "", SUM($CE$10:$CE$11))), "", (IF(SUM($CE$10:$CE$11) = 0, "", SUM($CE$10:$CE$11))))</f>
        <v>20465.178500000002</v>
      </c>
      <c r="CF9">
        <f ca="1">IF(ISERROR(IF(SUM($CF$10:$CF$11) = 0, "", SUM($CF$10:$CF$11))), "", (IF(SUM($CF$10:$CF$11) = 0, "", SUM($CF$10:$CF$11))))</f>
        <v>20322.771429999997</v>
      </c>
      <c r="CG9">
        <f ca="1">IF(ISERROR(IF(SUM($CG$10:$CG$11) = 0, "", SUM($CG$10:$CG$11))), "", (IF(SUM($CG$10:$CG$11) = 0, "", SUM($CG$10:$CG$11))))</f>
        <v>21191.467989999997</v>
      </c>
      <c r="CH9">
        <f ca="1">IF(ISERROR(IF(SUM($CH$10:$CH$11) = 0, "", SUM($CH$10:$CH$11))), "", (IF(SUM($CH$10:$CH$11) = 0, "", SUM($CH$10:$CH$11))))</f>
        <v>21183.7709</v>
      </c>
      <c r="CI9">
        <f ca="1">IF(ISERROR(IF(SUM($CI$10:$CI$11) = 0, "", SUM($CI$10:$CI$11))), "", (IF(SUM($CI$10:$CI$11) = 0, "", SUM($CI$10:$CI$11))))</f>
        <v>22212.578679999999</v>
      </c>
      <c r="CJ9">
        <f ca="1">IF(ISERROR(IF(SUM($CJ$10:$CJ$11) = 0, "", SUM($CJ$10:$CJ$11))), "", (IF(SUM($CJ$10:$CJ$11) = 0, "", SUM($CJ$10:$CJ$11))))</f>
        <v>22138.3145</v>
      </c>
      <c r="CK9">
        <f ca="1">IF(ISERROR(IF(SUM($CK$10:$CK$11) = 0, "", SUM($CK$10:$CK$11))), "", (IF(SUM($CK$10:$CK$11) = 0, "", SUM($CK$10:$CK$11))))</f>
        <v>20896.938340000001</v>
      </c>
      <c r="CL9" t="str">
        <f>""</f>
        <v/>
      </c>
      <c r="CM9">
        <f>16462.22</f>
        <v>16462.22</v>
      </c>
      <c r="CN9">
        <f>17909.66</f>
        <v>17909.66</v>
      </c>
      <c r="CO9">
        <f>18564.71</f>
        <v>18564.71</v>
      </c>
      <c r="CP9">
        <f>18299.82</f>
        <v>18299.82</v>
      </c>
      <c r="CQ9">
        <f>16137.32</f>
        <v>16137.32</v>
      </c>
      <c r="CR9">
        <f>17402.75</f>
        <v>17402.75</v>
      </c>
      <c r="CS9">
        <f>17390.95896</f>
        <v>17390.95896</v>
      </c>
      <c r="CT9">
        <f>18473.78</f>
        <v>18473.78</v>
      </c>
      <c r="CU9">
        <f>18620.0399</f>
        <v>18620.0399</v>
      </c>
      <c r="CV9">
        <f>18841.89</f>
        <v>18841.89</v>
      </c>
      <c r="CW9">
        <f>17654.95023</f>
        <v>17654.950229999999</v>
      </c>
      <c r="CX9">
        <f>17716.56</f>
        <v>17716.560000000001</v>
      </c>
      <c r="CY9">
        <f>17723.37</f>
        <v>17723.37</v>
      </c>
      <c r="CZ9">
        <f>18074.93</f>
        <v>18074.93</v>
      </c>
      <c r="DA9">
        <f>18422.48</f>
        <v>18422.48</v>
      </c>
      <c r="DB9">
        <f>17359.34</f>
        <v>17359.34</v>
      </c>
      <c r="DC9">
        <f>16501.33</f>
        <v>16501.330000000002</v>
      </c>
      <c r="DD9">
        <f>16411.94</f>
        <v>16411.939999999999</v>
      </c>
      <c r="DE9">
        <f>16921.71</f>
        <v>16921.71</v>
      </c>
      <c r="DF9">
        <f>15693.37</f>
        <v>15693.37</v>
      </c>
      <c r="DG9">
        <f>19794.02</f>
        <v>19794.02</v>
      </c>
      <c r="DH9">
        <f>15361.8406</f>
        <v>15361.8406</v>
      </c>
      <c r="DI9">
        <f>19790.07735</f>
        <v>19790.07735</v>
      </c>
      <c r="DJ9">
        <f>17792.57697</f>
        <v>17792.576969999998</v>
      </c>
      <c r="DK9">
        <f>17367.22036</f>
        <v>17367.220359999999</v>
      </c>
      <c r="DL9">
        <f>17704.05044</f>
        <v>17704.050439999999</v>
      </c>
      <c r="DM9">
        <f>18089.80119</f>
        <v>18089.801189999998</v>
      </c>
      <c r="DN9">
        <f>16970.29788</f>
        <v>16970.297879999998</v>
      </c>
      <c r="DO9">
        <f>18110.13554</f>
        <v>18110.135539999999</v>
      </c>
      <c r="DP9">
        <f>18324.86851</f>
        <v>18324.86851</v>
      </c>
      <c r="DQ9">
        <f>18958.04609</f>
        <v>18958.04609</v>
      </c>
      <c r="DR9">
        <f>17227.9445</f>
        <v>17227.944500000001</v>
      </c>
      <c r="DS9">
        <f>18628.70038</f>
        <v>18628.700379999998</v>
      </c>
      <c r="DT9">
        <f>16680.19736</f>
        <v>16680.197359999998</v>
      </c>
      <c r="DU9">
        <f>17564.31014</f>
        <v>17564.310140000001</v>
      </c>
      <c r="DV9">
        <f>17387.77124</f>
        <v>17387.771239999998</v>
      </c>
      <c r="DW9">
        <f>17465.92587</f>
        <v>17465.925869999999</v>
      </c>
      <c r="DX9">
        <f>18282.58213</f>
        <v>18282.582129999999</v>
      </c>
      <c r="DY9">
        <f>18358.90103</f>
        <v>18358.901030000001</v>
      </c>
      <c r="DZ9">
        <f>18902.43714</f>
        <v>18902.437140000002</v>
      </c>
      <c r="EA9">
        <f>16882.61423</f>
        <v>16882.614229999999</v>
      </c>
      <c r="EB9">
        <f>17270.74307</f>
        <v>17270.74307</v>
      </c>
      <c r="EC9">
        <f>18767.7741</f>
        <v>18767.774099999999</v>
      </c>
      <c r="ED9">
        <f>17912.88735</f>
        <v>17912.887350000001</v>
      </c>
      <c r="EE9">
        <f>18891.80833</f>
        <v>18891.80833</v>
      </c>
      <c r="EF9">
        <f>19651.68051</f>
        <v>19651.680509999998</v>
      </c>
      <c r="EG9">
        <f>18550.59808</f>
        <v>18550.59808</v>
      </c>
      <c r="EH9">
        <f>19585.3930099999</f>
        <v>19585.39301</v>
      </c>
      <c r="EI9">
        <f>18036.91688</f>
        <v>18036.916880000001</v>
      </c>
      <c r="EJ9">
        <f>18121.89646</f>
        <v>18121.89646</v>
      </c>
      <c r="EK9">
        <f>18235.18249</f>
        <v>18235.182489999999</v>
      </c>
      <c r="EL9">
        <f>22062.5699</f>
        <v>22062.569899999999</v>
      </c>
      <c r="EM9">
        <f>22968.37971</f>
        <v>22968.379710000001</v>
      </c>
      <c r="EN9">
        <f>22099.46092</f>
        <v>22099.460920000001</v>
      </c>
      <c r="EO9">
        <f>17712.9368</f>
        <v>17712.936799999999</v>
      </c>
      <c r="EP9">
        <f>19461.90285</f>
        <v>19461.902849999999</v>
      </c>
      <c r="EQ9">
        <f>20598.61156</f>
        <v>20598.611560000001</v>
      </c>
      <c r="ER9">
        <f>20974.80211</f>
        <v>20974.802110000001</v>
      </c>
      <c r="ES9">
        <f>19900.61536</f>
        <v>19900.61536</v>
      </c>
      <c r="ET9">
        <f>21053.50722</f>
        <v>21053.50722</v>
      </c>
      <c r="EU9">
        <f>18669.94328</f>
        <v>18669.94328</v>
      </c>
      <c r="EV9">
        <f>21564.75554</f>
        <v>21564.755539999998</v>
      </c>
      <c r="EW9">
        <f>18422.72214</f>
        <v>18422.722140000002</v>
      </c>
      <c r="EX9">
        <f>18876.34785</f>
        <v>18876.347849999998</v>
      </c>
      <c r="EY9">
        <f>19026.77464</f>
        <v>19026.77464</v>
      </c>
      <c r="EZ9">
        <f>19835.46556</f>
        <v>19835.465560000001</v>
      </c>
      <c r="FA9">
        <f>19604.24283</f>
        <v>19604.242829999999</v>
      </c>
      <c r="FB9">
        <f>19348.77532</f>
        <v>19348.775320000001</v>
      </c>
      <c r="FC9">
        <f>21102.08676</f>
        <v>21102.086759999998</v>
      </c>
      <c r="FD9">
        <f>22130.21388</f>
        <v>22130.213879999999</v>
      </c>
      <c r="FE9">
        <f>21200.76659</f>
        <v>21200.766589999999</v>
      </c>
      <c r="FF9">
        <f>22606.88941</f>
        <v>22606.88941</v>
      </c>
      <c r="FG9">
        <f>21830.20026</f>
        <v>21830.200260000001</v>
      </c>
      <c r="FH9">
        <f>20529.92201</f>
        <v>20529.922009999998</v>
      </c>
      <c r="FI9">
        <f>18415.03247</f>
        <v>18415.032469999998</v>
      </c>
      <c r="FJ9">
        <f>19553.54581</f>
        <v>19553.54581</v>
      </c>
      <c r="FK9">
        <f>20465.1785</f>
        <v>20465.178500000002</v>
      </c>
      <c r="FL9">
        <f>20322.77143</f>
        <v>20322.771430000001</v>
      </c>
      <c r="FM9">
        <f>21191.46799</f>
        <v>21191.467990000001</v>
      </c>
      <c r="FN9">
        <f>21183.7709</f>
        <v>21183.7709</v>
      </c>
      <c r="FO9">
        <f>22212.57868</f>
        <v>22212.578679999999</v>
      </c>
      <c r="FP9">
        <f>22138.3145</f>
        <v>22138.3145</v>
      </c>
      <c r="FQ9">
        <f>20896.93834</f>
        <v>20896.938340000001</v>
      </c>
    </row>
    <row r="10" spans="1:173" x14ac:dyDescent="0.25">
      <c r="A10" t="str">
        <f>"            Oil (000 tonnes)"</f>
        <v xml:space="preserve">            Oil (000 tonnes)</v>
      </c>
      <c r="B10" t="str">
        <f>"SIVSOIL Index"</f>
        <v>SIVSOIL Index</v>
      </c>
      <c r="C10" t="str">
        <f>"PR005"</f>
        <v>PR005</v>
      </c>
      <c r="D10" t="str">
        <f>"PX_LAST"</f>
        <v>PX_LAST</v>
      </c>
      <c r="E10" t="str">
        <f>"Dynamic"</f>
        <v>Dynamic</v>
      </c>
      <c r="F10" t="str">
        <f ca="1">IF(AND(ISNUMBER($F$81),$B$69=1),$F$81,HLOOKUP(INDIRECT(ADDRESS(2,COLUMN())),OFFSET($CL$2,0,0,ROW()-1,84),ROW()-1,FALSE))</f>
        <v/>
      </c>
      <c r="G10">
        <f ca="1">IF(AND(ISNUMBER($G$81),$B$69=1),$G$81,HLOOKUP(INDIRECT(ADDRESS(2,COLUMN())),OFFSET($CL$2,0,0,ROW()-1,84),ROW()-1,FALSE))</f>
        <v>14688.28</v>
      </c>
      <c r="H10">
        <f ca="1">IF(AND(ISNUMBER($H$81),$B$69=1),$H$81,HLOOKUP(INDIRECT(ADDRESS(2,COLUMN())),OFFSET($CL$2,0,0,ROW()-1,84),ROW()-1,FALSE))</f>
        <v>16366.02</v>
      </c>
      <c r="I10">
        <f ca="1">IF(AND(ISNUMBER($I$81),$B$69=1),$I$81,HLOOKUP(INDIRECT(ADDRESS(2,COLUMN())),OFFSET($CL$2,0,0,ROW()-1,84),ROW()-1,FALSE))</f>
        <v>16861.7</v>
      </c>
      <c r="J10">
        <f ca="1">IF(AND(ISNUMBER($J$81),$B$69=1),$J$81,HLOOKUP(INDIRECT(ADDRESS(2,COLUMN())),OFFSET($CL$2,0,0,ROW()-1,84),ROW()-1,FALSE))</f>
        <v>16406.599999999999</v>
      </c>
      <c r="K10">
        <f ca="1">IF(AND(ISNUMBER($K$81),$B$69=1),$K$81,HLOOKUP(INDIRECT(ADDRESS(2,COLUMN())),OFFSET($CL$2,0,0,ROW()-1,84),ROW()-1,FALSE))</f>
        <v>14205.23</v>
      </c>
      <c r="L10">
        <f ca="1">IF(AND(ISNUMBER($L$81),$B$69=1),$L$81,HLOOKUP(INDIRECT(ADDRESS(2,COLUMN())),OFFSET($CL$2,0,0,ROW()-1,84),ROW()-1,FALSE))</f>
        <v>15821.44</v>
      </c>
      <c r="M10">
        <f ca="1">IF(AND(ISNUMBER($M$81),$B$69=1),$M$81,HLOOKUP(INDIRECT(ADDRESS(2,COLUMN())),OFFSET($CL$2,0,0,ROW()-1,84),ROW()-1,FALSE))</f>
        <v>15358.678959999999</v>
      </c>
      <c r="N10">
        <f ca="1">IF(AND(ISNUMBER($N$81),$B$69=1),$N$81,HLOOKUP(INDIRECT(ADDRESS(2,COLUMN())),OFFSET($CL$2,0,0,ROW()-1,84),ROW()-1,FALSE))</f>
        <v>17008.419999999998</v>
      </c>
      <c r="O10">
        <f ca="1">IF(AND(ISNUMBER($O$81),$B$69=1),$O$81,HLOOKUP(INDIRECT(ADDRESS(2,COLUMN())),OFFSET($CL$2,0,0,ROW()-1,84),ROW()-1,FALSE))</f>
        <v>16384.549900000002</v>
      </c>
      <c r="P10">
        <f ca="1">IF(AND(ISNUMBER($P$81),$B$69=1),$P$81,HLOOKUP(INDIRECT(ADDRESS(2,COLUMN())),OFFSET($CL$2,0,0,ROW()-1,84),ROW()-1,FALSE))</f>
        <v>16244.2</v>
      </c>
      <c r="Q10">
        <f ca="1">IF(AND(ISNUMBER($Q$81),$B$69=1),$Q$81,HLOOKUP(INDIRECT(ADDRESS(2,COLUMN())),OFFSET($CL$2,0,0,ROW()-1,84),ROW()-1,FALSE))</f>
        <v>16122.94023</v>
      </c>
      <c r="R10">
        <f ca="1">IF(AND(ISNUMBER($R$81),$B$69=1),$R$81,HLOOKUP(INDIRECT(ADDRESS(2,COLUMN())),OFFSET($CL$2,0,0,ROW()-1,84),ROW()-1,FALSE))</f>
        <v>15917.49</v>
      </c>
      <c r="S10">
        <f ca="1">IF(AND(ISNUMBER($S$81),$B$69=1),$S$81,HLOOKUP(INDIRECT(ADDRESS(2,COLUMN())),OFFSET($CL$2,0,0,ROW()-1,84),ROW()-1,FALSE))</f>
        <v>15915.8</v>
      </c>
      <c r="T10">
        <f ca="1">IF(AND(ISNUMBER($T$81),$B$69=1),$T$81,HLOOKUP(INDIRECT(ADDRESS(2,COLUMN())),OFFSET($CL$2,0,0,ROW()-1,84),ROW()-1,FALSE))</f>
        <v>16550.61</v>
      </c>
      <c r="U10">
        <f ca="1">IF(AND(ISNUMBER($U$81),$B$69=1),$U$81,HLOOKUP(INDIRECT(ADDRESS(2,COLUMN())),OFFSET($CL$2,0,0,ROW()-1,84),ROW()-1,FALSE))</f>
        <v>16522.52</v>
      </c>
      <c r="V10">
        <f ca="1">IF(AND(ISNUMBER($V$81),$B$69=1),$V$81,HLOOKUP(INDIRECT(ADDRESS(2,COLUMN())),OFFSET($CL$2,0,0,ROW()-1,84),ROW()-1,FALSE))</f>
        <v>15933.28</v>
      </c>
      <c r="W10">
        <f ca="1">IF(AND(ISNUMBER($W$81),$B$69=1),$W$81,HLOOKUP(INDIRECT(ADDRESS(2,COLUMN())),OFFSET($CL$2,0,0,ROW()-1,84),ROW()-1,FALSE))</f>
        <v>14760.1</v>
      </c>
      <c r="X10">
        <f ca="1">IF(AND(ISNUMBER($X$81),$B$69=1),$X$81,HLOOKUP(INDIRECT(ADDRESS(2,COLUMN())),OFFSET($CL$2,0,0,ROW()-1,84),ROW()-1,FALSE))</f>
        <v>14994.1</v>
      </c>
      <c r="Y10">
        <f ca="1">IF(AND(ISNUMBER($Y$81),$B$69=1),$Y$81,HLOOKUP(INDIRECT(ADDRESS(2,COLUMN())),OFFSET($CL$2,0,0,ROW()-1,84),ROW()-1,FALSE))</f>
        <v>15133.1</v>
      </c>
      <c r="Z10">
        <f ca="1">IF(AND(ISNUMBER($Z$81),$B$69=1),$Z$81,HLOOKUP(INDIRECT(ADDRESS(2,COLUMN())),OFFSET($CL$2,0,0,ROW()-1,84),ROW()-1,FALSE))</f>
        <v>14215.03</v>
      </c>
      <c r="AA10">
        <f ca="1">IF(AND(ISNUMBER($AA$81),$B$69=1),$AA$81,HLOOKUP(INDIRECT(ADDRESS(2,COLUMN())),OFFSET($CL$2,0,0,ROW()-1,84),ROW()-1,FALSE))</f>
        <v>18046.82</v>
      </c>
      <c r="AB10">
        <f ca="1">IF(AND(ISNUMBER($AB$81),$B$69=1),$AB$81,HLOOKUP(INDIRECT(ADDRESS(2,COLUMN())),OFFSET($CL$2,0,0,ROW()-1,84),ROW()-1,FALSE))</f>
        <v>13684.437</v>
      </c>
      <c r="AC10">
        <f ca="1">IF(AND(ISNUMBER($AC$81),$B$69=1),$AC$81,HLOOKUP(INDIRECT(ADDRESS(2,COLUMN())),OFFSET($CL$2,0,0,ROW()-1,84),ROW()-1,FALSE))</f>
        <v>17777.097000000002</v>
      </c>
      <c r="AD10">
        <f ca="1">IF(AND(ISNUMBER($AD$81),$B$69=1),$AD$81,HLOOKUP(INDIRECT(ADDRESS(2,COLUMN())),OFFSET($CL$2,0,0,ROW()-1,84),ROW()-1,FALSE))</f>
        <v>16409.505000000001</v>
      </c>
      <c r="AE10">
        <f ca="1">IF(AND(ISNUMBER($AE$81),$B$69=1),$AE$81,HLOOKUP(INDIRECT(ADDRESS(2,COLUMN())),OFFSET($CL$2,0,0,ROW()-1,84),ROW()-1,FALSE))</f>
        <v>15619.388000000001</v>
      </c>
      <c r="AF10">
        <f ca="1">IF(AND(ISNUMBER($AF$81),$B$69=1),$AF$81,HLOOKUP(INDIRECT(ADDRESS(2,COLUMN())),OFFSET($CL$2,0,0,ROW()-1,84),ROW()-1,FALSE))</f>
        <v>15965.427</v>
      </c>
      <c r="AG10">
        <f ca="1">IF(AND(ISNUMBER($AG$81),$B$69=1),$AG$81,HLOOKUP(INDIRECT(ADDRESS(2,COLUMN())),OFFSET($CL$2,0,0,ROW()-1,84),ROW()-1,FALSE))</f>
        <v>16091.297</v>
      </c>
      <c r="AH10">
        <f ca="1">IF(AND(ISNUMBER($AH$81),$B$69=1),$AH$81,HLOOKUP(INDIRECT(ADDRESS(2,COLUMN())),OFFSET($CL$2,0,0,ROW()-1,84),ROW()-1,FALSE))</f>
        <v>15284.91</v>
      </c>
      <c r="AI10">
        <f ca="1">IF(AND(ISNUMBER($AI$81),$B$69=1),$AI$81,HLOOKUP(INDIRECT(ADDRESS(2,COLUMN())),OFFSET($CL$2,0,0,ROW()-1,84),ROW()-1,FALSE))</f>
        <v>15937.161</v>
      </c>
      <c r="AJ10">
        <f ca="1">IF(AND(ISNUMBER($AJ$81),$B$69=1),$AJ$81,HLOOKUP(INDIRECT(ADDRESS(2,COLUMN())),OFFSET($CL$2,0,0,ROW()-1,84),ROW()-1,FALSE))</f>
        <v>16361.102999999999</v>
      </c>
      <c r="AK10">
        <f ca="1">IF(AND(ISNUMBER($AK$81),$B$69=1),$AK$81,HLOOKUP(INDIRECT(ADDRESS(2,COLUMN())),OFFSET($CL$2,0,0,ROW()-1,84),ROW()-1,FALSE))</f>
        <v>17101.742999999999</v>
      </c>
      <c r="AL10">
        <f ca="1">IF(AND(ISNUMBER($AL$81),$B$69=1),$AL$81,HLOOKUP(INDIRECT(ADDRESS(2,COLUMN())),OFFSET($CL$2,0,0,ROW()-1,84),ROW()-1,FALSE))</f>
        <v>14980.808000000001</v>
      </c>
      <c r="AM10">
        <f ca="1">IF(AND(ISNUMBER($AM$81),$B$69=1),$AM$81,HLOOKUP(INDIRECT(ADDRESS(2,COLUMN())),OFFSET($CL$2,0,0,ROW()-1,84),ROW()-1,FALSE))</f>
        <v>16391.848999999998</v>
      </c>
      <c r="AN10">
        <f ca="1">IF(AND(ISNUMBER($AN$81),$B$69=1),$AN$81,HLOOKUP(INDIRECT(ADDRESS(2,COLUMN())),OFFSET($CL$2,0,0,ROW()-1,84),ROW()-1,FALSE))</f>
        <v>14684.215</v>
      </c>
      <c r="AO10">
        <f ca="1">IF(AND(ISNUMBER($AO$81),$B$69=1),$AO$81,HLOOKUP(INDIRECT(ADDRESS(2,COLUMN())),OFFSET($CL$2,0,0,ROW()-1,84),ROW()-1,FALSE))</f>
        <v>16039.441999999999</v>
      </c>
      <c r="AP10">
        <f ca="1">IF(AND(ISNUMBER($AP$81),$B$69=1),$AP$81,HLOOKUP(INDIRECT(ADDRESS(2,COLUMN())),OFFSET($CL$2,0,0,ROW()-1,84),ROW()-1,FALSE))</f>
        <v>15303.764999999999</v>
      </c>
      <c r="AQ10">
        <f ca="1">IF(AND(ISNUMBER($AQ$81),$B$69=1),$AQ$81,HLOOKUP(INDIRECT(ADDRESS(2,COLUMN())),OFFSET($CL$2,0,0,ROW()-1,84),ROW()-1,FALSE))</f>
        <v>15845.503000000001</v>
      </c>
      <c r="AR10">
        <f ca="1">IF(AND(ISNUMBER($AR$81),$B$69=1),$AR$81,HLOOKUP(INDIRECT(ADDRESS(2,COLUMN())),OFFSET($CL$2,0,0,ROW()-1,84),ROW()-1,FALSE))</f>
        <v>16410.314999999999</v>
      </c>
      <c r="AS10">
        <f ca="1">IF(AND(ISNUMBER($AS$81),$B$69=1),$AS$81,HLOOKUP(INDIRECT(ADDRESS(2,COLUMN())),OFFSET($CL$2,0,0,ROW()-1,84),ROW()-1,FALSE))</f>
        <v>16994.061000000002</v>
      </c>
      <c r="AT10">
        <f ca="1">IF(AND(ISNUMBER($AT$81),$B$69=1),$AT$81,HLOOKUP(INDIRECT(ADDRESS(2,COLUMN())),OFFSET($CL$2,0,0,ROW()-1,84),ROW()-1,FALSE))</f>
        <v>17321.462</v>
      </c>
      <c r="AU10">
        <f ca="1">IF(AND(ISNUMBER($AU$81),$B$69=1),$AU$81,HLOOKUP(INDIRECT(ADDRESS(2,COLUMN())),OFFSET($CL$2,0,0,ROW()-1,84),ROW()-1,FALSE))</f>
        <v>15504.239</v>
      </c>
      <c r="AV10">
        <f ca="1">IF(AND(ISNUMBER($AV$81),$B$69=1),$AV$81,HLOOKUP(INDIRECT(ADDRESS(2,COLUMN())),OFFSET($CL$2,0,0,ROW()-1,84),ROW()-1,FALSE))</f>
        <v>15589.296</v>
      </c>
      <c r="AW10">
        <f ca="1">IF(AND(ISNUMBER($AW$81),$B$69=1),$AW$81,HLOOKUP(INDIRECT(ADDRESS(2,COLUMN())),OFFSET($CL$2,0,0,ROW()-1,84),ROW()-1,FALSE))</f>
        <v>17106.952000000001</v>
      </c>
      <c r="AX10">
        <f ca="1">IF(AND(ISNUMBER($AX$81),$B$69=1),$AX$81,HLOOKUP(INDIRECT(ADDRESS(2,COLUMN())),OFFSET($CL$2,0,0,ROW()-1,84),ROW()-1,FALSE))</f>
        <v>16285.841</v>
      </c>
      <c r="AY10">
        <f ca="1">IF(AND(ISNUMBER($AY$81),$B$69=1),$AY$81,HLOOKUP(INDIRECT(ADDRESS(2,COLUMN())),OFFSET($CL$2,0,0,ROW()-1,84),ROW()-1,FALSE))</f>
        <v>17243.555</v>
      </c>
      <c r="AZ10">
        <f ca="1">IF(AND(ISNUMBER($AZ$81),$B$69=1),$AZ$81,HLOOKUP(INDIRECT(ADDRESS(2,COLUMN())),OFFSET($CL$2,0,0,ROW()-1,84),ROW()-1,FALSE))</f>
        <v>18106.026000000002</v>
      </c>
      <c r="BA10">
        <f ca="1">IF(AND(ISNUMBER($BA$81),$B$69=1),$BA$81,HLOOKUP(INDIRECT(ADDRESS(2,COLUMN())),OFFSET($CL$2,0,0,ROW()-1,84),ROW()-1,FALSE))</f>
        <v>17012.256000000001</v>
      </c>
      <c r="BB10">
        <f ca="1">IF(AND(ISNUMBER($BB$81),$B$69=1),$BB$81,HLOOKUP(INDIRECT(ADDRESS(2,COLUMN())),OFFSET($CL$2,0,0,ROW()-1,84),ROW()-1,FALSE))</f>
        <v>18094.833999999999</v>
      </c>
      <c r="BC10">
        <f ca="1">IF(AND(ISNUMBER($BC$81),$B$69=1),$BC$81,HLOOKUP(INDIRECT(ADDRESS(2,COLUMN())),OFFSET($CL$2,0,0,ROW()-1,84),ROW()-1,FALSE))</f>
        <v>16538.512999999999</v>
      </c>
      <c r="BD10">
        <f ca="1">IF(AND(ISNUMBER($BD$81),$B$69=1),$BD$81,HLOOKUP(INDIRECT(ADDRESS(2,COLUMN())),OFFSET($CL$2,0,0,ROW()-1,84),ROW()-1,FALSE))</f>
        <v>16506.652999999998</v>
      </c>
      <c r="BE10">
        <f ca="1">IF(AND(ISNUMBER($BE$81),$B$69=1),$BE$81,HLOOKUP(INDIRECT(ADDRESS(2,COLUMN())),OFFSET($CL$2,0,0,ROW()-1,84),ROW()-1,FALSE))</f>
        <v>16825.09</v>
      </c>
      <c r="BF10">
        <f ca="1">IF(AND(ISNUMBER($BF$81),$B$69=1),$BF$81,HLOOKUP(INDIRECT(ADDRESS(2,COLUMN())),OFFSET($CL$2,0,0,ROW()-1,84),ROW()-1,FALSE))</f>
        <v>20479.974999999999</v>
      </c>
      <c r="BG10">
        <f ca="1">IF(AND(ISNUMBER($BG$81),$B$69=1),$BG$81,HLOOKUP(INDIRECT(ADDRESS(2,COLUMN())),OFFSET($CL$2,0,0,ROW()-1,84),ROW()-1,FALSE))</f>
        <v>21614.192999999999</v>
      </c>
      <c r="BH10">
        <f ca="1">IF(AND(ISNUMBER($BH$81),$B$69=1),$BH$81,HLOOKUP(INDIRECT(ADDRESS(2,COLUMN())),OFFSET($CL$2,0,0,ROW()-1,84),ROW()-1,FALSE))</f>
        <v>20831.094000000001</v>
      </c>
      <c r="BI10">
        <f ca="1">IF(AND(ISNUMBER($BI$81),$B$69=1),$BI$81,HLOOKUP(INDIRECT(ADDRESS(2,COLUMN())),OFFSET($CL$2,0,0,ROW()-1,84),ROW()-1,FALSE))</f>
        <v>16108.416999999999</v>
      </c>
      <c r="BJ10">
        <f ca="1">IF(AND(ISNUMBER($BJ$81),$B$69=1),$BJ$81,HLOOKUP(INDIRECT(ADDRESS(2,COLUMN())),OFFSET($CL$2,0,0,ROW()-1,84),ROW()-1,FALSE))</f>
        <v>18280.132000000001</v>
      </c>
      <c r="BK10">
        <f ca="1">IF(AND(ISNUMBER($BK$81),$B$69=1),$BK$81,HLOOKUP(INDIRECT(ADDRESS(2,COLUMN())),OFFSET($CL$2,0,0,ROW()-1,84),ROW()-1,FALSE))</f>
        <v>19047.532999999999</v>
      </c>
      <c r="BL10">
        <f ca="1">IF(AND(ISNUMBER($BL$81),$B$69=1),$BL$81,HLOOKUP(INDIRECT(ADDRESS(2,COLUMN())),OFFSET($CL$2,0,0,ROW()-1,84),ROW()-1,FALSE))</f>
        <v>19508.078000000001</v>
      </c>
      <c r="BM10">
        <f ca="1">IF(AND(ISNUMBER($BM$81),$B$69=1),$BM$81,HLOOKUP(INDIRECT(ADDRESS(2,COLUMN())),OFFSET($CL$2,0,0,ROW()-1,84),ROW()-1,FALSE))</f>
        <v>18719.798999999999</v>
      </c>
      <c r="BN10">
        <f ca="1">IF(AND(ISNUMBER($BN$81),$B$69=1),$BN$81,HLOOKUP(INDIRECT(ADDRESS(2,COLUMN())),OFFSET($CL$2,0,0,ROW()-1,84),ROW()-1,FALSE))</f>
        <v>19777.396000000001</v>
      </c>
      <c r="BO10">
        <f ca="1">IF(AND(ISNUMBER($BO$81),$B$69=1),$BO$81,HLOOKUP(INDIRECT(ADDRESS(2,COLUMN())),OFFSET($CL$2,0,0,ROW()-1,84),ROW()-1,FALSE))</f>
        <v>17270.541000000001</v>
      </c>
      <c r="BP10">
        <f ca="1">IF(AND(ISNUMBER($BP$81),$B$69=1),$BP$81,HLOOKUP(INDIRECT(ADDRESS(2,COLUMN())),OFFSET($CL$2,0,0,ROW()-1,84),ROW()-1,FALSE))</f>
        <v>20093.675999999999</v>
      </c>
      <c r="BQ10">
        <f ca="1">IF(AND(ISNUMBER($BQ$81),$B$69=1),$BQ$81,HLOOKUP(INDIRECT(ADDRESS(2,COLUMN())),OFFSET($CL$2,0,0,ROW()-1,84),ROW()-1,FALSE))</f>
        <v>16746.535</v>
      </c>
      <c r="BR10">
        <f ca="1">IF(AND(ISNUMBER($BR$81),$B$69=1),$BR$81,HLOOKUP(INDIRECT(ADDRESS(2,COLUMN())),OFFSET($CL$2,0,0,ROW()-1,84),ROW()-1,FALSE))</f>
        <v>17565.493999999999</v>
      </c>
      <c r="BS10">
        <f ca="1">IF(AND(ISNUMBER($BS$81),$B$69=1),$BS$81,HLOOKUP(INDIRECT(ADDRESS(2,COLUMN())),OFFSET($CL$2,0,0,ROW()-1,84),ROW()-1,FALSE))</f>
        <v>17643.295999999998</v>
      </c>
      <c r="BT10">
        <f ca="1">IF(AND(ISNUMBER($BT$81),$B$69=1),$BT$81,HLOOKUP(INDIRECT(ADDRESS(2,COLUMN())),OFFSET($CL$2,0,0,ROW()-1,84),ROW()-1,FALSE))</f>
        <v>18366.060000000001</v>
      </c>
      <c r="BU10">
        <f ca="1">IF(AND(ISNUMBER($BU$81),$B$69=1),$BU$81,HLOOKUP(INDIRECT(ADDRESS(2,COLUMN())),OFFSET($CL$2,0,0,ROW()-1,84),ROW()-1,FALSE))</f>
        <v>18204.091</v>
      </c>
      <c r="BV10">
        <f ca="1">IF(AND(ISNUMBER($BV$81),$B$69=1),$BV$81,HLOOKUP(INDIRECT(ADDRESS(2,COLUMN())),OFFSET($CL$2,0,0,ROW()-1,84),ROW()-1,FALSE))</f>
        <v>17962.267</v>
      </c>
      <c r="BW10">
        <f ca="1">IF(AND(ISNUMBER($BW$81),$B$69=1),$BW$81,HLOOKUP(INDIRECT(ADDRESS(2,COLUMN())),OFFSET($CL$2,0,0,ROW()-1,84),ROW()-1,FALSE))</f>
        <v>19668.190999999999</v>
      </c>
      <c r="BX10">
        <f ca="1">IF(AND(ISNUMBER($BX$81),$B$69=1),$BX$81,HLOOKUP(INDIRECT(ADDRESS(2,COLUMN())),OFFSET($CL$2,0,0,ROW()-1,84),ROW()-1,FALSE))</f>
        <v>20208.155999999999</v>
      </c>
      <c r="BY10">
        <f ca="1">IF(AND(ISNUMBER($BY$81),$B$69=1),$BY$81,HLOOKUP(INDIRECT(ADDRESS(2,COLUMN())),OFFSET($CL$2,0,0,ROW()-1,84),ROW()-1,FALSE))</f>
        <v>19673.517</v>
      </c>
      <c r="BZ10">
        <f ca="1">IF(AND(ISNUMBER($BZ$81),$B$69=1),$BZ$81,HLOOKUP(INDIRECT(ADDRESS(2,COLUMN())),OFFSET($CL$2,0,0,ROW()-1,84),ROW()-1,FALSE))</f>
        <v>21178.799999999999</v>
      </c>
      <c r="CA10">
        <f ca="1">IF(AND(ISNUMBER($CA$81),$B$69=1),$CA$81,HLOOKUP(INDIRECT(ADDRESS(2,COLUMN())),OFFSET($CL$2,0,0,ROW()-1,84),ROW()-1,FALSE))</f>
        <v>20589.838</v>
      </c>
      <c r="CB10">
        <f ca="1">IF(AND(ISNUMBER($CB$81),$B$69=1),$CB$81,HLOOKUP(INDIRECT(ADDRESS(2,COLUMN())),OFFSET($CL$2,0,0,ROW()-1,84),ROW()-1,FALSE))</f>
        <v>18932.904999999999</v>
      </c>
      <c r="CC10">
        <f ca="1">IF(AND(ISNUMBER($CC$81),$B$69=1),$CC$81,HLOOKUP(INDIRECT(ADDRESS(2,COLUMN())),OFFSET($CL$2,0,0,ROW()-1,84),ROW()-1,FALSE))</f>
        <v>16874.008999999998</v>
      </c>
      <c r="CD10">
        <f ca="1">IF(AND(ISNUMBER($CD$81),$B$69=1),$CD$81,HLOOKUP(INDIRECT(ADDRESS(2,COLUMN())),OFFSET($CL$2,0,0,ROW()-1,84),ROW()-1,FALSE))</f>
        <v>17891.928</v>
      </c>
      <c r="CE10">
        <f ca="1">IF(AND(ISNUMBER($CE$81),$B$69=1),$CE$81,HLOOKUP(INDIRECT(ADDRESS(2,COLUMN())),OFFSET($CL$2,0,0,ROW()-1,84),ROW()-1,FALSE))</f>
        <v>18882.13</v>
      </c>
      <c r="CF10">
        <f ca="1">IF(AND(ISNUMBER($CF$81),$B$69=1),$CF$81,HLOOKUP(INDIRECT(ADDRESS(2,COLUMN())),OFFSET($CL$2,0,0,ROW()-1,84),ROW()-1,FALSE))</f>
        <v>18617.633999999998</v>
      </c>
      <c r="CG10">
        <f ca="1">IF(AND(ISNUMBER($CG$81),$B$69=1),$CG$81,HLOOKUP(INDIRECT(ADDRESS(2,COLUMN())),OFFSET($CL$2,0,0,ROW()-1,84),ROW()-1,FALSE))</f>
        <v>19702.922999999999</v>
      </c>
      <c r="CH10">
        <f ca="1">IF(AND(ISNUMBER($CH$81),$B$69=1),$CH$81,HLOOKUP(INDIRECT(ADDRESS(2,COLUMN())),OFFSET($CL$2,0,0,ROW()-1,84),ROW()-1,FALSE))</f>
        <v>19853.763999999999</v>
      </c>
      <c r="CI10">
        <f ca="1">IF(AND(ISNUMBER($CI$81),$B$69=1),$CI$81,HLOOKUP(INDIRECT(ADDRESS(2,COLUMN())),OFFSET($CL$2,0,0,ROW()-1,84),ROW()-1,FALSE))</f>
        <v>20633.152999999998</v>
      </c>
      <c r="CJ10">
        <f ca="1">IF(AND(ISNUMBER($CJ$81),$B$69=1),$CJ$81,HLOOKUP(INDIRECT(ADDRESS(2,COLUMN())),OFFSET($CL$2,0,0,ROW()-1,84),ROW()-1,FALSE))</f>
        <v>20081.096000000001</v>
      </c>
      <c r="CK10">
        <f ca="1">IF(AND(ISNUMBER($CK$81),$B$69=1),$CK$81,HLOOKUP(INDIRECT(ADDRESS(2,COLUMN())),OFFSET($CL$2,0,0,ROW()-1,84),ROW()-1,FALSE))</f>
        <v>19452.893</v>
      </c>
      <c r="CL10" t="str">
        <f>""</f>
        <v/>
      </c>
      <c r="CM10">
        <f>14688.28</f>
        <v>14688.28</v>
      </c>
      <c r="CN10">
        <f>16366.02</f>
        <v>16366.02</v>
      </c>
      <c r="CO10">
        <f>16861.7</f>
        <v>16861.7</v>
      </c>
      <c r="CP10">
        <f>16406.6</f>
        <v>16406.599999999999</v>
      </c>
      <c r="CQ10">
        <f>14205.23</f>
        <v>14205.23</v>
      </c>
      <c r="CR10">
        <f>15821.44</f>
        <v>15821.44</v>
      </c>
      <c r="CS10">
        <f>15358.67896</f>
        <v>15358.678959999999</v>
      </c>
      <c r="CT10">
        <f>17008.42</f>
        <v>17008.419999999998</v>
      </c>
      <c r="CU10">
        <f>16384.5499</f>
        <v>16384.549900000002</v>
      </c>
      <c r="CV10">
        <f>16244.2</f>
        <v>16244.2</v>
      </c>
      <c r="CW10">
        <f>16122.94023</f>
        <v>16122.94023</v>
      </c>
      <c r="CX10">
        <f>15917.49</f>
        <v>15917.49</v>
      </c>
      <c r="CY10">
        <f>15915.8</f>
        <v>15915.8</v>
      </c>
      <c r="CZ10">
        <f>16550.61</f>
        <v>16550.61</v>
      </c>
      <c r="DA10">
        <f>16522.52</f>
        <v>16522.52</v>
      </c>
      <c r="DB10">
        <f>15933.28</f>
        <v>15933.28</v>
      </c>
      <c r="DC10">
        <f>14760.1</f>
        <v>14760.1</v>
      </c>
      <c r="DD10">
        <f>14994.1</f>
        <v>14994.1</v>
      </c>
      <c r="DE10">
        <f>15133.1</f>
        <v>15133.1</v>
      </c>
      <c r="DF10">
        <f>14215.03</f>
        <v>14215.03</v>
      </c>
      <c r="DG10">
        <f>18046.82</f>
        <v>18046.82</v>
      </c>
      <c r="DH10">
        <f>13684.437</f>
        <v>13684.437</v>
      </c>
      <c r="DI10">
        <f>17777.097</f>
        <v>17777.097000000002</v>
      </c>
      <c r="DJ10">
        <f>16409.505</f>
        <v>16409.505000000001</v>
      </c>
      <c r="DK10">
        <f>15619.388</f>
        <v>15619.388000000001</v>
      </c>
      <c r="DL10">
        <f>15965.427</f>
        <v>15965.427</v>
      </c>
      <c r="DM10">
        <f>16091.297</f>
        <v>16091.297</v>
      </c>
      <c r="DN10">
        <f>15284.91</f>
        <v>15284.91</v>
      </c>
      <c r="DO10">
        <f>15937.161</f>
        <v>15937.161</v>
      </c>
      <c r="DP10">
        <f>16361.103</f>
        <v>16361.102999999999</v>
      </c>
      <c r="DQ10">
        <f>17101.743</f>
        <v>17101.742999999999</v>
      </c>
      <c r="DR10">
        <f>14980.808</f>
        <v>14980.808000000001</v>
      </c>
      <c r="DS10">
        <f>16391.849</f>
        <v>16391.848999999998</v>
      </c>
      <c r="DT10">
        <f>14684.215</f>
        <v>14684.215</v>
      </c>
      <c r="DU10">
        <f>16039.442</f>
        <v>16039.441999999999</v>
      </c>
      <c r="DV10">
        <f>15303.765</f>
        <v>15303.764999999999</v>
      </c>
      <c r="DW10">
        <f>15845.503</f>
        <v>15845.503000000001</v>
      </c>
      <c r="DX10">
        <f>16410.315</f>
        <v>16410.314999999999</v>
      </c>
      <c r="DY10">
        <f>16994.061</f>
        <v>16994.061000000002</v>
      </c>
      <c r="DZ10">
        <f>17321.462</f>
        <v>17321.462</v>
      </c>
      <c r="EA10">
        <f>15504.239</f>
        <v>15504.239</v>
      </c>
      <c r="EB10">
        <f>15589.296</f>
        <v>15589.296</v>
      </c>
      <c r="EC10">
        <f>17106.952</f>
        <v>17106.952000000001</v>
      </c>
      <c r="ED10">
        <f>16285.841</f>
        <v>16285.841</v>
      </c>
      <c r="EE10">
        <f>17243.555</f>
        <v>17243.555</v>
      </c>
      <c r="EF10">
        <f>18106.026</f>
        <v>18106.026000000002</v>
      </c>
      <c r="EG10">
        <f>17012.256</f>
        <v>17012.256000000001</v>
      </c>
      <c r="EH10">
        <f>18094.834</f>
        <v>18094.833999999999</v>
      </c>
      <c r="EI10">
        <f>16538.513</f>
        <v>16538.512999999999</v>
      </c>
      <c r="EJ10">
        <f>16506.653</f>
        <v>16506.652999999998</v>
      </c>
      <c r="EK10">
        <f>16825.09</f>
        <v>16825.09</v>
      </c>
      <c r="EL10">
        <f>20479.975</f>
        <v>20479.974999999999</v>
      </c>
      <c r="EM10">
        <f>21614.193</f>
        <v>21614.192999999999</v>
      </c>
      <c r="EN10">
        <f>20831.094</f>
        <v>20831.094000000001</v>
      </c>
      <c r="EO10">
        <f>16108.417</f>
        <v>16108.416999999999</v>
      </c>
      <c r="EP10">
        <f>18280.132</f>
        <v>18280.132000000001</v>
      </c>
      <c r="EQ10">
        <f>19047.533</f>
        <v>19047.532999999999</v>
      </c>
      <c r="ER10">
        <f>19508.078</f>
        <v>19508.078000000001</v>
      </c>
      <c r="ES10">
        <f>18719.799</f>
        <v>18719.798999999999</v>
      </c>
      <c r="ET10">
        <f>19777.396</f>
        <v>19777.396000000001</v>
      </c>
      <c r="EU10">
        <f>17270.541</f>
        <v>17270.541000000001</v>
      </c>
      <c r="EV10">
        <f>20093.676</f>
        <v>20093.675999999999</v>
      </c>
      <c r="EW10">
        <f>16746.535</f>
        <v>16746.535</v>
      </c>
      <c r="EX10">
        <f>17565.494</f>
        <v>17565.493999999999</v>
      </c>
      <c r="EY10">
        <f>17643.296</f>
        <v>17643.295999999998</v>
      </c>
      <c r="EZ10">
        <f>18366.06</f>
        <v>18366.060000000001</v>
      </c>
      <c r="FA10">
        <f>18204.091</f>
        <v>18204.091</v>
      </c>
      <c r="FB10">
        <f>17962.267</f>
        <v>17962.267</v>
      </c>
      <c r="FC10">
        <f>19668.191</f>
        <v>19668.190999999999</v>
      </c>
      <c r="FD10">
        <f>20208.156</f>
        <v>20208.155999999999</v>
      </c>
      <c r="FE10">
        <f>19673.517</f>
        <v>19673.517</v>
      </c>
      <c r="FF10">
        <f>21178.8</f>
        <v>21178.799999999999</v>
      </c>
      <c r="FG10">
        <f>20589.838</f>
        <v>20589.838</v>
      </c>
      <c r="FH10">
        <f>18932.905</f>
        <v>18932.904999999999</v>
      </c>
      <c r="FI10">
        <f>16874.009</f>
        <v>16874.008999999998</v>
      </c>
      <c r="FJ10">
        <f>17891.928</f>
        <v>17891.928</v>
      </c>
      <c r="FK10">
        <f>18882.13</f>
        <v>18882.13</v>
      </c>
      <c r="FL10">
        <f>18617.634</f>
        <v>18617.633999999998</v>
      </c>
      <c r="FM10">
        <f>19702.923</f>
        <v>19702.922999999999</v>
      </c>
      <c r="FN10">
        <f>19853.764</f>
        <v>19853.763999999999</v>
      </c>
      <c r="FO10">
        <f>20633.153</f>
        <v>20633.152999999998</v>
      </c>
      <c r="FP10">
        <f>20081.096</f>
        <v>20081.096000000001</v>
      </c>
      <c r="FQ10">
        <f>19452.893</f>
        <v>19452.893</v>
      </c>
    </row>
    <row r="11" spans="1:173" x14ac:dyDescent="0.25">
      <c r="A11" t="str">
        <f>"            Non-Oil Bulk (000 tonnes)"</f>
        <v xml:space="preserve">            Non-Oil Bulk (000 tonnes)</v>
      </c>
      <c r="B11" t="str">
        <f>"SIVSNOIL Index"</f>
        <v>SIVSNOIL Index</v>
      </c>
      <c r="C11" t="str">
        <f>"PR005"</f>
        <v>PR005</v>
      </c>
      <c r="D11" t="str">
        <f>"PX_LAST"</f>
        <v>PX_LAST</v>
      </c>
      <c r="E11" t="str">
        <f>"Dynamic"</f>
        <v>Dynamic</v>
      </c>
      <c r="F11" t="str">
        <f ca="1">IF(AND(ISNUMBER($F$82),$B$69=1),$F$82,HLOOKUP(INDIRECT(ADDRESS(2,COLUMN())),OFFSET($CL$2,0,0,ROW()-1,84),ROW()-1,FALSE))</f>
        <v/>
      </c>
      <c r="G11">
        <f ca="1">IF(AND(ISNUMBER($G$82),$B$69=1),$G$82,HLOOKUP(INDIRECT(ADDRESS(2,COLUMN())),OFFSET($CL$2,0,0,ROW()-1,84),ROW()-1,FALSE))</f>
        <v>1773.94</v>
      </c>
      <c r="H11">
        <f ca="1">IF(AND(ISNUMBER($H$82),$B$69=1),$H$82,HLOOKUP(INDIRECT(ADDRESS(2,COLUMN())),OFFSET($CL$2,0,0,ROW()-1,84),ROW()-1,FALSE))</f>
        <v>1543.64</v>
      </c>
      <c r="I11">
        <f ca="1">IF(AND(ISNUMBER($I$82),$B$69=1),$I$82,HLOOKUP(INDIRECT(ADDRESS(2,COLUMN())),OFFSET($CL$2,0,0,ROW()-1,84),ROW()-1,FALSE))</f>
        <v>1703.01</v>
      </c>
      <c r="J11">
        <f ca="1">IF(AND(ISNUMBER($J$82),$B$69=1),$J$82,HLOOKUP(INDIRECT(ADDRESS(2,COLUMN())),OFFSET($CL$2,0,0,ROW()-1,84),ROW()-1,FALSE))</f>
        <v>1893.22</v>
      </c>
      <c r="K11">
        <f ca="1">IF(AND(ISNUMBER($K$82),$B$69=1),$K$82,HLOOKUP(INDIRECT(ADDRESS(2,COLUMN())),OFFSET($CL$2,0,0,ROW()-1,84),ROW()-1,FALSE))</f>
        <v>1932.09</v>
      </c>
      <c r="L11">
        <f ca="1">IF(AND(ISNUMBER($L$82),$B$69=1),$L$82,HLOOKUP(INDIRECT(ADDRESS(2,COLUMN())),OFFSET($CL$2,0,0,ROW()-1,84),ROW()-1,FALSE))</f>
        <v>1581.31</v>
      </c>
      <c r="M11">
        <f ca="1">IF(AND(ISNUMBER($M$82),$B$69=1),$M$82,HLOOKUP(INDIRECT(ADDRESS(2,COLUMN())),OFFSET($CL$2,0,0,ROW()-1,84),ROW()-1,FALSE))</f>
        <v>2032.28</v>
      </c>
      <c r="N11">
        <f ca="1">IF(AND(ISNUMBER($N$82),$B$69=1),$N$82,HLOOKUP(INDIRECT(ADDRESS(2,COLUMN())),OFFSET($CL$2,0,0,ROW()-1,84),ROW()-1,FALSE))</f>
        <v>1465.36</v>
      </c>
      <c r="O11">
        <f ca="1">IF(AND(ISNUMBER($O$82),$B$69=1),$O$82,HLOOKUP(INDIRECT(ADDRESS(2,COLUMN())),OFFSET($CL$2,0,0,ROW()-1,84),ROW()-1,FALSE))</f>
        <v>2235.4899999999998</v>
      </c>
      <c r="P11">
        <f ca="1">IF(AND(ISNUMBER($P$82),$B$69=1),$P$82,HLOOKUP(INDIRECT(ADDRESS(2,COLUMN())),OFFSET($CL$2,0,0,ROW()-1,84),ROW()-1,FALSE))</f>
        <v>2597.69</v>
      </c>
      <c r="Q11">
        <f ca="1">IF(AND(ISNUMBER($Q$82),$B$69=1),$Q$82,HLOOKUP(INDIRECT(ADDRESS(2,COLUMN())),OFFSET($CL$2,0,0,ROW()-1,84),ROW()-1,FALSE))</f>
        <v>1532.01</v>
      </c>
      <c r="R11">
        <f ca="1">IF(AND(ISNUMBER($R$82),$B$69=1),$R$82,HLOOKUP(INDIRECT(ADDRESS(2,COLUMN())),OFFSET($CL$2,0,0,ROW()-1,84),ROW()-1,FALSE))</f>
        <v>1799.07</v>
      </c>
      <c r="S11">
        <f ca="1">IF(AND(ISNUMBER($S$82),$B$69=1),$S$82,HLOOKUP(INDIRECT(ADDRESS(2,COLUMN())),OFFSET($CL$2,0,0,ROW()-1,84),ROW()-1,FALSE))</f>
        <v>1807.57</v>
      </c>
      <c r="T11">
        <f ca="1">IF(AND(ISNUMBER($T$82),$B$69=1),$T$82,HLOOKUP(INDIRECT(ADDRESS(2,COLUMN())),OFFSET($CL$2,0,0,ROW()-1,84),ROW()-1,FALSE))</f>
        <v>1524.32</v>
      </c>
      <c r="U11">
        <f ca="1">IF(AND(ISNUMBER($U$82),$B$69=1),$U$82,HLOOKUP(INDIRECT(ADDRESS(2,COLUMN())),OFFSET($CL$2,0,0,ROW()-1,84),ROW()-1,FALSE))</f>
        <v>1899.96</v>
      </c>
      <c r="V11">
        <f ca="1">IF(AND(ISNUMBER($V$82),$B$69=1),$V$82,HLOOKUP(INDIRECT(ADDRESS(2,COLUMN())),OFFSET($CL$2,0,0,ROW()-1,84),ROW()-1,FALSE))</f>
        <v>1426.06</v>
      </c>
      <c r="W11">
        <f ca="1">IF(AND(ISNUMBER($W$82),$B$69=1),$W$82,HLOOKUP(INDIRECT(ADDRESS(2,COLUMN())),OFFSET($CL$2,0,0,ROW()-1,84),ROW()-1,FALSE))</f>
        <v>1741.23</v>
      </c>
      <c r="X11">
        <f ca="1">IF(AND(ISNUMBER($X$82),$B$69=1),$X$82,HLOOKUP(INDIRECT(ADDRESS(2,COLUMN())),OFFSET($CL$2,0,0,ROW()-1,84),ROW()-1,FALSE))</f>
        <v>1417.84</v>
      </c>
      <c r="Y11">
        <f ca="1">IF(AND(ISNUMBER($Y$82),$B$69=1),$Y$82,HLOOKUP(INDIRECT(ADDRESS(2,COLUMN())),OFFSET($CL$2,0,0,ROW()-1,84),ROW()-1,FALSE))</f>
        <v>1788.61</v>
      </c>
      <c r="Z11">
        <f ca="1">IF(AND(ISNUMBER($Z$82),$B$69=1),$Z$82,HLOOKUP(INDIRECT(ADDRESS(2,COLUMN())),OFFSET($CL$2,0,0,ROW()-1,84),ROW()-1,FALSE))</f>
        <v>1478.34</v>
      </c>
      <c r="AA11">
        <f ca="1">IF(AND(ISNUMBER($AA$82),$B$69=1),$AA$82,HLOOKUP(INDIRECT(ADDRESS(2,COLUMN())),OFFSET($CL$2,0,0,ROW()-1,84),ROW()-1,FALSE))</f>
        <v>1747.2</v>
      </c>
      <c r="AB11">
        <f ca="1">IF(AND(ISNUMBER($AB$82),$B$69=1),$AB$82,HLOOKUP(INDIRECT(ADDRESS(2,COLUMN())),OFFSET($CL$2,0,0,ROW()-1,84),ROW()-1,FALSE))</f>
        <v>1677.4036000000001</v>
      </c>
      <c r="AC11">
        <f ca="1">IF(AND(ISNUMBER($AC$82),$B$69=1),$AC$82,HLOOKUP(INDIRECT(ADDRESS(2,COLUMN())),OFFSET($CL$2,0,0,ROW()-1,84),ROW()-1,FALSE))</f>
        <v>2012.98035</v>
      </c>
      <c r="AD11">
        <f ca="1">IF(AND(ISNUMBER($AD$82),$B$69=1),$AD$82,HLOOKUP(INDIRECT(ADDRESS(2,COLUMN())),OFFSET($CL$2,0,0,ROW()-1,84),ROW()-1,FALSE))</f>
        <v>1383.07197</v>
      </c>
      <c r="AE11">
        <f ca="1">IF(AND(ISNUMBER($AE$82),$B$69=1),$AE$82,HLOOKUP(INDIRECT(ADDRESS(2,COLUMN())),OFFSET($CL$2,0,0,ROW()-1,84),ROW()-1,FALSE))</f>
        <v>1747.8323600000001</v>
      </c>
      <c r="AF11">
        <f ca="1">IF(AND(ISNUMBER($AF$82),$B$69=1),$AF$82,HLOOKUP(INDIRECT(ADDRESS(2,COLUMN())),OFFSET($CL$2,0,0,ROW()-1,84),ROW()-1,FALSE))</f>
        <v>1738.6234400000001</v>
      </c>
      <c r="AG11">
        <f ca="1">IF(AND(ISNUMBER($AG$82),$B$69=1),$AG$82,HLOOKUP(INDIRECT(ADDRESS(2,COLUMN())),OFFSET($CL$2,0,0,ROW()-1,84),ROW()-1,FALSE))</f>
        <v>1998.5041900000001</v>
      </c>
      <c r="AH11">
        <f ca="1">IF(AND(ISNUMBER($AH$82),$B$69=1),$AH$82,HLOOKUP(INDIRECT(ADDRESS(2,COLUMN())),OFFSET($CL$2,0,0,ROW()-1,84),ROW()-1,FALSE))</f>
        <v>1685.38788</v>
      </c>
      <c r="AI11">
        <f ca="1">IF(AND(ISNUMBER($AI$82),$B$69=1),$AI$82,HLOOKUP(INDIRECT(ADDRESS(2,COLUMN())),OFFSET($CL$2,0,0,ROW()-1,84),ROW()-1,FALSE))</f>
        <v>2172.9745400000002</v>
      </c>
      <c r="AJ11">
        <f ca="1">IF(AND(ISNUMBER($AJ$82),$B$69=1),$AJ$82,HLOOKUP(INDIRECT(ADDRESS(2,COLUMN())),OFFSET($CL$2,0,0,ROW()-1,84),ROW()-1,FALSE))</f>
        <v>1963.7655099999999</v>
      </c>
      <c r="AK11">
        <f ca="1">IF(AND(ISNUMBER($AK$82),$B$69=1),$AK$82,HLOOKUP(INDIRECT(ADDRESS(2,COLUMN())),OFFSET($CL$2,0,0,ROW()-1,84),ROW()-1,FALSE))</f>
        <v>1856.3030900000001</v>
      </c>
      <c r="AL11">
        <f ca="1">IF(AND(ISNUMBER($AL$82),$B$69=1),$AL$82,HLOOKUP(INDIRECT(ADDRESS(2,COLUMN())),OFFSET($CL$2,0,0,ROW()-1,84),ROW()-1,FALSE))</f>
        <v>2247.1365000000001</v>
      </c>
      <c r="AM11">
        <f ca="1">IF(AND(ISNUMBER($AM$82),$B$69=1),$AM$82,HLOOKUP(INDIRECT(ADDRESS(2,COLUMN())),OFFSET($CL$2,0,0,ROW()-1,84),ROW()-1,FALSE))</f>
        <v>2236.8513800000001</v>
      </c>
      <c r="AN11">
        <f ca="1">IF(AND(ISNUMBER($AN$82),$B$69=1),$AN$82,HLOOKUP(INDIRECT(ADDRESS(2,COLUMN())),OFFSET($CL$2,0,0,ROW()-1,84),ROW()-1,FALSE))</f>
        <v>1995.98236</v>
      </c>
      <c r="AO11">
        <f ca="1">IF(AND(ISNUMBER($AO$82),$B$69=1),$AO$82,HLOOKUP(INDIRECT(ADDRESS(2,COLUMN())),OFFSET($CL$2,0,0,ROW()-1,84),ROW()-1,FALSE))</f>
        <v>1524.86814</v>
      </c>
      <c r="AP11">
        <f ca="1">IF(AND(ISNUMBER($AP$82),$B$69=1),$AP$82,HLOOKUP(INDIRECT(ADDRESS(2,COLUMN())),OFFSET($CL$2,0,0,ROW()-1,84),ROW()-1,FALSE))</f>
        <v>2084.0062400000002</v>
      </c>
      <c r="AQ11">
        <f ca="1">IF(AND(ISNUMBER($AQ$82),$B$69=1),$AQ$82,HLOOKUP(INDIRECT(ADDRESS(2,COLUMN())),OFFSET($CL$2,0,0,ROW()-1,84),ROW()-1,FALSE))</f>
        <v>1620.4228700000001</v>
      </c>
      <c r="AR11">
        <f ca="1">IF(AND(ISNUMBER($AR$82),$B$69=1),$AR$82,HLOOKUP(INDIRECT(ADDRESS(2,COLUMN())),OFFSET($CL$2,0,0,ROW()-1,84),ROW()-1,FALSE))</f>
        <v>1872.26713</v>
      </c>
      <c r="AS11">
        <f ca="1">IF(AND(ISNUMBER($AS$82),$B$69=1),$AS$82,HLOOKUP(INDIRECT(ADDRESS(2,COLUMN())),OFFSET($CL$2,0,0,ROW()-1,84),ROW()-1,FALSE))</f>
        <v>1364.8400300000001</v>
      </c>
      <c r="AT11">
        <f ca="1">IF(AND(ISNUMBER($AT$82),$B$69=1),$AT$82,HLOOKUP(INDIRECT(ADDRESS(2,COLUMN())),OFFSET($CL$2,0,0,ROW()-1,84),ROW()-1,FALSE))</f>
        <v>1580.97514</v>
      </c>
      <c r="AU11">
        <f ca="1">IF(AND(ISNUMBER($AU$82),$B$69=1),$AU$82,HLOOKUP(INDIRECT(ADDRESS(2,COLUMN())),OFFSET($CL$2,0,0,ROW()-1,84),ROW()-1,FALSE))</f>
        <v>1378.3752300000001</v>
      </c>
      <c r="AV11">
        <f ca="1">IF(AND(ISNUMBER($AV$82),$B$69=1),$AV$82,HLOOKUP(INDIRECT(ADDRESS(2,COLUMN())),OFFSET($CL$2,0,0,ROW()-1,84),ROW()-1,FALSE))</f>
        <v>1681.4470699999999</v>
      </c>
      <c r="AW11">
        <f ca="1">IF(AND(ISNUMBER($AW$82),$B$69=1),$AW$82,HLOOKUP(INDIRECT(ADDRESS(2,COLUMN())),OFFSET($CL$2,0,0,ROW()-1,84),ROW()-1,FALSE))</f>
        <v>1660.8221000000001</v>
      </c>
      <c r="AX11">
        <f ca="1">IF(AND(ISNUMBER($AX$82),$B$69=1),$AX$82,HLOOKUP(INDIRECT(ADDRESS(2,COLUMN())),OFFSET($CL$2,0,0,ROW()-1,84),ROW()-1,FALSE))</f>
        <v>1627.0463500000001</v>
      </c>
      <c r="AY11">
        <f ca="1">IF(AND(ISNUMBER($AY$82),$B$69=1),$AY$82,HLOOKUP(INDIRECT(ADDRESS(2,COLUMN())),OFFSET($CL$2,0,0,ROW()-1,84),ROW()-1,FALSE))</f>
        <v>1648.25333</v>
      </c>
      <c r="AZ11">
        <f ca="1">IF(AND(ISNUMBER($AZ$82),$B$69=1),$AZ$82,HLOOKUP(INDIRECT(ADDRESS(2,COLUMN())),OFFSET($CL$2,0,0,ROW()-1,84),ROW()-1,FALSE))</f>
        <v>1545.6545100000001</v>
      </c>
      <c r="BA11">
        <f ca="1">IF(AND(ISNUMBER($BA$82),$B$69=1),$BA$82,HLOOKUP(INDIRECT(ADDRESS(2,COLUMN())),OFFSET($CL$2,0,0,ROW()-1,84),ROW()-1,FALSE))</f>
        <v>1538.3420799999999</v>
      </c>
      <c r="BB11">
        <f ca="1">IF(AND(ISNUMBER($BB$82),$B$69=1),$BB$82,HLOOKUP(INDIRECT(ADDRESS(2,COLUMN())),OFFSET($CL$2,0,0,ROW()-1,84),ROW()-1,FALSE))</f>
        <v>1490.5590099999999</v>
      </c>
      <c r="BC11">
        <f ca="1">IF(AND(ISNUMBER($BC$82),$B$69=1),$BC$82,HLOOKUP(INDIRECT(ADDRESS(2,COLUMN())),OFFSET($CL$2,0,0,ROW()-1,84),ROW()-1,FALSE))</f>
        <v>1498.4038800000001</v>
      </c>
      <c r="BD11">
        <f ca="1">IF(AND(ISNUMBER($BD$82),$B$69=1),$BD$82,HLOOKUP(INDIRECT(ADDRESS(2,COLUMN())),OFFSET($CL$2,0,0,ROW()-1,84),ROW()-1,FALSE))</f>
        <v>1615.2434599999999</v>
      </c>
      <c r="BE11">
        <f ca="1">IF(AND(ISNUMBER($BE$82),$B$69=1),$BE$82,HLOOKUP(INDIRECT(ADDRESS(2,COLUMN())),OFFSET($CL$2,0,0,ROW()-1,84),ROW()-1,FALSE))</f>
        <v>1410.09249</v>
      </c>
      <c r="BF11">
        <f ca="1">IF(AND(ISNUMBER($BF$82),$B$69=1),$BF$82,HLOOKUP(INDIRECT(ADDRESS(2,COLUMN())),OFFSET($CL$2,0,0,ROW()-1,84),ROW()-1,FALSE))</f>
        <v>1582.5949000000001</v>
      </c>
      <c r="BG11">
        <f ca="1">IF(AND(ISNUMBER($BG$82),$B$69=1),$BG$82,HLOOKUP(INDIRECT(ADDRESS(2,COLUMN())),OFFSET($CL$2,0,0,ROW()-1,84),ROW()-1,FALSE))</f>
        <v>1354.1867099999999</v>
      </c>
      <c r="BH11">
        <f ca="1">IF(AND(ISNUMBER($BH$82),$B$69=1),$BH$82,HLOOKUP(INDIRECT(ADDRESS(2,COLUMN())),OFFSET($CL$2,0,0,ROW()-1,84),ROW()-1,FALSE))</f>
        <v>1268.3669199999999</v>
      </c>
      <c r="BI11">
        <f ca="1">IF(AND(ISNUMBER($BI$82),$B$69=1),$BI$82,HLOOKUP(INDIRECT(ADDRESS(2,COLUMN())),OFFSET($CL$2,0,0,ROW()-1,84),ROW()-1,FALSE))</f>
        <v>1604.5198</v>
      </c>
      <c r="BJ11">
        <f ca="1">IF(AND(ISNUMBER($BJ$82),$B$69=1),$BJ$82,HLOOKUP(INDIRECT(ADDRESS(2,COLUMN())),OFFSET($CL$2,0,0,ROW()-1,84),ROW()-1,FALSE))</f>
        <v>1181.7708500000001</v>
      </c>
      <c r="BK11">
        <f ca="1">IF(AND(ISNUMBER($BK$82),$B$69=1),$BK$82,HLOOKUP(INDIRECT(ADDRESS(2,COLUMN())),OFFSET($CL$2,0,0,ROW()-1,84),ROW()-1,FALSE))</f>
        <v>1551.0785599999999</v>
      </c>
      <c r="BL11">
        <f ca="1">IF(AND(ISNUMBER($BL$82),$B$69=1),$BL$82,HLOOKUP(INDIRECT(ADDRESS(2,COLUMN())),OFFSET($CL$2,0,0,ROW()-1,84),ROW()-1,FALSE))</f>
        <v>1466.7241100000001</v>
      </c>
      <c r="BM11">
        <f ca="1">IF(AND(ISNUMBER($BM$82),$B$69=1),$BM$82,HLOOKUP(INDIRECT(ADDRESS(2,COLUMN())),OFFSET($CL$2,0,0,ROW()-1,84),ROW()-1,FALSE))</f>
        <v>1180.81636</v>
      </c>
      <c r="BN11">
        <f ca="1">IF(AND(ISNUMBER($BN$82),$B$69=1),$BN$82,HLOOKUP(INDIRECT(ADDRESS(2,COLUMN())),OFFSET($CL$2,0,0,ROW()-1,84),ROW()-1,FALSE))</f>
        <v>1276.11122</v>
      </c>
      <c r="BO11">
        <f ca="1">IF(AND(ISNUMBER($BO$82),$B$69=1),$BO$82,HLOOKUP(INDIRECT(ADDRESS(2,COLUMN())),OFFSET($CL$2,0,0,ROW()-1,84),ROW()-1,FALSE))</f>
        <v>1399.40228</v>
      </c>
      <c r="BP11">
        <f ca="1">IF(AND(ISNUMBER($BP$82),$B$69=1),$BP$82,HLOOKUP(INDIRECT(ADDRESS(2,COLUMN())),OFFSET($CL$2,0,0,ROW()-1,84),ROW()-1,FALSE))</f>
        <v>1471.07954</v>
      </c>
      <c r="BQ11">
        <f ca="1">IF(AND(ISNUMBER($BQ$82),$B$69=1),$BQ$82,HLOOKUP(INDIRECT(ADDRESS(2,COLUMN())),OFFSET($CL$2,0,0,ROW()-1,84),ROW()-1,FALSE))</f>
        <v>1676.18714</v>
      </c>
      <c r="BR11">
        <f ca="1">IF(AND(ISNUMBER($BR$82),$B$69=1),$BR$82,HLOOKUP(INDIRECT(ADDRESS(2,COLUMN())),OFFSET($CL$2,0,0,ROW()-1,84),ROW()-1,FALSE))</f>
        <v>1310.85385</v>
      </c>
      <c r="BS11">
        <f ca="1">IF(AND(ISNUMBER($BS$82),$B$69=1),$BS$82,HLOOKUP(INDIRECT(ADDRESS(2,COLUMN())),OFFSET($CL$2,0,0,ROW()-1,84),ROW()-1,FALSE))</f>
        <v>1383.47864</v>
      </c>
      <c r="BT11">
        <f ca="1">IF(AND(ISNUMBER($BT$82),$B$69=1),$BT$82,HLOOKUP(INDIRECT(ADDRESS(2,COLUMN())),OFFSET($CL$2,0,0,ROW()-1,84),ROW()-1,FALSE))</f>
        <v>1469.4055599999999</v>
      </c>
      <c r="BU11">
        <f ca="1">IF(AND(ISNUMBER($BU$82),$B$69=1),$BU$82,HLOOKUP(INDIRECT(ADDRESS(2,COLUMN())),OFFSET($CL$2,0,0,ROW()-1,84),ROW()-1,FALSE))</f>
        <v>1400.15183</v>
      </c>
      <c r="BV11">
        <f ca="1">IF(AND(ISNUMBER($BV$82),$B$69=1),$BV$82,HLOOKUP(INDIRECT(ADDRESS(2,COLUMN())),OFFSET($CL$2,0,0,ROW()-1,84),ROW()-1,FALSE))</f>
        <v>1386.5083199999999</v>
      </c>
      <c r="BW11">
        <f ca="1">IF(AND(ISNUMBER($BW$82),$B$69=1),$BW$82,HLOOKUP(INDIRECT(ADDRESS(2,COLUMN())),OFFSET($CL$2,0,0,ROW()-1,84),ROW()-1,FALSE))</f>
        <v>1433.8957600000001</v>
      </c>
      <c r="BX11">
        <f ca="1">IF(AND(ISNUMBER($BX$82),$B$69=1),$BX$82,HLOOKUP(INDIRECT(ADDRESS(2,COLUMN())),OFFSET($CL$2,0,0,ROW()-1,84),ROW()-1,FALSE))</f>
        <v>1922.0578800000001</v>
      </c>
      <c r="BY11">
        <f ca="1">IF(AND(ISNUMBER($BY$82),$B$69=1),$BY$82,HLOOKUP(INDIRECT(ADDRESS(2,COLUMN())),OFFSET($CL$2,0,0,ROW()-1,84),ROW()-1,FALSE))</f>
        <v>1527.2495899999999</v>
      </c>
      <c r="BZ11">
        <f ca="1">IF(AND(ISNUMBER($BZ$82),$B$69=1),$BZ$82,HLOOKUP(INDIRECT(ADDRESS(2,COLUMN())),OFFSET($CL$2,0,0,ROW()-1,84),ROW()-1,FALSE))</f>
        <v>1428.08941</v>
      </c>
      <c r="CA11">
        <f ca="1">IF(AND(ISNUMBER($CA$82),$B$69=1),$CA$82,HLOOKUP(INDIRECT(ADDRESS(2,COLUMN())),OFFSET($CL$2,0,0,ROW()-1,84),ROW()-1,FALSE))</f>
        <v>1240.3622600000001</v>
      </c>
      <c r="CB11">
        <f ca="1">IF(AND(ISNUMBER($CB$82),$B$69=1),$CB$82,HLOOKUP(INDIRECT(ADDRESS(2,COLUMN())),OFFSET($CL$2,0,0,ROW()-1,84),ROW()-1,FALSE))</f>
        <v>1597.01701</v>
      </c>
      <c r="CC11">
        <f ca="1">IF(AND(ISNUMBER($CC$82),$B$69=1),$CC$82,HLOOKUP(INDIRECT(ADDRESS(2,COLUMN())),OFFSET($CL$2,0,0,ROW()-1,84),ROW()-1,FALSE))</f>
        <v>1541.0234700000001</v>
      </c>
      <c r="CD11">
        <f ca="1">IF(AND(ISNUMBER($CD$82),$B$69=1),$CD$82,HLOOKUP(INDIRECT(ADDRESS(2,COLUMN())),OFFSET($CL$2,0,0,ROW()-1,84),ROW()-1,FALSE))</f>
        <v>1661.61781</v>
      </c>
      <c r="CE11">
        <f ca="1">IF(AND(ISNUMBER($CE$82),$B$69=1),$CE$82,HLOOKUP(INDIRECT(ADDRESS(2,COLUMN())),OFFSET($CL$2,0,0,ROW()-1,84),ROW()-1,FALSE))</f>
        <v>1583.0485000000001</v>
      </c>
      <c r="CF11">
        <f ca="1">IF(AND(ISNUMBER($CF$82),$B$69=1),$CF$82,HLOOKUP(INDIRECT(ADDRESS(2,COLUMN())),OFFSET($CL$2,0,0,ROW()-1,84),ROW()-1,FALSE))</f>
        <v>1705.13743</v>
      </c>
      <c r="CG11">
        <f ca="1">IF(AND(ISNUMBER($CG$82),$B$69=1),$CG$82,HLOOKUP(INDIRECT(ADDRESS(2,COLUMN())),OFFSET($CL$2,0,0,ROW()-1,84),ROW()-1,FALSE))</f>
        <v>1488.5449900000001</v>
      </c>
      <c r="CH11">
        <f ca="1">IF(AND(ISNUMBER($CH$82),$B$69=1),$CH$82,HLOOKUP(INDIRECT(ADDRESS(2,COLUMN())),OFFSET($CL$2,0,0,ROW()-1,84),ROW()-1,FALSE))</f>
        <v>1330.0069000000001</v>
      </c>
      <c r="CI11">
        <f ca="1">IF(AND(ISNUMBER($CI$82),$B$69=1),$CI$82,HLOOKUP(INDIRECT(ADDRESS(2,COLUMN())),OFFSET($CL$2,0,0,ROW()-1,84),ROW()-1,FALSE))</f>
        <v>1579.4256800000001</v>
      </c>
      <c r="CJ11">
        <f ca="1">IF(AND(ISNUMBER($CJ$82),$B$69=1),$CJ$82,HLOOKUP(INDIRECT(ADDRESS(2,COLUMN())),OFFSET($CL$2,0,0,ROW()-1,84),ROW()-1,FALSE))</f>
        <v>2057.2184999999999</v>
      </c>
      <c r="CK11">
        <f ca="1">IF(AND(ISNUMBER($CK$82),$B$69=1),$CK$82,HLOOKUP(INDIRECT(ADDRESS(2,COLUMN())),OFFSET($CL$2,0,0,ROW()-1,84),ROW()-1,FALSE))</f>
        <v>1444.0453399999999</v>
      </c>
      <c r="CL11" t="str">
        <f>""</f>
        <v/>
      </c>
      <c r="CM11">
        <f>1773.94</f>
        <v>1773.94</v>
      </c>
      <c r="CN11">
        <f>1543.64</f>
        <v>1543.64</v>
      </c>
      <c r="CO11">
        <f>1703.01</f>
        <v>1703.01</v>
      </c>
      <c r="CP11">
        <f>1893.22</f>
        <v>1893.22</v>
      </c>
      <c r="CQ11">
        <f>1932.09</f>
        <v>1932.09</v>
      </c>
      <c r="CR11">
        <f>1581.31</f>
        <v>1581.31</v>
      </c>
      <c r="CS11">
        <f>2032.28</f>
        <v>2032.28</v>
      </c>
      <c r="CT11">
        <f>1465.36</f>
        <v>1465.36</v>
      </c>
      <c r="CU11">
        <f>2235.49</f>
        <v>2235.4899999999998</v>
      </c>
      <c r="CV11">
        <f>2597.69</f>
        <v>2597.69</v>
      </c>
      <c r="CW11">
        <f>1532.01</f>
        <v>1532.01</v>
      </c>
      <c r="CX11">
        <f>1799.07</f>
        <v>1799.07</v>
      </c>
      <c r="CY11">
        <f>1807.57</f>
        <v>1807.57</v>
      </c>
      <c r="CZ11">
        <f>1524.32</f>
        <v>1524.32</v>
      </c>
      <c r="DA11">
        <f>1899.96</f>
        <v>1899.96</v>
      </c>
      <c r="DB11">
        <f>1426.06</f>
        <v>1426.06</v>
      </c>
      <c r="DC11">
        <f>1741.23</f>
        <v>1741.23</v>
      </c>
      <c r="DD11">
        <f>1417.84</f>
        <v>1417.84</v>
      </c>
      <c r="DE11">
        <f>1788.61</f>
        <v>1788.61</v>
      </c>
      <c r="DF11">
        <f>1478.34</f>
        <v>1478.34</v>
      </c>
      <c r="DG11">
        <f>1747.2</f>
        <v>1747.2</v>
      </c>
      <c r="DH11">
        <f>1677.4036</f>
        <v>1677.4036000000001</v>
      </c>
      <c r="DI11">
        <f>2012.98035</f>
        <v>2012.98035</v>
      </c>
      <c r="DJ11">
        <f>1383.07197</f>
        <v>1383.07197</v>
      </c>
      <c r="DK11">
        <f>1747.83236</f>
        <v>1747.8323600000001</v>
      </c>
      <c r="DL11">
        <f>1738.62344</f>
        <v>1738.6234400000001</v>
      </c>
      <c r="DM11">
        <f>1998.50419</f>
        <v>1998.5041900000001</v>
      </c>
      <c r="DN11">
        <f>1685.38788</f>
        <v>1685.38788</v>
      </c>
      <c r="DO11">
        <f>2172.97454</f>
        <v>2172.9745400000002</v>
      </c>
      <c r="DP11">
        <f>1963.76551</f>
        <v>1963.7655099999999</v>
      </c>
      <c r="DQ11">
        <f>1856.30309</f>
        <v>1856.3030900000001</v>
      </c>
      <c r="DR11">
        <f>2247.1365</f>
        <v>2247.1365000000001</v>
      </c>
      <c r="DS11">
        <f>2236.85138</f>
        <v>2236.8513800000001</v>
      </c>
      <c r="DT11">
        <f>1995.98236</f>
        <v>1995.98236</v>
      </c>
      <c r="DU11">
        <f>1524.86814</f>
        <v>1524.86814</v>
      </c>
      <c r="DV11">
        <f>2084.00624</f>
        <v>2084.0062400000002</v>
      </c>
      <c r="DW11">
        <f>1620.42287</f>
        <v>1620.4228700000001</v>
      </c>
      <c r="DX11">
        <f>1872.26713</f>
        <v>1872.26713</v>
      </c>
      <c r="DY11">
        <f>1364.84003</f>
        <v>1364.8400300000001</v>
      </c>
      <c r="DZ11">
        <f>1580.97514</f>
        <v>1580.97514</v>
      </c>
      <c r="EA11">
        <f>1378.37523</f>
        <v>1378.3752300000001</v>
      </c>
      <c r="EB11">
        <f>1681.44707</f>
        <v>1681.4470699999999</v>
      </c>
      <c r="EC11">
        <f>1660.8221</f>
        <v>1660.8221000000001</v>
      </c>
      <c r="ED11">
        <f>1627.04635</f>
        <v>1627.0463500000001</v>
      </c>
      <c r="EE11">
        <f>1648.25333</f>
        <v>1648.25333</v>
      </c>
      <c r="EF11">
        <f>1545.65451</f>
        <v>1545.6545100000001</v>
      </c>
      <c r="EG11">
        <f>1538.34208</f>
        <v>1538.3420799999999</v>
      </c>
      <c r="EH11">
        <f>1490.55901</f>
        <v>1490.5590099999999</v>
      </c>
      <c r="EI11">
        <f>1498.40388</f>
        <v>1498.4038800000001</v>
      </c>
      <c r="EJ11">
        <f>1615.24346</f>
        <v>1615.2434599999999</v>
      </c>
      <c r="EK11">
        <f>1410.09249</f>
        <v>1410.09249</v>
      </c>
      <c r="EL11">
        <f>1582.5949</f>
        <v>1582.5949000000001</v>
      </c>
      <c r="EM11">
        <f>1354.18671</f>
        <v>1354.1867099999999</v>
      </c>
      <c r="EN11">
        <f>1268.36692</f>
        <v>1268.3669199999999</v>
      </c>
      <c r="EO11">
        <f>1604.5198</f>
        <v>1604.5198</v>
      </c>
      <c r="EP11">
        <f>1181.77085</f>
        <v>1181.7708500000001</v>
      </c>
      <c r="EQ11">
        <f>1551.07856</f>
        <v>1551.0785599999999</v>
      </c>
      <c r="ER11">
        <f>1466.72411</f>
        <v>1466.7241100000001</v>
      </c>
      <c r="ES11">
        <f>1180.81636</f>
        <v>1180.81636</v>
      </c>
      <c r="ET11">
        <f>1276.11122</f>
        <v>1276.11122</v>
      </c>
      <c r="EU11">
        <f>1399.40228</f>
        <v>1399.40228</v>
      </c>
      <c r="EV11">
        <f>1471.07954</f>
        <v>1471.07954</v>
      </c>
      <c r="EW11">
        <f>1676.18714</f>
        <v>1676.18714</v>
      </c>
      <c r="EX11">
        <f>1310.85385</f>
        <v>1310.85385</v>
      </c>
      <c r="EY11">
        <f>1383.47864</f>
        <v>1383.47864</v>
      </c>
      <c r="EZ11">
        <f>1469.40556</f>
        <v>1469.4055599999999</v>
      </c>
      <c r="FA11">
        <f>1400.15183</f>
        <v>1400.15183</v>
      </c>
      <c r="FB11">
        <f>1386.50832</f>
        <v>1386.5083199999999</v>
      </c>
      <c r="FC11">
        <f>1433.89576</f>
        <v>1433.8957600000001</v>
      </c>
      <c r="FD11">
        <f>1922.05788</f>
        <v>1922.0578800000001</v>
      </c>
      <c r="FE11">
        <f>1527.24959</f>
        <v>1527.2495899999999</v>
      </c>
      <c r="FF11">
        <f>1428.08941</f>
        <v>1428.08941</v>
      </c>
      <c r="FG11">
        <f>1240.36226</f>
        <v>1240.3622600000001</v>
      </c>
      <c r="FH11">
        <f>1597.01701</f>
        <v>1597.01701</v>
      </c>
      <c r="FI11">
        <f>1541.02347</f>
        <v>1541.0234700000001</v>
      </c>
      <c r="FJ11">
        <f>1661.61781</f>
        <v>1661.61781</v>
      </c>
      <c r="FK11">
        <f>1583.0485</f>
        <v>1583.0485000000001</v>
      </c>
      <c r="FL11">
        <f>1705.13743</f>
        <v>1705.13743</v>
      </c>
      <c r="FM11">
        <f>1488.54499</f>
        <v>1488.5449900000001</v>
      </c>
      <c r="FN11">
        <f>1330.0069</f>
        <v>1330.0069000000001</v>
      </c>
      <c r="FO11">
        <f>1579.42568</f>
        <v>1579.4256800000001</v>
      </c>
      <c r="FP11">
        <f>2057.2185</f>
        <v>2057.2184999999999</v>
      </c>
      <c r="FQ11">
        <f>1444.04534</f>
        <v>1444.0453399999999</v>
      </c>
    </row>
    <row r="12" spans="1:173" x14ac:dyDescent="0.25">
      <c r="A12" t="str">
        <f>"    Vessel Arrival Gross Tonnage (000s)"</f>
        <v xml:space="preserve">    Vessel Arrival Gross Tonnage (000s)</v>
      </c>
      <c r="B12" t="str">
        <f>"SIVSA Index"</f>
        <v>SIVSA Index</v>
      </c>
      <c r="C12" t="str">
        <f>"PR005"</f>
        <v>PR005</v>
      </c>
      <c r="D12" t="str">
        <f>"PX_LAST"</f>
        <v>PX_LAST</v>
      </c>
      <c r="E12" t="str">
        <f>"Dynamic"</f>
        <v>Dynamic</v>
      </c>
      <c r="F12" t="str">
        <f ca="1">IF(AND(ISNUMBER($F$83),$B$69=1),$F$83,HLOOKUP(INDIRECT(ADDRESS(2,COLUMN())),OFFSET($CL$2,0,0,ROW()-1,84),ROW()-1,FALSE))</f>
        <v/>
      </c>
      <c r="G12">
        <f ca="1">IF(AND(ISNUMBER($G$83),$B$69=1),$G$83,HLOOKUP(INDIRECT(ADDRESS(2,COLUMN())),OFFSET($CL$2,0,0,ROW()-1,84),ROW()-1,FALSE))</f>
        <v>260668.79</v>
      </c>
      <c r="H12">
        <f ca="1">IF(AND(ISNUMBER($H$83),$B$69=1),$H$83,HLOOKUP(INDIRECT(ADDRESS(2,COLUMN())),OFFSET($CL$2,0,0,ROW()-1,84),ROW()-1,FALSE))</f>
        <v>263675.55</v>
      </c>
      <c r="I12">
        <f ca="1">IF(AND(ISNUMBER($I$83),$B$69=1),$I$83,HLOOKUP(INDIRECT(ADDRESS(2,COLUMN())),OFFSET($CL$2,0,0,ROW()-1,84),ROW()-1,FALSE))</f>
        <v>260278.92</v>
      </c>
      <c r="J12">
        <f ca="1">IF(AND(ISNUMBER($J$83),$B$69=1),$J$83,HLOOKUP(INDIRECT(ADDRESS(2,COLUMN())),OFFSET($CL$2,0,0,ROW()-1,84),ROW()-1,FALSE))</f>
        <v>250042.75</v>
      </c>
      <c r="K12">
        <f ca="1">IF(AND(ISNUMBER($K$83),$B$69=1),$K$83,HLOOKUP(INDIRECT(ADDRESS(2,COLUMN())),OFFSET($CL$2,0,0,ROW()-1,84),ROW()-1,FALSE))</f>
        <v>266695.473</v>
      </c>
      <c r="L12">
        <f ca="1">IF(AND(ISNUMBER($L$83),$B$69=1),$L$83,HLOOKUP(INDIRECT(ADDRESS(2,COLUMN())),OFFSET($CL$2,0,0,ROW()-1,84),ROW()-1,FALSE))</f>
        <v>259312.17800000001</v>
      </c>
      <c r="M12">
        <f ca="1">IF(AND(ISNUMBER($M$83),$B$69=1),$M$83,HLOOKUP(INDIRECT(ADDRESS(2,COLUMN())),OFFSET($CL$2,0,0,ROW()-1,84),ROW()-1,FALSE))</f>
        <v>254529.62700000001</v>
      </c>
      <c r="N12">
        <f ca="1">IF(AND(ISNUMBER($N$83),$B$69=1),$N$83,HLOOKUP(INDIRECT(ADDRESS(2,COLUMN())),OFFSET($CL$2,0,0,ROW()-1,84),ROW()-1,FALSE))</f>
        <v>226665.742</v>
      </c>
      <c r="O12">
        <f ca="1">IF(AND(ISNUMBER($O$83),$B$69=1),$O$83,HLOOKUP(INDIRECT(ADDRESS(2,COLUMN())),OFFSET($CL$2,0,0,ROW()-1,84),ROW()-1,FALSE))</f>
        <v>257447.53</v>
      </c>
      <c r="P12">
        <f ca="1">IF(AND(ISNUMBER($P$83),$B$69=1),$P$83,HLOOKUP(INDIRECT(ADDRESS(2,COLUMN())),OFFSET($CL$2,0,0,ROW()-1,84),ROW()-1,FALSE))</f>
        <v>245198.258</v>
      </c>
      <c r="Q12">
        <f ca="1">IF(AND(ISNUMBER($Q$83),$B$69=1),$Q$83,HLOOKUP(INDIRECT(ADDRESS(2,COLUMN())),OFFSET($CL$2,0,0,ROW()-1,84),ROW()-1,FALSE))</f>
        <v>248477.97500000001</v>
      </c>
      <c r="R12">
        <f ca="1">IF(AND(ISNUMBER($R$83),$B$69=1),$R$83,HLOOKUP(INDIRECT(ADDRESS(2,COLUMN())),OFFSET($CL$2,0,0,ROW()-1,84),ROW()-1,FALSE))</f>
        <v>251201.12400000001</v>
      </c>
      <c r="S12">
        <f ca="1">IF(AND(ISNUMBER($S$83),$B$69=1),$S$83,HLOOKUP(INDIRECT(ADDRESS(2,COLUMN())),OFFSET($CL$2,0,0,ROW()-1,84),ROW()-1,FALSE))</f>
        <v>231414.26800000001</v>
      </c>
      <c r="T12">
        <f ca="1">IF(AND(ISNUMBER($T$83),$B$69=1),$T$83,HLOOKUP(INDIRECT(ADDRESS(2,COLUMN())),OFFSET($CL$2,0,0,ROW()-1,84),ROW()-1,FALSE))</f>
        <v>244949.856</v>
      </c>
      <c r="U12">
        <f ca="1">IF(AND(ISNUMBER($U$83),$B$69=1),$U$83,HLOOKUP(INDIRECT(ADDRESS(2,COLUMN())),OFFSET($CL$2,0,0,ROW()-1,84),ROW()-1,FALSE))</f>
        <v>246795.372</v>
      </c>
      <c r="V12">
        <f ca="1">IF(AND(ISNUMBER($V$83),$B$69=1),$V$83,HLOOKUP(INDIRECT(ADDRESS(2,COLUMN())),OFFSET($CL$2,0,0,ROW()-1,84),ROW()-1,FALSE))</f>
        <v>230600.13699999999</v>
      </c>
      <c r="W12">
        <f ca="1">IF(AND(ISNUMBER($W$83),$B$69=1),$W$83,HLOOKUP(INDIRECT(ADDRESS(2,COLUMN())),OFFSET($CL$2,0,0,ROW()-1,84),ROW()-1,FALSE))</f>
        <v>239397.63</v>
      </c>
      <c r="X12">
        <f ca="1">IF(AND(ISNUMBER($X$83),$B$69=1),$X$83,HLOOKUP(INDIRECT(ADDRESS(2,COLUMN())),OFFSET($CL$2,0,0,ROW()-1,84),ROW()-1,FALSE))</f>
        <v>225608.61199999999</v>
      </c>
      <c r="Y12">
        <f ca="1">IF(AND(ISNUMBER($Y$83),$B$69=1),$Y$83,HLOOKUP(INDIRECT(ADDRESS(2,COLUMN())),OFFSET($CL$2,0,0,ROW()-1,84),ROW()-1,FALSE))</f>
        <v>223085.29399999999</v>
      </c>
      <c r="Z12">
        <f ca="1">IF(AND(ISNUMBER($Z$83),$B$69=1),$Z$83,HLOOKUP(INDIRECT(ADDRESS(2,COLUMN())),OFFSET($CL$2,0,0,ROW()-1,84),ROW()-1,FALSE))</f>
        <v>207371.796</v>
      </c>
      <c r="AA12">
        <f ca="1">IF(AND(ISNUMBER($AA$83),$B$69=1),$AA$83,HLOOKUP(INDIRECT(ADDRESS(2,COLUMN())),OFFSET($CL$2,0,0,ROW()-1,84),ROW()-1,FALSE))</f>
        <v>234263.478</v>
      </c>
      <c r="AB12">
        <f ca="1">IF(AND(ISNUMBER($AB$83),$B$69=1),$AB$83,HLOOKUP(INDIRECT(ADDRESS(2,COLUMN())),OFFSET($CL$2,0,0,ROW()-1,84),ROW()-1,FALSE))</f>
        <v>229814.75099999999</v>
      </c>
      <c r="AC12">
        <f ca="1">IF(AND(ISNUMBER($AC$83),$B$69=1),$AC$83,HLOOKUP(INDIRECT(ADDRESS(2,COLUMN())),OFFSET($CL$2,0,0,ROW()-1,84),ROW()-1,FALSE))</f>
        <v>230994.76</v>
      </c>
      <c r="AD12">
        <f ca="1">IF(AND(ISNUMBER($AD$83),$B$69=1),$AD$83,HLOOKUP(INDIRECT(ADDRESS(2,COLUMN())),OFFSET($CL$2,0,0,ROW()-1,84),ROW()-1,FALSE))</f>
        <v>230041.87599999999</v>
      </c>
      <c r="AE12">
        <f ca="1">IF(AND(ISNUMBER($AE$83),$B$69=1),$AE$83,HLOOKUP(INDIRECT(ADDRESS(2,COLUMN())),OFFSET($CL$2,0,0,ROW()-1,84),ROW()-1,FALSE))</f>
        <v>221138.038</v>
      </c>
      <c r="AF12">
        <f ca="1">IF(AND(ISNUMBER($AF$83),$B$69=1),$AF$83,HLOOKUP(INDIRECT(ADDRESS(2,COLUMN())),OFFSET($CL$2,0,0,ROW()-1,84),ROW()-1,FALSE))</f>
        <v>226134.52</v>
      </c>
      <c r="AG12">
        <f ca="1">IF(AND(ISNUMBER($AG$83),$B$69=1),$AG$83,HLOOKUP(INDIRECT(ADDRESS(2,COLUMN())),OFFSET($CL$2,0,0,ROW()-1,84),ROW()-1,FALSE))</f>
        <v>229192.217</v>
      </c>
      <c r="AH12">
        <f ca="1">IF(AND(ISNUMBER($AH$83),$B$69=1),$AH$83,HLOOKUP(INDIRECT(ADDRESS(2,COLUMN())),OFFSET($CL$2,0,0,ROW()-1,84),ROW()-1,FALSE))</f>
        <v>231443.51500000001</v>
      </c>
      <c r="AI12">
        <f ca="1">IF(AND(ISNUMBER($AI$83),$B$69=1),$AI$83,HLOOKUP(INDIRECT(ADDRESS(2,COLUMN())),OFFSET($CL$2,0,0,ROW()-1,84),ROW()-1,FALSE))</f>
        <v>238117.00200000001</v>
      </c>
      <c r="AJ12">
        <f ca="1">IF(AND(ISNUMBER($AJ$83),$B$69=1),$AJ$83,HLOOKUP(INDIRECT(ADDRESS(2,COLUMN())),OFFSET($CL$2,0,0,ROW()-1,84),ROW()-1,FALSE))</f>
        <v>239954.80300000001</v>
      </c>
      <c r="AK12">
        <f ca="1">IF(AND(ISNUMBER($AK$83),$B$69=1),$AK$83,HLOOKUP(INDIRECT(ADDRESS(2,COLUMN())),OFFSET($CL$2,0,0,ROW()-1,84),ROW()-1,FALSE))</f>
        <v>245081.70499999999</v>
      </c>
      <c r="AL12">
        <f ca="1">IF(AND(ISNUMBER($AL$83),$B$69=1),$AL$83,HLOOKUP(INDIRECT(ADDRESS(2,COLUMN())),OFFSET($CL$2,0,0,ROW()-1,84),ROW()-1,FALSE))</f>
        <v>236520.86600000001</v>
      </c>
      <c r="AM12">
        <f ca="1">IF(AND(ISNUMBER($AM$83),$B$69=1),$AM$83,HLOOKUP(INDIRECT(ADDRESS(2,COLUMN())),OFFSET($CL$2,0,0,ROW()-1,84),ROW()-1,FALSE))</f>
        <v>255333.359</v>
      </c>
      <c r="AN12">
        <f ca="1">IF(AND(ISNUMBER($AN$83),$B$69=1),$AN$83,HLOOKUP(INDIRECT(ADDRESS(2,COLUMN())),OFFSET($CL$2,0,0,ROW()-1,84),ROW()-1,FALSE))</f>
        <v>245140.174</v>
      </c>
      <c r="AO12">
        <f ca="1">IF(AND(ISNUMBER($AO$83),$B$69=1),$AO$83,HLOOKUP(INDIRECT(ADDRESS(2,COLUMN())),OFFSET($CL$2,0,0,ROW()-1,84),ROW()-1,FALSE))</f>
        <v>246267.647</v>
      </c>
      <c r="AP12">
        <f ca="1">IF(AND(ISNUMBER($AP$83),$B$69=1),$AP$83,HLOOKUP(INDIRECT(ADDRESS(2,COLUMN())),OFFSET($CL$2,0,0,ROW()-1,84),ROW()-1,FALSE))</f>
        <v>243803.20499999999</v>
      </c>
      <c r="AQ12">
        <f ca="1">IF(AND(ISNUMBER($AQ$83),$B$69=1),$AQ$83,HLOOKUP(INDIRECT(ADDRESS(2,COLUMN())),OFFSET($CL$2,0,0,ROW()-1,84),ROW()-1,FALSE))</f>
        <v>240460.26</v>
      </c>
      <c r="AR12">
        <f ca="1">IF(AND(ISNUMBER($AR$83),$B$69=1),$AR$83,HLOOKUP(INDIRECT(ADDRESS(2,COLUMN())),OFFSET($CL$2,0,0,ROW()-1,84),ROW()-1,FALSE))</f>
        <v>244006.65100000001</v>
      </c>
      <c r="AS12">
        <f ca="1">IF(AND(ISNUMBER($AS$83),$B$69=1),$AS$83,HLOOKUP(INDIRECT(ADDRESS(2,COLUMN())),OFFSET($CL$2,0,0,ROW()-1,84),ROW()-1,FALSE))</f>
        <v>252004.76800000001</v>
      </c>
      <c r="AT12">
        <f ca="1">IF(AND(ISNUMBER($AT$83),$B$69=1),$AT$83,HLOOKUP(INDIRECT(ADDRESS(2,COLUMN())),OFFSET($CL$2,0,0,ROW()-1,84),ROW()-1,FALSE))</f>
        <v>227328.174</v>
      </c>
      <c r="AU12">
        <f ca="1">IF(AND(ISNUMBER($AU$83),$B$69=1),$AU$83,HLOOKUP(INDIRECT(ADDRESS(2,COLUMN())),OFFSET($CL$2,0,0,ROW()-1,84),ROW()-1,FALSE))</f>
        <v>223323.10200000001</v>
      </c>
      <c r="AV12">
        <f ca="1">IF(AND(ISNUMBER($AV$83),$B$69=1),$AV$83,HLOOKUP(INDIRECT(ADDRESS(2,COLUMN())),OFFSET($CL$2,0,0,ROW()-1,84),ROW()-1,FALSE))</f>
        <v>230354.32500000001</v>
      </c>
      <c r="AW12">
        <f ca="1">IF(AND(ISNUMBER($AW$83),$B$69=1),$AW$83,HLOOKUP(INDIRECT(ADDRESS(2,COLUMN())),OFFSET($CL$2,0,0,ROW()-1,84),ROW()-1,FALSE))</f>
        <v>251387.54300000001</v>
      </c>
      <c r="AX12">
        <f ca="1">IF(AND(ISNUMBER($AX$83),$B$69=1),$AX$83,HLOOKUP(INDIRECT(ADDRESS(2,COLUMN())),OFFSET($CL$2,0,0,ROW()-1,84),ROW()-1,FALSE))</f>
        <v>234656.389</v>
      </c>
      <c r="AY12">
        <f ca="1">IF(AND(ISNUMBER($AY$83),$B$69=1),$AY$83,HLOOKUP(INDIRECT(ADDRESS(2,COLUMN())),OFFSET($CL$2,0,0,ROW()-1,84),ROW()-1,FALSE))</f>
        <v>263882.76199999999</v>
      </c>
      <c r="AZ12">
        <f ca="1">IF(AND(ISNUMBER($AZ$83),$B$69=1),$AZ$83,HLOOKUP(INDIRECT(ADDRESS(2,COLUMN())),OFFSET($CL$2,0,0,ROW()-1,84),ROW()-1,FALSE))</f>
        <v>258663.57399999999</v>
      </c>
      <c r="BA12">
        <f ca="1">IF(AND(ISNUMBER($BA$83),$B$69=1),$BA$83,HLOOKUP(INDIRECT(ADDRESS(2,COLUMN())),OFFSET($CL$2,0,0,ROW()-1,84),ROW()-1,FALSE))</f>
        <v>244544.15900000001</v>
      </c>
      <c r="BB12">
        <f ca="1">IF(AND(ISNUMBER($BB$83),$B$69=1),$BB$83,HLOOKUP(INDIRECT(ADDRESS(2,COLUMN())),OFFSET($CL$2,0,0,ROW()-1,84),ROW()-1,FALSE))</f>
        <v>250282.19899999999</v>
      </c>
      <c r="BC12">
        <f ca="1">IF(AND(ISNUMBER($BC$83),$B$69=1),$BC$83,HLOOKUP(INDIRECT(ADDRESS(2,COLUMN())),OFFSET($CL$2,0,0,ROW()-1,84),ROW()-1,FALSE))</f>
        <v>244461.997</v>
      </c>
      <c r="BD12">
        <f ca="1">IF(AND(ISNUMBER($BD$83),$B$69=1),$BD$83,HLOOKUP(INDIRECT(ADDRESS(2,COLUMN())),OFFSET($CL$2,0,0,ROW()-1,84),ROW()-1,FALSE))</f>
        <v>236773.68799999999</v>
      </c>
      <c r="BE12">
        <f ca="1">IF(AND(ISNUMBER($BE$83),$B$69=1),$BE$83,HLOOKUP(INDIRECT(ADDRESS(2,COLUMN())),OFFSET($CL$2,0,0,ROW()-1,84),ROW()-1,FALSE))</f>
        <v>238850.886</v>
      </c>
      <c r="BF12">
        <f ca="1">IF(AND(ISNUMBER($BF$83),$B$69=1),$BF$83,HLOOKUP(INDIRECT(ADDRESS(2,COLUMN())),OFFSET($CL$2,0,0,ROW()-1,84),ROW()-1,FALSE))</f>
        <v>227456.84099999999</v>
      </c>
      <c r="BG12">
        <f ca="1">IF(AND(ISNUMBER($BG$83),$B$69=1),$BG$83,HLOOKUP(INDIRECT(ADDRESS(2,COLUMN())),OFFSET($CL$2,0,0,ROW()-1,84),ROW()-1,FALSE))</f>
        <v>235453.73300000001</v>
      </c>
      <c r="BH12">
        <f ca="1">IF(AND(ISNUMBER($BH$83),$B$69=1),$BH$83,HLOOKUP(INDIRECT(ADDRESS(2,COLUMN())),OFFSET($CL$2,0,0,ROW()-1,84),ROW()-1,FALSE))</f>
        <v>226031.66200000001</v>
      </c>
      <c r="BI12">
        <f ca="1">IF(AND(ISNUMBER($BI$83),$B$69=1),$BI$83,HLOOKUP(INDIRECT(ADDRESS(2,COLUMN())),OFFSET($CL$2,0,0,ROW()-1,84),ROW()-1,FALSE))</f>
        <v>229405.24799999999</v>
      </c>
      <c r="BJ12">
        <f ca="1">IF(AND(ISNUMBER($BJ$83),$B$69=1),$BJ$83,HLOOKUP(INDIRECT(ADDRESS(2,COLUMN())),OFFSET($CL$2,0,0,ROW()-1,84),ROW()-1,FALSE))</f>
        <v>214560.33199999999</v>
      </c>
      <c r="BK12">
        <f ca="1">IF(AND(ISNUMBER($BK$83),$B$69=1),$BK$83,HLOOKUP(INDIRECT(ADDRESS(2,COLUMN())),OFFSET($CL$2,0,0,ROW()-1,84),ROW()-1,FALSE))</f>
        <v>248250.095</v>
      </c>
      <c r="BL12">
        <f ca="1">IF(AND(ISNUMBER($BL$83),$B$69=1),$BL$83,HLOOKUP(INDIRECT(ADDRESS(2,COLUMN())),OFFSET($CL$2,0,0,ROW()-1,84),ROW()-1,FALSE))</f>
        <v>235007.18</v>
      </c>
      <c r="BM12">
        <f ca="1">IF(AND(ISNUMBER($BM$83),$B$69=1),$BM$83,HLOOKUP(INDIRECT(ADDRESS(2,COLUMN())),OFFSET($CL$2,0,0,ROW()-1,84),ROW()-1,FALSE))</f>
        <v>228495.253</v>
      </c>
      <c r="BN12">
        <f ca="1">IF(AND(ISNUMBER($BN$83),$B$69=1),$BN$83,HLOOKUP(INDIRECT(ADDRESS(2,COLUMN())),OFFSET($CL$2,0,0,ROW()-1,84),ROW()-1,FALSE))</f>
        <v>233085.14499999999</v>
      </c>
      <c r="BO12">
        <f ca="1">IF(AND(ISNUMBER($BO$83),$B$69=1),$BO$83,HLOOKUP(INDIRECT(ADDRESS(2,COLUMN())),OFFSET($CL$2,0,0,ROW()-1,84),ROW()-1,FALSE))</f>
        <v>230532.87599999999</v>
      </c>
      <c r="BP12">
        <f ca="1">IF(AND(ISNUMBER($BP$83),$B$69=1),$BP$83,HLOOKUP(INDIRECT(ADDRESS(2,COLUMN())),OFFSET($CL$2,0,0,ROW()-1,84),ROW()-1,FALSE))</f>
        <v>222035.003</v>
      </c>
      <c r="BQ12">
        <f ca="1">IF(AND(ISNUMBER($BQ$83),$B$69=1),$BQ$83,HLOOKUP(INDIRECT(ADDRESS(2,COLUMN())),OFFSET($CL$2,0,0,ROW()-1,84),ROW()-1,FALSE))</f>
        <v>226025.236</v>
      </c>
      <c r="BR12">
        <f ca="1">IF(AND(ISNUMBER($BR$83),$B$69=1),$BR$83,HLOOKUP(INDIRECT(ADDRESS(2,COLUMN())),OFFSET($CL$2,0,0,ROW()-1,84),ROW()-1,FALSE))</f>
        <v>226588.068</v>
      </c>
      <c r="BS12">
        <f ca="1">IF(AND(ISNUMBER($BS$83),$B$69=1),$BS$83,HLOOKUP(INDIRECT(ADDRESS(2,COLUMN())),OFFSET($CL$2,0,0,ROW()-1,84),ROW()-1,FALSE))</f>
        <v>236607.11600000001</v>
      </c>
      <c r="BT12">
        <f ca="1">IF(AND(ISNUMBER($BT$83),$B$69=1),$BT$83,HLOOKUP(INDIRECT(ADDRESS(2,COLUMN())),OFFSET($CL$2,0,0,ROW()-1,84),ROW()-1,FALSE))</f>
        <v>241008.67600000001</v>
      </c>
      <c r="BU12">
        <f ca="1">IF(AND(ISNUMBER($BU$83),$B$69=1),$BU$83,HLOOKUP(INDIRECT(ADDRESS(2,COLUMN())),OFFSET($CL$2,0,0,ROW()-1,84),ROW()-1,FALSE))</f>
        <v>238689.486</v>
      </c>
      <c r="BV12">
        <f ca="1">IF(AND(ISNUMBER($BV$83),$B$69=1),$BV$83,HLOOKUP(INDIRECT(ADDRESS(2,COLUMN())),OFFSET($CL$2,0,0,ROW()-1,84),ROW()-1,FALSE))</f>
        <v>224247.60399999999</v>
      </c>
      <c r="BW12">
        <f ca="1">IF(AND(ISNUMBER($BW$83),$B$69=1),$BW$83,HLOOKUP(INDIRECT(ADDRESS(2,COLUMN())),OFFSET($CL$2,0,0,ROW()-1,84),ROW()-1,FALSE))</f>
        <v>249644.255</v>
      </c>
      <c r="BX12">
        <f ca="1">IF(AND(ISNUMBER($BX$83),$B$69=1),$BX$83,HLOOKUP(INDIRECT(ADDRESS(2,COLUMN())),OFFSET($CL$2,0,0,ROW()-1,84),ROW()-1,FALSE))</f>
        <v>244686.18299999999</v>
      </c>
      <c r="BY12">
        <f ca="1">IF(AND(ISNUMBER($BY$83),$B$69=1),$BY$83,HLOOKUP(INDIRECT(ADDRESS(2,COLUMN())),OFFSET($CL$2,0,0,ROW()-1,84),ROW()-1,FALSE))</f>
        <v>236194.057</v>
      </c>
      <c r="BZ12">
        <f ca="1">IF(AND(ISNUMBER($BZ$83),$B$69=1),$BZ$83,HLOOKUP(INDIRECT(ADDRESS(2,COLUMN())),OFFSET($CL$2,0,0,ROW()-1,84),ROW()-1,FALSE))</f>
        <v>234494.21799999999</v>
      </c>
      <c r="CA12">
        <f ca="1">IF(AND(ISNUMBER($CA$83),$B$69=1),$CA$83,HLOOKUP(INDIRECT(ADDRESS(2,COLUMN())),OFFSET($CL$2,0,0,ROW()-1,84),ROW()-1,FALSE))</f>
        <v>231419.21100000001</v>
      </c>
      <c r="CB12">
        <f ca="1">IF(AND(ISNUMBER($CB$83),$B$69=1),$CB$83,HLOOKUP(INDIRECT(ADDRESS(2,COLUMN())),OFFSET($CL$2,0,0,ROW()-1,84),ROW()-1,FALSE))</f>
        <v>234389.535</v>
      </c>
      <c r="CC12">
        <f ca="1">IF(AND(ISNUMBER($CC$83),$B$69=1),$CC$83,HLOOKUP(INDIRECT(ADDRESS(2,COLUMN())),OFFSET($CL$2,0,0,ROW()-1,84),ROW()-1,FALSE))</f>
        <v>232044.64799999999</v>
      </c>
      <c r="CD12">
        <f ca="1">IF(AND(ISNUMBER($CD$83),$B$69=1),$CD$83,HLOOKUP(INDIRECT(ADDRESS(2,COLUMN())),OFFSET($CL$2,0,0,ROW()-1,84),ROW()-1,FALSE))</f>
        <v>235488.302</v>
      </c>
      <c r="CE12">
        <f ca="1">IF(AND(ISNUMBER($CE$83),$B$69=1),$CE$83,HLOOKUP(INDIRECT(ADDRESS(2,COLUMN())),OFFSET($CL$2,0,0,ROW()-1,84),ROW()-1,FALSE))</f>
        <v>243798.141</v>
      </c>
      <c r="CF12">
        <f ca="1">IF(AND(ISNUMBER($CF$83),$B$69=1),$CF$83,HLOOKUP(INDIRECT(ADDRESS(2,COLUMN())),OFFSET($CL$2,0,0,ROW()-1,84),ROW()-1,FALSE))</f>
        <v>229464.856</v>
      </c>
      <c r="CG12">
        <f ca="1">IF(AND(ISNUMBER($CG$83),$B$69=1),$CG$83,HLOOKUP(INDIRECT(ADDRESS(2,COLUMN())),OFFSET($CL$2,0,0,ROW()-1,84),ROW()-1,FALSE))</f>
        <v>234466.89300000001</v>
      </c>
      <c r="CH12">
        <f ca="1">IF(AND(ISNUMBER($CH$83),$B$69=1),$CH$83,HLOOKUP(INDIRECT(ADDRESS(2,COLUMN())),OFFSET($CL$2,0,0,ROW()-1,84),ROW()-1,FALSE))</f>
        <v>207820.10699999999</v>
      </c>
      <c r="CI12">
        <f ca="1">IF(AND(ISNUMBER($CI$83),$B$69=1),$CI$83,HLOOKUP(INDIRECT(ADDRESS(2,COLUMN())),OFFSET($CL$2,0,0,ROW()-1,84),ROW()-1,FALSE))</f>
        <v>235318.823</v>
      </c>
      <c r="CJ12">
        <f ca="1">IF(AND(ISNUMBER($CJ$83),$B$69=1),$CJ$83,HLOOKUP(INDIRECT(ADDRESS(2,COLUMN())),OFFSET($CL$2,0,0,ROW()-1,84),ROW()-1,FALSE))</f>
        <v>219798.902</v>
      </c>
      <c r="CK12">
        <f ca="1">IF(AND(ISNUMBER($CK$83),$B$69=1),$CK$83,HLOOKUP(INDIRECT(ADDRESS(2,COLUMN())),OFFSET($CL$2,0,0,ROW()-1,84),ROW()-1,FALSE))</f>
        <v>221311.82</v>
      </c>
      <c r="CL12" t="str">
        <f>""</f>
        <v/>
      </c>
      <c r="CM12">
        <f>260668.79</f>
        <v>260668.79</v>
      </c>
      <c r="CN12">
        <f>263675.55</f>
        <v>263675.55</v>
      </c>
      <c r="CO12">
        <f>260278.92</f>
        <v>260278.92</v>
      </c>
      <c r="CP12">
        <f>250042.75</f>
        <v>250042.75</v>
      </c>
      <c r="CQ12">
        <f>266695.473</f>
        <v>266695.473</v>
      </c>
      <c r="CR12">
        <f>259312.178</f>
        <v>259312.17800000001</v>
      </c>
      <c r="CS12">
        <f>254529.627</f>
        <v>254529.62700000001</v>
      </c>
      <c r="CT12">
        <f>226665.742</f>
        <v>226665.742</v>
      </c>
      <c r="CU12">
        <f>257447.53</f>
        <v>257447.53</v>
      </c>
      <c r="CV12">
        <f>245198.258</f>
        <v>245198.258</v>
      </c>
      <c r="CW12">
        <f>248477.975</f>
        <v>248477.97500000001</v>
      </c>
      <c r="CX12">
        <f>251201.124</f>
        <v>251201.12400000001</v>
      </c>
      <c r="CY12">
        <f>231414.268</f>
        <v>231414.26800000001</v>
      </c>
      <c r="CZ12">
        <f>244949.856</f>
        <v>244949.856</v>
      </c>
      <c r="DA12">
        <f>246795.372</f>
        <v>246795.372</v>
      </c>
      <c r="DB12">
        <f>230600.137</f>
        <v>230600.13699999999</v>
      </c>
      <c r="DC12">
        <f>239397.63</f>
        <v>239397.63</v>
      </c>
      <c r="DD12">
        <f>225608.612</f>
        <v>225608.61199999999</v>
      </c>
      <c r="DE12">
        <f>223085.294</f>
        <v>223085.29399999999</v>
      </c>
      <c r="DF12">
        <f>207371.796</f>
        <v>207371.796</v>
      </c>
      <c r="DG12">
        <f>234263.478</f>
        <v>234263.478</v>
      </c>
      <c r="DH12">
        <f>229814.751</f>
        <v>229814.75099999999</v>
      </c>
      <c r="DI12">
        <f>230994.76</f>
        <v>230994.76</v>
      </c>
      <c r="DJ12">
        <f>230041.876</f>
        <v>230041.87599999999</v>
      </c>
      <c r="DK12">
        <f>221138.038</f>
        <v>221138.038</v>
      </c>
      <c r="DL12">
        <f>226134.52</f>
        <v>226134.52</v>
      </c>
      <c r="DM12">
        <f>229192.217</f>
        <v>229192.217</v>
      </c>
      <c r="DN12">
        <f>231443.515</f>
        <v>231443.51500000001</v>
      </c>
      <c r="DO12">
        <f>238117.002</f>
        <v>238117.00200000001</v>
      </c>
      <c r="DP12">
        <f>239954.803</f>
        <v>239954.80300000001</v>
      </c>
      <c r="DQ12">
        <f>245081.705</f>
        <v>245081.70499999999</v>
      </c>
      <c r="DR12">
        <f>236520.866</f>
        <v>236520.86600000001</v>
      </c>
      <c r="DS12">
        <f>255333.359</f>
        <v>255333.359</v>
      </c>
      <c r="DT12">
        <f>245140.174</f>
        <v>245140.174</v>
      </c>
      <c r="DU12">
        <f>246267.647</f>
        <v>246267.647</v>
      </c>
      <c r="DV12">
        <f>243803.205</f>
        <v>243803.20499999999</v>
      </c>
      <c r="DW12">
        <f>240460.26</f>
        <v>240460.26</v>
      </c>
      <c r="DX12">
        <f>244006.651</f>
        <v>244006.65100000001</v>
      </c>
      <c r="DY12">
        <f>252004.768</f>
        <v>252004.76800000001</v>
      </c>
      <c r="DZ12">
        <f>227328.174</f>
        <v>227328.174</v>
      </c>
      <c r="EA12">
        <f>223323.102</f>
        <v>223323.10200000001</v>
      </c>
      <c r="EB12">
        <f>230354.325</f>
        <v>230354.32500000001</v>
      </c>
      <c r="EC12">
        <f>251387.543</f>
        <v>251387.54300000001</v>
      </c>
      <c r="ED12">
        <f>234656.389</f>
        <v>234656.389</v>
      </c>
      <c r="EE12">
        <f>263882.762</f>
        <v>263882.76199999999</v>
      </c>
      <c r="EF12">
        <f>258663.574</f>
        <v>258663.57399999999</v>
      </c>
      <c r="EG12">
        <f>244544.159</f>
        <v>244544.15900000001</v>
      </c>
      <c r="EH12">
        <f>250282.199</f>
        <v>250282.19899999999</v>
      </c>
      <c r="EI12">
        <f>244461.997</f>
        <v>244461.997</v>
      </c>
      <c r="EJ12">
        <f>236773.688</f>
        <v>236773.68799999999</v>
      </c>
      <c r="EK12">
        <f>238850.886</f>
        <v>238850.886</v>
      </c>
      <c r="EL12">
        <f>227456.841</f>
        <v>227456.84099999999</v>
      </c>
      <c r="EM12">
        <f>235453.733</f>
        <v>235453.73300000001</v>
      </c>
      <c r="EN12">
        <f>226031.662</f>
        <v>226031.66200000001</v>
      </c>
      <c r="EO12">
        <f>229405.248</f>
        <v>229405.24799999999</v>
      </c>
      <c r="EP12">
        <f>214560.332</f>
        <v>214560.33199999999</v>
      </c>
      <c r="EQ12">
        <f>248250.095</f>
        <v>248250.095</v>
      </c>
      <c r="ER12">
        <f>235007.18</f>
        <v>235007.18</v>
      </c>
      <c r="ES12">
        <f>228495.253</f>
        <v>228495.253</v>
      </c>
      <c r="ET12">
        <f>233085.145</f>
        <v>233085.14499999999</v>
      </c>
      <c r="EU12">
        <f>230532.876</f>
        <v>230532.87599999999</v>
      </c>
      <c r="EV12">
        <f>222035.003</f>
        <v>222035.003</v>
      </c>
      <c r="EW12">
        <f>226025.236</f>
        <v>226025.236</v>
      </c>
      <c r="EX12">
        <f>226588.068</f>
        <v>226588.068</v>
      </c>
      <c r="EY12">
        <f>236607.116</f>
        <v>236607.11600000001</v>
      </c>
      <c r="EZ12">
        <f>241008.676</f>
        <v>241008.67600000001</v>
      </c>
      <c r="FA12">
        <f>238689.486</f>
        <v>238689.486</v>
      </c>
      <c r="FB12">
        <f>224247.604</f>
        <v>224247.60399999999</v>
      </c>
      <c r="FC12">
        <f>249644.255</f>
        <v>249644.255</v>
      </c>
      <c r="FD12">
        <f>244686.183</f>
        <v>244686.18299999999</v>
      </c>
      <c r="FE12">
        <f>236194.057</f>
        <v>236194.057</v>
      </c>
      <c r="FF12">
        <f>234494.218</f>
        <v>234494.21799999999</v>
      </c>
      <c r="FG12">
        <f>231419.211</f>
        <v>231419.21100000001</v>
      </c>
      <c r="FH12">
        <f>234389.535</f>
        <v>234389.535</v>
      </c>
      <c r="FI12">
        <f>232044.648</f>
        <v>232044.64799999999</v>
      </c>
      <c r="FJ12">
        <f>235488.302</f>
        <v>235488.302</v>
      </c>
      <c r="FK12">
        <f>243798.141</f>
        <v>243798.141</v>
      </c>
      <c r="FL12">
        <f>229464.856</f>
        <v>229464.856</v>
      </c>
      <c r="FM12">
        <f>234466.893</f>
        <v>234466.89300000001</v>
      </c>
      <c r="FN12">
        <f>207820.107</f>
        <v>207820.10699999999</v>
      </c>
      <c r="FO12">
        <f>235318.823</f>
        <v>235318.823</v>
      </c>
      <c r="FP12">
        <f>219798.902</f>
        <v>219798.902</v>
      </c>
      <c r="FQ12">
        <f>221311.82</f>
        <v>221311.82</v>
      </c>
    </row>
    <row r="13" spans="1:173" x14ac:dyDescent="0.25">
      <c r="A13" t="str">
        <f>"    Number of Vessel Arrivals"</f>
        <v xml:space="preserve">    Number of Vessel Arrivals</v>
      </c>
      <c r="B13" t="str">
        <f>"SIVSTOT Index"</f>
        <v>SIVSTOT Index</v>
      </c>
      <c r="C13" t="str">
        <f>"PR005"</f>
        <v>PR005</v>
      </c>
      <c r="D13" t="str">
        <f>"PX_LAST"</f>
        <v>PX_LAST</v>
      </c>
      <c r="E13" t="str">
        <f>"Dynamic"</f>
        <v>Dynamic</v>
      </c>
      <c r="F13" t="str">
        <f ca="1">IF(AND(ISNUMBER($F$84),$B$69=1),$F$84,HLOOKUP(INDIRECT(ADDRESS(2,COLUMN())),OFFSET($CL$2,0,0,ROW()-1,84),ROW()-1,FALSE))</f>
        <v/>
      </c>
      <c r="G13">
        <f ca="1">IF(AND(ISNUMBER($G$84),$B$69=1),$G$84,HLOOKUP(INDIRECT(ADDRESS(2,COLUMN())),OFFSET($CL$2,0,0,ROW()-1,84),ROW()-1,FALSE))</f>
        <v>10044</v>
      </c>
      <c r="H13">
        <f ca="1">IF(AND(ISNUMBER($H$84),$B$69=1),$H$84,HLOOKUP(INDIRECT(ADDRESS(2,COLUMN())),OFFSET($CL$2,0,0,ROW()-1,84),ROW()-1,FALSE))</f>
        <v>10070</v>
      </c>
      <c r="I13">
        <f ca="1">IF(AND(ISNUMBER($I$84),$B$69=1),$I$84,HLOOKUP(INDIRECT(ADDRESS(2,COLUMN())),OFFSET($CL$2,0,0,ROW()-1,84),ROW()-1,FALSE))</f>
        <v>10196</v>
      </c>
      <c r="J13">
        <f ca="1">IF(AND(ISNUMBER($J$84),$B$69=1),$J$84,HLOOKUP(INDIRECT(ADDRESS(2,COLUMN())),OFFSET($CL$2,0,0,ROW()-1,84),ROW()-1,FALSE))</f>
        <v>9845</v>
      </c>
      <c r="K13">
        <f ca="1">IF(AND(ISNUMBER($K$84),$B$69=1),$K$84,HLOOKUP(INDIRECT(ADDRESS(2,COLUMN())),OFFSET($CL$2,0,0,ROW()-1,84),ROW()-1,FALSE))</f>
        <v>10324</v>
      </c>
      <c r="L13">
        <f ca="1">IF(AND(ISNUMBER($L$84),$B$69=1),$L$84,HLOOKUP(INDIRECT(ADDRESS(2,COLUMN())),OFFSET($CL$2,0,0,ROW()-1,84),ROW()-1,FALSE))</f>
        <v>9987</v>
      </c>
      <c r="M13">
        <f ca="1">IF(AND(ISNUMBER($M$84),$B$69=1),$M$84,HLOOKUP(INDIRECT(ADDRESS(2,COLUMN())),OFFSET($CL$2,0,0,ROW()-1,84),ROW()-1,FALSE))</f>
        <v>10270</v>
      </c>
      <c r="N13">
        <f ca="1">IF(AND(ISNUMBER($N$84),$B$69=1),$N$84,HLOOKUP(INDIRECT(ADDRESS(2,COLUMN())),OFFSET($CL$2,0,0,ROW()-1,84),ROW()-1,FALSE))</f>
        <v>9202</v>
      </c>
      <c r="O13">
        <f ca="1">IF(AND(ISNUMBER($O$84),$B$69=1),$O$84,HLOOKUP(INDIRECT(ADDRESS(2,COLUMN())),OFFSET($CL$2,0,0,ROW()-1,84),ROW()-1,FALSE))</f>
        <v>10035</v>
      </c>
      <c r="P13">
        <f ca="1">IF(AND(ISNUMBER($P$84),$B$69=1),$P$84,HLOOKUP(INDIRECT(ADDRESS(2,COLUMN())),OFFSET($CL$2,0,0,ROW()-1,84),ROW()-1,FALSE))</f>
        <v>10081</v>
      </c>
      <c r="Q13">
        <f ca="1">IF(AND(ISNUMBER($Q$84),$B$69=1),$Q$84,HLOOKUP(INDIRECT(ADDRESS(2,COLUMN())),OFFSET($CL$2,0,0,ROW()-1,84),ROW()-1,FALSE))</f>
        <v>9442</v>
      </c>
      <c r="R13">
        <f ca="1">IF(AND(ISNUMBER($R$84),$B$69=1),$R$84,HLOOKUP(INDIRECT(ADDRESS(2,COLUMN())),OFFSET($CL$2,0,0,ROW()-1,84),ROW()-1,FALSE))</f>
        <v>9451</v>
      </c>
      <c r="S13">
        <f ca="1">IF(AND(ISNUMBER($S$84),$B$69=1),$S$84,HLOOKUP(INDIRECT(ADDRESS(2,COLUMN())),OFFSET($CL$2,0,0,ROW()-1,84),ROW()-1,FALSE))</f>
        <v>8976</v>
      </c>
      <c r="T13">
        <f ca="1">IF(AND(ISNUMBER($T$84),$B$69=1),$T$84,HLOOKUP(INDIRECT(ADDRESS(2,COLUMN())),OFFSET($CL$2,0,0,ROW()-1,84),ROW()-1,FALSE))</f>
        <v>9129</v>
      </c>
      <c r="U13">
        <f ca="1">IF(AND(ISNUMBER($U$84),$B$69=1),$U$84,HLOOKUP(INDIRECT(ADDRESS(2,COLUMN())),OFFSET($CL$2,0,0,ROW()-1,84),ROW()-1,FALSE))</f>
        <v>9044</v>
      </c>
      <c r="V13">
        <f ca="1">IF(AND(ISNUMBER($V$84),$B$69=1),$V$84,HLOOKUP(INDIRECT(ADDRESS(2,COLUMN())),OFFSET($CL$2,0,0,ROW()-1,84),ROW()-1,FALSE))</f>
        <v>8301</v>
      </c>
      <c r="W13">
        <f ca="1">IF(AND(ISNUMBER($W$84),$B$69=1),$W$84,HLOOKUP(INDIRECT(ADDRESS(2,COLUMN())),OFFSET($CL$2,0,0,ROW()-1,84),ROW()-1,FALSE))</f>
        <v>7815</v>
      </c>
      <c r="X13">
        <f ca="1">IF(AND(ISNUMBER($X$84),$B$69=1),$X$84,HLOOKUP(INDIRECT(ADDRESS(2,COLUMN())),OFFSET($CL$2,0,0,ROW()-1,84),ROW()-1,FALSE))</f>
        <v>7608</v>
      </c>
      <c r="Y13">
        <f ca="1">IF(AND(ISNUMBER($Y$84),$B$69=1),$Y$84,HLOOKUP(INDIRECT(ADDRESS(2,COLUMN())),OFFSET($CL$2,0,0,ROW()-1,84),ROW()-1,FALSE))</f>
        <v>7307</v>
      </c>
      <c r="Z13">
        <f ca="1">IF(AND(ISNUMBER($Z$84),$B$69=1),$Z$84,HLOOKUP(INDIRECT(ADDRESS(2,COLUMN())),OFFSET($CL$2,0,0,ROW()-1,84),ROW()-1,FALSE))</f>
        <v>6440</v>
      </c>
      <c r="AA13">
        <f ca="1">IF(AND(ISNUMBER($AA$84),$B$69=1),$AA$84,HLOOKUP(INDIRECT(ADDRESS(2,COLUMN())),OFFSET($CL$2,0,0,ROW()-1,84),ROW()-1,FALSE))</f>
        <v>7213</v>
      </c>
      <c r="AB13">
        <f ca="1">IF(AND(ISNUMBER($AB$84),$B$69=1),$AB$84,HLOOKUP(INDIRECT(ADDRESS(2,COLUMN())),OFFSET($CL$2,0,0,ROW()-1,84),ROW()-1,FALSE))</f>
        <v>7286</v>
      </c>
      <c r="AC13">
        <f ca="1">IF(AND(ISNUMBER($AC$84),$B$69=1),$AC$84,HLOOKUP(INDIRECT(ADDRESS(2,COLUMN())),OFFSET($CL$2,0,0,ROW()-1,84),ROW()-1,FALSE))</f>
        <v>7130</v>
      </c>
      <c r="AD13">
        <f ca="1">IF(AND(ISNUMBER($AD$84),$B$69=1),$AD$84,HLOOKUP(INDIRECT(ADDRESS(2,COLUMN())),OFFSET($CL$2,0,0,ROW()-1,84),ROW()-1,FALSE))</f>
        <v>7098</v>
      </c>
      <c r="AE13">
        <f ca="1">IF(AND(ISNUMBER($AE$84),$B$69=1),$AE$84,HLOOKUP(INDIRECT(ADDRESS(2,COLUMN())),OFFSET($CL$2,0,0,ROW()-1,84),ROW()-1,FALSE))</f>
        <v>6918</v>
      </c>
      <c r="AF13">
        <f ca="1">IF(AND(ISNUMBER($AF$84),$B$69=1),$AF$84,HLOOKUP(INDIRECT(ADDRESS(2,COLUMN())),OFFSET($CL$2,0,0,ROW()-1,84),ROW()-1,FALSE))</f>
        <v>7178</v>
      </c>
      <c r="AG13">
        <f ca="1">IF(AND(ISNUMBER($AG$84),$B$69=1),$AG$84,HLOOKUP(INDIRECT(ADDRESS(2,COLUMN())),OFFSET($CL$2,0,0,ROW()-1,84),ROW()-1,FALSE))</f>
        <v>7246</v>
      </c>
      <c r="AH13">
        <f ca="1">IF(AND(ISNUMBER($AH$84),$B$69=1),$AH$84,HLOOKUP(INDIRECT(ADDRESS(2,COLUMN())),OFFSET($CL$2,0,0,ROW()-1,84),ROW()-1,FALSE))</f>
        <v>7247</v>
      </c>
      <c r="AI13">
        <f ca="1">IF(AND(ISNUMBER($AI$84),$B$69=1),$AI$84,HLOOKUP(INDIRECT(ADDRESS(2,COLUMN())),OFFSET($CL$2,0,0,ROW()-1,84),ROW()-1,FALSE))</f>
        <v>7211</v>
      </c>
      <c r="AJ13">
        <f ca="1">IF(AND(ISNUMBER($AJ$84),$B$69=1),$AJ$84,HLOOKUP(INDIRECT(ADDRESS(2,COLUMN())),OFFSET($CL$2,0,0,ROW()-1,84),ROW()-1,FALSE))</f>
        <v>7500</v>
      </c>
      <c r="AK13">
        <f ca="1">IF(AND(ISNUMBER($AK$84),$B$69=1),$AK$84,HLOOKUP(INDIRECT(ADDRESS(2,COLUMN())),OFFSET($CL$2,0,0,ROW()-1,84),ROW()-1,FALSE))</f>
        <v>7788</v>
      </c>
      <c r="AL13">
        <f ca="1">IF(AND(ISNUMBER($AL$84),$B$69=1),$AL$84,HLOOKUP(INDIRECT(ADDRESS(2,COLUMN())),OFFSET($CL$2,0,0,ROW()-1,84),ROW()-1,FALSE))</f>
        <v>6990</v>
      </c>
      <c r="AM13">
        <f ca="1">IF(AND(ISNUMBER($AM$84),$B$69=1),$AM$84,HLOOKUP(INDIRECT(ADDRESS(2,COLUMN())),OFFSET($CL$2,0,0,ROW()-1,84),ROW()-1,FALSE))</f>
        <v>7641</v>
      </c>
      <c r="AN13">
        <f ca="1">IF(AND(ISNUMBER($AN$84),$B$69=1),$AN$84,HLOOKUP(INDIRECT(ADDRESS(2,COLUMN())),OFFSET($CL$2,0,0,ROW()-1,84),ROW()-1,FALSE))</f>
        <v>7479</v>
      </c>
      <c r="AO13">
        <f ca="1">IF(AND(ISNUMBER($AO$84),$B$69=1),$AO$84,HLOOKUP(INDIRECT(ADDRESS(2,COLUMN())),OFFSET($CL$2,0,0,ROW()-1,84),ROW()-1,FALSE))</f>
        <v>7347</v>
      </c>
      <c r="AP13">
        <f ca="1">IF(AND(ISNUMBER($AP$84),$B$69=1),$AP$84,HLOOKUP(INDIRECT(ADDRESS(2,COLUMN())),OFFSET($CL$2,0,0,ROW()-1,84),ROW()-1,FALSE))</f>
        <v>7502</v>
      </c>
      <c r="AQ13">
        <f ca="1">IF(AND(ISNUMBER($AQ$84),$B$69=1),$AQ$84,HLOOKUP(INDIRECT(ADDRESS(2,COLUMN())),OFFSET($CL$2,0,0,ROW()-1,84),ROW()-1,FALSE))</f>
        <v>7255</v>
      </c>
      <c r="AR13">
        <f ca="1">IF(AND(ISNUMBER($AR$84),$B$69=1),$AR$84,HLOOKUP(INDIRECT(ADDRESS(2,COLUMN())),OFFSET($CL$2,0,0,ROW()-1,84),ROW()-1,FALSE))</f>
        <v>6958</v>
      </c>
      <c r="AS13">
        <f ca="1">IF(AND(ISNUMBER($AS$84),$B$69=1),$AS$84,HLOOKUP(INDIRECT(ADDRESS(2,COLUMN())),OFFSET($CL$2,0,0,ROW()-1,84),ROW()-1,FALSE))</f>
        <v>7178</v>
      </c>
      <c r="AT13">
        <f ca="1">IF(AND(ISNUMBER($AT$84),$B$69=1),$AT$84,HLOOKUP(INDIRECT(ADDRESS(2,COLUMN())),OFFSET($CL$2,0,0,ROW()-1,84),ROW()-1,FALSE))</f>
        <v>6701</v>
      </c>
      <c r="AU13">
        <f ca="1">IF(AND(ISNUMBER($AU$84),$B$69=1),$AU$84,HLOOKUP(INDIRECT(ADDRESS(2,COLUMN())),OFFSET($CL$2,0,0,ROW()-1,84),ROW()-1,FALSE))</f>
        <v>6582</v>
      </c>
      <c r="AV13">
        <f ca="1">IF(AND(ISNUMBER($AV$84),$B$69=1),$AV$84,HLOOKUP(INDIRECT(ADDRESS(2,COLUMN())),OFFSET($CL$2,0,0,ROW()-1,84),ROW()-1,FALSE))</f>
        <v>7015</v>
      </c>
      <c r="AW13">
        <f ca="1">IF(AND(ISNUMBER($AW$84),$B$69=1),$AW$84,HLOOKUP(INDIRECT(ADDRESS(2,COLUMN())),OFFSET($CL$2,0,0,ROW()-1,84),ROW()-1,FALSE))</f>
        <v>9827</v>
      </c>
      <c r="AX13">
        <f ca="1">IF(AND(ISNUMBER($AX$84),$B$69=1),$AX$84,HLOOKUP(INDIRECT(ADDRESS(2,COLUMN())),OFFSET($CL$2,0,0,ROW()-1,84),ROW()-1,FALSE))</f>
        <v>10879</v>
      </c>
      <c r="AY13">
        <f ca="1">IF(AND(ISNUMBER($AY$84),$B$69=1),$AY$84,HLOOKUP(INDIRECT(ADDRESS(2,COLUMN())),OFFSET($CL$2,0,0,ROW()-1,84),ROW()-1,FALSE))</f>
        <v>12134</v>
      </c>
      <c r="AZ13">
        <f ca="1">IF(AND(ISNUMBER($AZ$84),$B$69=1),$AZ$84,HLOOKUP(INDIRECT(ADDRESS(2,COLUMN())),OFFSET($CL$2,0,0,ROW()-1,84),ROW()-1,FALSE))</f>
        <v>12148</v>
      </c>
      <c r="BA13">
        <f ca="1">IF(AND(ISNUMBER($BA$84),$B$69=1),$BA$84,HLOOKUP(INDIRECT(ADDRESS(2,COLUMN())),OFFSET($CL$2,0,0,ROW()-1,84),ROW()-1,FALSE))</f>
        <v>11743</v>
      </c>
      <c r="BB13">
        <f ca="1">IF(AND(ISNUMBER($BB$84),$B$69=1),$BB$84,HLOOKUP(INDIRECT(ADDRESS(2,COLUMN())),OFFSET($CL$2,0,0,ROW()-1,84),ROW()-1,FALSE))</f>
        <v>12026</v>
      </c>
      <c r="BC13">
        <f ca="1">IF(AND(ISNUMBER($BC$84),$B$69=1),$BC$84,HLOOKUP(INDIRECT(ADDRESS(2,COLUMN())),OFFSET($CL$2,0,0,ROW()-1,84),ROW()-1,FALSE))</f>
        <v>11547</v>
      </c>
      <c r="BD13">
        <f ca="1">IF(AND(ISNUMBER($BD$84),$B$69=1),$BD$84,HLOOKUP(INDIRECT(ADDRESS(2,COLUMN())),OFFSET($CL$2,0,0,ROW()-1,84),ROW()-1,FALSE))</f>
        <v>11739</v>
      </c>
      <c r="BE13">
        <f ca="1">IF(AND(ISNUMBER($BE$84),$B$69=1),$BE$84,HLOOKUP(INDIRECT(ADDRESS(2,COLUMN())),OFFSET($CL$2,0,0,ROW()-1,84),ROW()-1,FALSE))</f>
        <v>11554</v>
      </c>
      <c r="BF13">
        <f ca="1">IF(AND(ISNUMBER($BF$84),$B$69=1),$BF$84,HLOOKUP(INDIRECT(ADDRESS(2,COLUMN())),OFFSET($CL$2,0,0,ROW()-1,84),ROW()-1,FALSE))</f>
        <v>11138</v>
      </c>
      <c r="BG13">
        <f ca="1">IF(AND(ISNUMBER($BG$84),$B$69=1),$BG$84,HLOOKUP(INDIRECT(ADDRESS(2,COLUMN())),OFFSET($CL$2,0,0,ROW()-1,84),ROW()-1,FALSE))</f>
        <v>11697</v>
      </c>
      <c r="BH13">
        <f ca="1">IF(AND(ISNUMBER($BH$84),$B$69=1),$BH$84,HLOOKUP(INDIRECT(ADDRESS(2,COLUMN())),OFFSET($CL$2,0,0,ROW()-1,84),ROW()-1,FALSE))</f>
        <v>11243</v>
      </c>
      <c r="BI13">
        <f ca="1">IF(AND(ISNUMBER($BI$84),$B$69=1),$BI$84,HLOOKUP(INDIRECT(ADDRESS(2,COLUMN())),OFFSET($CL$2,0,0,ROW()-1,84),ROW()-1,FALSE))</f>
        <v>11509</v>
      </c>
      <c r="BJ13">
        <f ca="1">IF(AND(ISNUMBER($BJ$84),$B$69=1),$BJ$84,HLOOKUP(INDIRECT(ADDRESS(2,COLUMN())),OFFSET($CL$2,0,0,ROW()-1,84),ROW()-1,FALSE))</f>
        <v>10275</v>
      </c>
      <c r="BK13">
        <f ca="1">IF(AND(ISNUMBER($BK$84),$B$69=1),$BK$84,HLOOKUP(INDIRECT(ADDRESS(2,COLUMN())),OFFSET($CL$2,0,0,ROW()-1,84),ROW()-1,FALSE))</f>
        <v>11678</v>
      </c>
      <c r="BL13">
        <f ca="1">IF(AND(ISNUMBER($BL$84),$B$69=1),$BL$84,HLOOKUP(INDIRECT(ADDRESS(2,COLUMN())),OFFSET($CL$2,0,0,ROW()-1,84),ROW()-1,FALSE))</f>
        <v>11723</v>
      </c>
      <c r="BM13">
        <f ca="1">IF(AND(ISNUMBER($BM$84),$B$69=1),$BM$84,HLOOKUP(INDIRECT(ADDRESS(2,COLUMN())),OFFSET($CL$2,0,0,ROW()-1,84),ROW()-1,FALSE))</f>
        <v>11187</v>
      </c>
      <c r="BN13">
        <f ca="1">IF(AND(ISNUMBER($BN$84),$B$69=1),$BN$84,HLOOKUP(INDIRECT(ADDRESS(2,COLUMN())),OFFSET($CL$2,0,0,ROW()-1,84),ROW()-1,FALSE))</f>
        <v>11629</v>
      </c>
      <c r="BO13">
        <f ca="1">IF(AND(ISNUMBER($BO$84),$B$69=1),$BO$84,HLOOKUP(INDIRECT(ADDRESS(2,COLUMN())),OFFSET($CL$2,0,0,ROW()-1,84),ROW()-1,FALSE))</f>
        <v>11367</v>
      </c>
      <c r="BP13">
        <f ca="1">IF(AND(ISNUMBER($BP$84),$B$69=1),$BP$84,HLOOKUP(INDIRECT(ADDRESS(2,COLUMN())),OFFSET($CL$2,0,0,ROW()-1,84),ROW()-1,FALSE))</f>
        <v>11389</v>
      </c>
      <c r="BQ13">
        <f ca="1">IF(AND(ISNUMBER($BQ$84),$B$69=1),$BQ$84,HLOOKUP(INDIRECT(ADDRESS(2,COLUMN())),OFFSET($CL$2,0,0,ROW()-1,84),ROW()-1,FALSE))</f>
        <v>11605</v>
      </c>
      <c r="BR13">
        <f ca="1">IF(AND(ISNUMBER($BR$84),$B$69=1),$BR$84,HLOOKUP(INDIRECT(ADDRESS(2,COLUMN())),OFFSET($CL$2,0,0,ROW()-1,84),ROW()-1,FALSE))</f>
        <v>11192</v>
      </c>
      <c r="BS13">
        <f ca="1">IF(AND(ISNUMBER($BS$84),$B$69=1),$BS$84,HLOOKUP(INDIRECT(ADDRESS(2,COLUMN())),OFFSET($CL$2,0,0,ROW()-1,84),ROW()-1,FALSE))</f>
        <v>12225</v>
      </c>
      <c r="BT13">
        <f ca="1">IF(AND(ISNUMBER($BT$84),$B$69=1),$BT$84,HLOOKUP(INDIRECT(ADDRESS(2,COLUMN())),OFFSET($CL$2,0,0,ROW()-1,84),ROW()-1,FALSE))</f>
        <v>12133</v>
      </c>
      <c r="BU13">
        <f ca="1">IF(AND(ISNUMBER($BU$84),$B$69=1),$BU$84,HLOOKUP(INDIRECT(ADDRESS(2,COLUMN())),OFFSET($CL$2,0,0,ROW()-1,84),ROW()-1,FALSE))</f>
        <v>12546</v>
      </c>
      <c r="BV13">
        <f ca="1">IF(AND(ISNUMBER($BV$84),$B$69=1),$BV$84,HLOOKUP(INDIRECT(ADDRESS(2,COLUMN())),OFFSET($CL$2,0,0,ROW()-1,84),ROW()-1,FALSE))</f>
        <v>11130</v>
      </c>
      <c r="BW13">
        <f ca="1">IF(AND(ISNUMBER($BW$84),$B$69=1),$BW$84,HLOOKUP(INDIRECT(ADDRESS(2,COLUMN())),OFFSET($CL$2,0,0,ROW()-1,84),ROW()-1,FALSE))</f>
        <v>12642</v>
      </c>
      <c r="BX13">
        <f ca="1">IF(AND(ISNUMBER($BX$84),$B$69=1),$BX$84,HLOOKUP(INDIRECT(ADDRESS(2,COLUMN())),OFFSET($CL$2,0,0,ROW()-1,84),ROW()-1,FALSE))</f>
        <v>12806</v>
      </c>
      <c r="BY13">
        <f ca="1">IF(AND(ISNUMBER($BY$84),$B$69=1),$BY$84,HLOOKUP(INDIRECT(ADDRESS(2,COLUMN())),OFFSET($CL$2,0,0,ROW()-1,84),ROW()-1,FALSE))</f>
        <v>12347</v>
      </c>
      <c r="BZ13">
        <f ca="1">IF(AND(ISNUMBER($BZ$84),$B$69=1),$BZ$84,HLOOKUP(INDIRECT(ADDRESS(2,COLUMN())),OFFSET($CL$2,0,0,ROW()-1,84),ROW()-1,FALSE))</f>
        <v>12549</v>
      </c>
      <c r="CA13">
        <f ca="1">IF(AND(ISNUMBER($CA$84),$B$69=1),$CA$84,HLOOKUP(INDIRECT(ADDRESS(2,COLUMN())),OFFSET($CL$2,0,0,ROW()-1,84),ROW()-1,FALSE))</f>
        <v>11619</v>
      </c>
      <c r="CB13">
        <f ca="1">IF(AND(ISNUMBER($CB$84),$B$69=1),$CB$84,HLOOKUP(INDIRECT(ADDRESS(2,COLUMN())),OFFSET($CL$2,0,0,ROW()-1,84),ROW()-1,FALSE))</f>
        <v>11916</v>
      </c>
      <c r="CC13">
        <f ca="1">IF(AND(ISNUMBER($CC$84),$B$69=1),$CC$84,HLOOKUP(INDIRECT(ADDRESS(2,COLUMN())),OFFSET($CL$2,0,0,ROW()-1,84),ROW()-1,FALSE))</f>
        <v>11811</v>
      </c>
      <c r="CD13">
        <f ca="1">IF(AND(ISNUMBER($CD$84),$B$69=1),$CD$84,HLOOKUP(INDIRECT(ADDRESS(2,COLUMN())),OFFSET($CL$2,0,0,ROW()-1,84),ROW()-1,FALSE))</f>
        <v>12275</v>
      </c>
      <c r="CE13">
        <f ca="1">IF(AND(ISNUMBER($CE$84),$B$69=1),$CE$84,HLOOKUP(INDIRECT(ADDRESS(2,COLUMN())),OFFSET($CL$2,0,0,ROW()-1,84),ROW()-1,FALSE))</f>
        <v>12655</v>
      </c>
      <c r="CF13">
        <f ca="1">IF(AND(ISNUMBER($CF$84),$B$69=1),$CF$84,HLOOKUP(INDIRECT(ADDRESS(2,COLUMN())),OFFSET($CL$2,0,0,ROW()-1,84),ROW()-1,FALSE))</f>
        <v>12260</v>
      </c>
      <c r="CG13">
        <f ca="1">IF(AND(ISNUMBER($CG$84),$B$69=1),$CG$84,HLOOKUP(INDIRECT(ADDRESS(2,COLUMN())),OFFSET($CL$2,0,0,ROW()-1,84),ROW()-1,FALSE))</f>
        <v>12318</v>
      </c>
      <c r="CH13">
        <f ca="1">IF(AND(ISNUMBER($CH$84),$B$69=1),$CH$84,HLOOKUP(INDIRECT(ADDRESS(2,COLUMN())),OFFSET($CL$2,0,0,ROW()-1,84),ROW()-1,FALSE))</f>
        <v>10666</v>
      </c>
      <c r="CI13">
        <f ca="1">IF(AND(ISNUMBER($CI$84),$B$69=1),$CI$84,HLOOKUP(INDIRECT(ADDRESS(2,COLUMN())),OFFSET($CL$2,0,0,ROW()-1,84),ROW()-1,FALSE))</f>
        <v>11925</v>
      </c>
      <c r="CJ13">
        <f ca="1">IF(AND(ISNUMBER($CJ$84),$B$69=1),$CJ$84,HLOOKUP(INDIRECT(ADDRESS(2,COLUMN())),OFFSET($CL$2,0,0,ROW()-1,84),ROW()-1,FALSE))</f>
        <v>12131</v>
      </c>
      <c r="CK13">
        <f ca="1">IF(AND(ISNUMBER($CK$84),$B$69=1),$CK$84,HLOOKUP(INDIRECT(ADDRESS(2,COLUMN())),OFFSET($CL$2,0,0,ROW()-1,84),ROW()-1,FALSE))</f>
        <v>11713</v>
      </c>
      <c r="CL13" t="str">
        <f>""</f>
        <v/>
      </c>
      <c r="CM13">
        <f>10044</f>
        <v>10044</v>
      </c>
      <c r="CN13">
        <f>10070</f>
        <v>10070</v>
      </c>
      <c r="CO13">
        <f>10196</f>
        <v>10196</v>
      </c>
      <c r="CP13">
        <f>9845</f>
        <v>9845</v>
      </c>
      <c r="CQ13">
        <f>10324</f>
        <v>10324</v>
      </c>
      <c r="CR13">
        <f>9987</f>
        <v>9987</v>
      </c>
      <c r="CS13">
        <f>10270</f>
        <v>10270</v>
      </c>
      <c r="CT13">
        <f>9202</f>
        <v>9202</v>
      </c>
      <c r="CU13">
        <f>10035</f>
        <v>10035</v>
      </c>
      <c r="CV13">
        <f>10081</f>
        <v>10081</v>
      </c>
      <c r="CW13">
        <f>9442</f>
        <v>9442</v>
      </c>
      <c r="CX13">
        <f>9451</f>
        <v>9451</v>
      </c>
      <c r="CY13">
        <f>8976</f>
        <v>8976</v>
      </c>
      <c r="CZ13">
        <f>9129</f>
        <v>9129</v>
      </c>
      <c r="DA13">
        <f>9044</f>
        <v>9044</v>
      </c>
      <c r="DB13">
        <f>8301</f>
        <v>8301</v>
      </c>
      <c r="DC13">
        <f>7815</f>
        <v>7815</v>
      </c>
      <c r="DD13">
        <f>7608</f>
        <v>7608</v>
      </c>
      <c r="DE13">
        <f>7307</f>
        <v>7307</v>
      </c>
      <c r="DF13">
        <f>6440</f>
        <v>6440</v>
      </c>
      <c r="DG13">
        <f>7213</f>
        <v>7213</v>
      </c>
      <c r="DH13">
        <f>7286</f>
        <v>7286</v>
      </c>
      <c r="DI13">
        <f>7130</f>
        <v>7130</v>
      </c>
      <c r="DJ13">
        <f>7098</f>
        <v>7098</v>
      </c>
      <c r="DK13">
        <f>6918</f>
        <v>6918</v>
      </c>
      <c r="DL13">
        <f>7178</f>
        <v>7178</v>
      </c>
      <c r="DM13">
        <f>7246</f>
        <v>7246</v>
      </c>
      <c r="DN13">
        <f>7247</f>
        <v>7247</v>
      </c>
      <c r="DO13">
        <f>7211</f>
        <v>7211</v>
      </c>
      <c r="DP13">
        <f>7500</f>
        <v>7500</v>
      </c>
      <c r="DQ13">
        <f>7788</f>
        <v>7788</v>
      </c>
      <c r="DR13">
        <f>6990</f>
        <v>6990</v>
      </c>
      <c r="DS13">
        <f>7641</f>
        <v>7641</v>
      </c>
      <c r="DT13">
        <f>7479</f>
        <v>7479</v>
      </c>
      <c r="DU13">
        <f>7347</f>
        <v>7347</v>
      </c>
      <c r="DV13">
        <f>7502</f>
        <v>7502</v>
      </c>
      <c r="DW13">
        <f>7255</f>
        <v>7255</v>
      </c>
      <c r="DX13">
        <f>6958</f>
        <v>6958</v>
      </c>
      <c r="DY13">
        <f>7178</f>
        <v>7178</v>
      </c>
      <c r="DZ13">
        <f>6701</f>
        <v>6701</v>
      </c>
      <c r="EA13">
        <f>6582</f>
        <v>6582</v>
      </c>
      <c r="EB13">
        <f>7015</f>
        <v>7015</v>
      </c>
      <c r="EC13">
        <f>9827</f>
        <v>9827</v>
      </c>
      <c r="ED13">
        <f>10879</f>
        <v>10879</v>
      </c>
      <c r="EE13">
        <f>12134</f>
        <v>12134</v>
      </c>
      <c r="EF13">
        <f>12148</f>
        <v>12148</v>
      </c>
      <c r="EG13">
        <f>11743</f>
        <v>11743</v>
      </c>
      <c r="EH13">
        <f>12026</f>
        <v>12026</v>
      </c>
      <c r="EI13">
        <f>11547</f>
        <v>11547</v>
      </c>
      <c r="EJ13">
        <f>11739</f>
        <v>11739</v>
      </c>
      <c r="EK13">
        <f>11554</f>
        <v>11554</v>
      </c>
      <c r="EL13">
        <f>11138</f>
        <v>11138</v>
      </c>
      <c r="EM13">
        <f>11697</f>
        <v>11697</v>
      </c>
      <c r="EN13">
        <f>11243</f>
        <v>11243</v>
      </c>
      <c r="EO13">
        <f>11509</f>
        <v>11509</v>
      </c>
      <c r="EP13">
        <f>10275</f>
        <v>10275</v>
      </c>
      <c r="EQ13">
        <f>11678</f>
        <v>11678</v>
      </c>
      <c r="ER13">
        <f>11723</f>
        <v>11723</v>
      </c>
      <c r="ES13">
        <f>11187</f>
        <v>11187</v>
      </c>
      <c r="ET13">
        <f>11629</f>
        <v>11629</v>
      </c>
      <c r="EU13">
        <f>11367</f>
        <v>11367</v>
      </c>
      <c r="EV13">
        <f>11389</f>
        <v>11389</v>
      </c>
      <c r="EW13">
        <f>11605</f>
        <v>11605</v>
      </c>
      <c r="EX13">
        <f>11192</f>
        <v>11192</v>
      </c>
      <c r="EY13">
        <f>12225</f>
        <v>12225</v>
      </c>
      <c r="EZ13">
        <f>12133</f>
        <v>12133</v>
      </c>
      <c r="FA13">
        <f>12546</f>
        <v>12546</v>
      </c>
      <c r="FB13">
        <f>11130</f>
        <v>11130</v>
      </c>
      <c r="FC13">
        <f>12642</f>
        <v>12642</v>
      </c>
      <c r="FD13">
        <f>12806</f>
        <v>12806</v>
      </c>
      <c r="FE13">
        <f>12347</f>
        <v>12347</v>
      </c>
      <c r="FF13">
        <f>12549</f>
        <v>12549</v>
      </c>
      <c r="FG13">
        <f>11619</f>
        <v>11619</v>
      </c>
      <c r="FH13">
        <f>11916</f>
        <v>11916</v>
      </c>
      <c r="FI13">
        <f>11811</f>
        <v>11811</v>
      </c>
      <c r="FJ13">
        <f>12275</f>
        <v>12275</v>
      </c>
      <c r="FK13">
        <f>12655</f>
        <v>12655</v>
      </c>
      <c r="FL13">
        <f>12260</f>
        <v>12260</v>
      </c>
      <c r="FM13">
        <f>12318</f>
        <v>12318</v>
      </c>
      <c r="FN13">
        <f>10666</f>
        <v>10666</v>
      </c>
      <c r="FO13">
        <f>11925</f>
        <v>11925</v>
      </c>
      <c r="FP13">
        <f>12131</f>
        <v>12131</v>
      </c>
      <c r="FQ13">
        <f>11713</f>
        <v>11713</v>
      </c>
    </row>
    <row r="14" spans="1:173" x14ac:dyDescent="0.25">
      <c r="A14" t="str">
        <f>"Hong Kong Port Container Throughput (000 TEU)"</f>
        <v>Hong Kong Port Container Throughput (000 TEU)</v>
      </c>
      <c r="B14" t="str">
        <f>"HKCCTTL Index"</f>
        <v>HKCCTTL Index</v>
      </c>
      <c r="C14" t="str">
        <f>"PX385"</f>
        <v>PX385</v>
      </c>
      <c r="D14" t="str">
        <f>"INTERVAL_SUM"</f>
        <v>INTERVAL_SUM</v>
      </c>
      <c r="E14" t="str">
        <f>"Dynamic"</f>
        <v>Dynamic</v>
      </c>
      <c r="F14" t="str">
        <f ca="1">IF(AND(ISNUMBER($F$85),$B$69=1),$F$85,HLOOKUP(INDIRECT(ADDRESS(2,COLUMN())),OFFSET($CL$2,0,0,ROW()-1,84),ROW()-1,FALSE))</f>
        <v/>
      </c>
      <c r="G14">
        <f ca="1">IF(AND(ISNUMBER($G$85),$B$69=1),$G$85,HLOOKUP(INDIRECT(ADDRESS(2,COLUMN())),OFFSET($CL$2,0,0,ROW()-1,84),ROW()-1,FALSE))</f>
        <v>1197</v>
      </c>
      <c r="H14">
        <f ca="1">IF(AND(ISNUMBER($H$85),$B$69=1),$H$85,HLOOKUP(INDIRECT(ADDRESS(2,COLUMN())),OFFSET($CL$2,0,0,ROW()-1,84),ROW()-1,FALSE))</f>
        <v>1231</v>
      </c>
      <c r="I14">
        <f ca="1">IF(AND(ISNUMBER($I$85),$B$69=1),$I$85,HLOOKUP(INDIRECT(ADDRESS(2,COLUMN())),OFFSET($CL$2,0,0,ROW()-1,84),ROW()-1,FALSE))</f>
        <v>1217</v>
      </c>
      <c r="J14">
        <f ca="1">IF(AND(ISNUMBER($J$85),$B$69=1),$J$85,HLOOKUP(INDIRECT(ADDRESS(2,COLUMN())),OFFSET($CL$2,0,0,ROW()-1,84),ROW()-1,FALSE))</f>
        <v>1207</v>
      </c>
      <c r="K14">
        <f ca="1">IF(AND(ISNUMBER($K$85),$B$69=1),$K$85,HLOOKUP(INDIRECT(ADDRESS(2,COLUMN())),OFFSET($CL$2,0,0,ROW()-1,84),ROW()-1,FALSE))</f>
        <v>1236</v>
      </c>
      <c r="L14">
        <f ca="1">IF(AND(ISNUMBER($L$85),$B$69=1),$L$85,HLOOKUP(INDIRECT(ADDRESS(2,COLUMN())),OFFSET($CL$2,0,0,ROW()-1,84),ROW()-1,FALSE))</f>
        <v>1246</v>
      </c>
      <c r="M14">
        <f ca="1">IF(AND(ISNUMBER($M$85),$B$69=1),$M$85,HLOOKUP(INDIRECT(ADDRESS(2,COLUMN())),OFFSET($CL$2,0,0,ROW()-1,84),ROW()-1,FALSE))</f>
        <v>1307</v>
      </c>
      <c r="N14">
        <f ca="1">IF(AND(ISNUMBER($N$85),$B$69=1),$N$85,HLOOKUP(INDIRECT(ADDRESS(2,COLUMN())),OFFSET($CL$2,0,0,ROW()-1,84),ROW()-1,FALSE))</f>
        <v>1058</v>
      </c>
      <c r="O14">
        <f ca="1">IF(AND(ISNUMBER($O$85),$B$69=1),$O$85,HLOOKUP(INDIRECT(ADDRESS(2,COLUMN())),OFFSET($CL$2,0,0,ROW()-1,84),ROW()-1,FALSE))</f>
        <v>1067</v>
      </c>
      <c r="P14">
        <f ca="1">IF(AND(ISNUMBER($P$85),$B$69=1),$P$85,HLOOKUP(INDIRECT(ADDRESS(2,COLUMN())),OFFSET($CL$2,0,0,ROW()-1,84),ROW()-1,FALSE))</f>
        <v>1410</v>
      </c>
      <c r="Q14">
        <f ca="1">IF(AND(ISNUMBER($Q$85),$B$69=1),$Q$85,HLOOKUP(INDIRECT(ADDRESS(2,COLUMN())),OFFSET($CL$2,0,0,ROW()-1,84),ROW()-1,FALSE))</f>
        <v>1359</v>
      </c>
      <c r="R14">
        <f ca="1">IF(AND(ISNUMBER($R$85),$B$69=1),$R$85,HLOOKUP(INDIRECT(ADDRESS(2,COLUMN())),OFFSET($CL$2,0,0,ROW()-1,84),ROW()-1,FALSE))</f>
        <v>1280</v>
      </c>
      <c r="S14">
        <f ca="1">IF(AND(ISNUMBER($S$85),$B$69=1),$S$85,HLOOKUP(INDIRECT(ADDRESS(2,COLUMN())),OFFSET($CL$2,0,0,ROW()-1,84),ROW()-1,FALSE))</f>
        <v>1392</v>
      </c>
      <c r="T14">
        <f ca="1">IF(AND(ISNUMBER($T$85),$B$69=1),$T$85,HLOOKUP(INDIRECT(ADDRESS(2,COLUMN())),OFFSET($CL$2,0,0,ROW()-1,84),ROW()-1,FALSE))</f>
        <v>1359</v>
      </c>
      <c r="U14">
        <f ca="1">IF(AND(ISNUMBER($U$85),$B$69=1),$U$85,HLOOKUP(INDIRECT(ADDRESS(2,COLUMN())),OFFSET($CL$2,0,0,ROW()-1,84),ROW()-1,FALSE))</f>
        <v>1458</v>
      </c>
      <c r="V14">
        <f ca="1">IF(AND(ISNUMBER($V$85),$B$69=1),$V$85,HLOOKUP(INDIRECT(ADDRESS(2,COLUMN())),OFFSET($CL$2,0,0,ROW()-1,84),ROW()-1,FALSE))</f>
        <v>1588</v>
      </c>
      <c r="W14">
        <f ca="1">IF(AND(ISNUMBER($W$85),$B$69=1),$W$85,HLOOKUP(INDIRECT(ADDRESS(2,COLUMN())),OFFSET($CL$2,0,0,ROW()-1,84),ROW()-1,FALSE))</f>
        <v>1519</v>
      </c>
      <c r="X14">
        <f ca="1">IF(AND(ISNUMBER($X$85),$B$69=1),$X$85,HLOOKUP(INDIRECT(ADDRESS(2,COLUMN())),OFFSET($CL$2,0,0,ROW()-1,84),ROW()-1,FALSE))</f>
        <v>1616</v>
      </c>
      <c r="Y14">
        <f ca="1">IF(AND(ISNUMBER($Y$85),$B$69=1),$Y$85,HLOOKUP(INDIRECT(ADDRESS(2,COLUMN())),OFFSET($CL$2,0,0,ROW()-1,84),ROW()-1,FALSE))</f>
        <v>1434</v>
      </c>
      <c r="Z14">
        <f ca="1">IF(AND(ISNUMBER($Z$85),$B$69=1),$Z$85,HLOOKUP(INDIRECT(ADDRESS(2,COLUMN())),OFFSET($CL$2,0,0,ROW()-1,84),ROW()-1,FALSE))</f>
        <v>1051</v>
      </c>
      <c r="AA14">
        <f ca="1">IF(AND(ISNUMBER($AA$85),$B$69=1),$AA$85,HLOOKUP(INDIRECT(ADDRESS(2,COLUMN())),OFFSET($CL$2,0,0,ROW()-1,84),ROW()-1,FALSE))</f>
        <v>1221</v>
      </c>
      <c r="AB14">
        <f ca="1">IF(AND(ISNUMBER($AB$85),$B$69=1),$AB$85,HLOOKUP(INDIRECT(ADDRESS(2,COLUMN())),OFFSET($CL$2,0,0,ROW()-1,84),ROW()-1,FALSE))</f>
        <v>1485</v>
      </c>
      <c r="AC14">
        <f ca="1">IF(AND(ISNUMBER($AC$85),$B$69=1),$AC$85,HLOOKUP(INDIRECT(ADDRESS(2,COLUMN())),OFFSET($CL$2,0,0,ROW()-1,84),ROW()-1,FALSE))</f>
        <v>1546</v>
      </c>
      <c r="AD14">
        <f ca="1">IF(AND(ISNUMBER($AD$85),$B$69=1),$AD$85,HLOOKUP(INDIRECT(ADDRESS(2,COLUMN())),OFFSET($CL$2,0,0,ROW()-1,84),ROW()-1,FALSE))</f>
        <v>1420</v>
      </c>
      <c r="AE14">
        <f ca="1">IF(AND(ISNUMBER($AE$85),$B$69=1),$AE$85,HLOOKUP(INDIRECT(ADDRESS(2,COLUMN())),OFFSET($CL$2,0,0,ROW()-1,84),ROW()-1,FALSE))</f>
        <v>1534</v>
      </c>
      <c r="AF14">
        <f ca="1">IF(AND(ISNUMBER($AF$85),$B$69=1),$AF$85,HLOOKUP(INDIRECT(ADDRESS(2,COLUMN())),OFFSET($CL$2,0,0,ROW()-1,84),ROW()-1,FALSE))</f>
        <v>1526</v>
      </c>
      <c r="AG14">
        <f ca="1">IF(AND(ISNUMBER($AG$85),$B$69=1),$AG$85,HLOOKUP(INDIRECT(ADDRESS(2,COLUMN())),OFFSET($CL$2,0,0,ROW()-1,84),ROW()-1,FALSE))</f>
        <v>1581</v>
      </c>
      <c r="AH14">
        <f ca="1">IF(AND(ISNUMBER($AH$85),$B$69=1),$AH$85,HLOOKUP(INDIRECT(ADDRESS(2,COLUMN())),OFFSET($CL$2,0,0,ROW()-1,84),ROW()-1,FALSE))</f>
        <v>1485</v>
      </c>
      <c r="AI14">
        <f ca="1">IF(AND(ISNUMBER($AI$85),$B$69=1),$AI$85,HLOOKUP(INDIRECT(ADDRESS(2,COLUMN())),OFFSET($CL$2,0,0,ROW()-1,84),ROW()-1,FALSE))</f>
        <v>1592</v>
      </c>
      <c r="AJ14">
        <f ca="1">IF(AND(ISNUMBER($AJ$85),$B$69=1),$AJ$85,HLOOKUP(INDIRECT(ADDRESS(2,COLUMN())),OFFSET($CL$2,0,0,ROW()-1,84),ROW()-1,FALSE))</f>
        <v>1517</v>
      </c>
      <c r="AK14">
        <f ca="1">IF(AND(ISNUMBER($AK$85),$B$69=1),$AK$85,HLOOKUP(INDIRECT(ADDRESS(2,COLUMN())),OFFSET($CL$2,0,0,ROW()-1,84),ROW()-1,FALSE))</f>
        <v>1557</v>
      </c>
      <c r="AL14">
        <f ca="1">IF(AND(ISNUMBER($AL$85),$B$69=1),$AL$85,HLOOKUP(INDIRECT(ADDRESS(2,COLUMN())),OFFSET($CL$2,0,0,ROW()-1,84),ROW()-1,FALSE))</f>
        <v>1019</v>
      </c>
      <c r="AM14">
        <f ca="1">IF(AND(ISNUMBER($AM$85),$B$69=1),$AM$85,HLOOKUP(INDIRECT(ADDRESS(2,COLUMN())),OFFSET($CL$2,0,0,ROW()-1,84),ROW()-1,FALSE))</f>
        <v>1538</v>
      </c>
      <c r="AN14">
        <f ca="1">IF(AND(ISNUMBER($AN$85),$B$69=1),$AN$85,HLOOKUP(INDIRECT(ADDRESS(2,COLUMN())),OFFSET($CL$2,0,0,ROW()-1,84),ROW()-1,FALSE))</f>
        <v>1634</v>
      </c>
      <c r="AO14">
        <f ca="1">IF(AND(ISNUMBER($AO$85),$B$69=1),$AO$85,HLOOKUP(INDIRECT(ADDRESS(2,COLUMN())),OFFSET($CL$2,0,0,ROW()-1,84),ROW()-1,FALSE))</f>
        <v>1529</v>
      </c>
      <c r="AP14">
        <f ca="1">IF(AND(ISNUMBER($AP$85),$B$69=1),$AP$85,HLOOKUP(INDIRECT(ADDRESS(2,COLUMN())),OFFSET($CL$2,0,0,ROW()-1,84),ROW()-1,FALSE))</f>
        <v>1499</v>
      </c>
      <c r="AQ14">
        <f ca="1">IF(AND(ISNUMBER($AQ$85),$B$69=1),$AQ$85,HLOOKUP(INDIRECT(ADDRESS(2,COLUMN())),OFFSET($CL$2,0,0,ROW()-1,84),ROW()-1,FALSE))</f>
        <v>1538</v>
      </c>
      <c r="AR14">
        <f ca="1">IF(AND(ISNUMBER($AR$85),$B$69=1),$AR$85,HLOOKUP(INDIRECT(ADDRESS(2,COLUMN())),OFFSET($CL$2,0,0,ROW()-1,84),ROW()-1,FALSE))</f>
        <v>1573</v>
      </c>
      <c r="AS14">
        <f ca="1">IF(AND(ISNUMBER($AS$85),$B$69=1),$AS$85,HLOOKUP(INDIRECT(ADDRESS(2,COLUMN())),OFFSET($CL$2,0,0,ROW()-1,84),ROW()-1,FALSE))</f>
        <v>1588</v>
      </c>
      <c r="AT14">
        <f ca="1">IF(AND(ISNUMBER($AT$85),$B$69=1),$AT$85,HLOOKUP(INDIRECT(ADDRESS(2,COLUMN())),OFFSET($CL$2,0,0,ROW()-1,84),ROW()-1,FALSE))</f>
        <v>1533</v>
      </c>
      <c r="AU14">
        <f ca="1">IF(AND(ISNUMBER($AU$85),$B$69=1),$AU$85,HLOOKUP(INDIRECT(ADDRESS(2,COLUMN())),OFFSET($CL$2,0,0,ROW()-1,84),ROW()-1,FALSE))</f>
        <v>1515</v>
      </c>
      <c r="AV14">
        <f ca="1">IF(AND(ISNUMBER($AV$85),$B$69=1),$AV$85,HLOOKUP(INDIRECT(ADDRESS(2,COLUMN())),OFFSET($CL$2,0,0,ROW()-1,84),ROW()-1,FALSE))</f>
        <v>1462</v>
      </c>
      <c r="AW14">
        <f ca="1">IF(AND(ISNUMBER($AW$85),$B$69=1),$AW$85,HLOOKUP(INDIRECT(ADDRESS(2,COLUMN())),OFFSET($CL$2,0,0,ROW()-1,84),ROW()-1,FALSE))</f>
        <v>1515</v>
      </c>
      <c r="AX14">
        <f ca="1">IF(AND(ISNUMBER($AX$85),$B$69=1),$AX$85,HLOOKUP(INDIRECT(ADDRESS(2,COLUMN())),OFFSET($CL$2,0,0,ROW()-1,84),ROW()-1,FALSE))</f>
        <v>1160</v>
      </c>
      <c r="AY14">
        <f ca="1">IF(AND(ISNUMBER($AY$85),$B$69=1),$AY$85,HLOOKUP(INDIRECT(ADDRESS(2,COLUMN())),OFFSET($CL$2,0,0,ROW()-1,84),ROW()-1,FALSE))</f>
        <v>1425</v>
      </c>
      <c r="AZ14">
        <f ca="1">IF(AND(ISNUMBER($AZ$85),$B$69=1),$AZ$85,HLOOKUP(INDIRECT(ADDRESS(2,COLUMN())),OFFSET($CL$2,0,0,ROW()-1,84),ROW()-1,FALSE))</f>
        <v>1524</v>
      </c>
      <c r="BA14">
        <f ca="1">IF(AND(ISNUMBER($BA$85),$B$69=1),$BA$85,HLOOKUP(INDIRECT(ADDRESS(2,COLUMN())),OFFSET($CL$2,0,0,ROW()-1,84),ROW()-1,FALSE))</f>
        <v>1511</v>
      </c>
      <c r="BB14">
        <f ca="1">IF(AND(ISNUMBER($BB$85),$B$69=1),$BB$85,HLOOKUP(INDIRECT(ADDRESS(2,COLUMN())),OFFSET($CL$2,0,0,ROW()-1,84),ROW()-1,FALSE))</f>
        <v>1553</v>
      </c>
      <c r="BC14">
        <f ca="1">IF(AND(ISNUMBER($BC$85),$B$69=1),$BC$85,HLOOKUP(INDIRECT(ADDRESS(2,COLUMN())),OFFSET($CL$2,0,0,ROW()-1,84),ROW()-1,FALSE))</f>
        <v>1484</v>
      </c>
      <c r="BD14">
        <f ca="1">IF(AND(ISNUMBER($BD$85),$B$69=1),$BD$85,HLOOKUP(INDIRECT(ADDRESS(2,COLUMN())),OFFSET($CL$2,0,0,ROW()-1,84),ROW()-1,FALSE))</f>
        <v>1584</v>
      </c>
      <c r="BE14">
        <f ca="1">IF(AND(ISNUMBER($BE$85),$B$69=1),$BE$85,HLOOKUP(INDIRECT(ADDRESS(2,COLUMN())),OFFSET($CL$2,0,0,ROW()-1,84),ROW()-1,FALSE))</f>
        <v>1549</v>
      </c>
      <c r="BF14">
        <f ca="1">IF(AND(ISNUMBER($BF$85),$B$69=1),$BF$85,HLOOKUP(INDIRECT(ADDRESS(2,COLUMN())),OFFSET($CL$2,0,0,ROW()-1,84),ROW()-1,FALSE))</f>
        <v>1527</v>
      </c>
      <c r="BG14">
        <f ca="1">IF(AND(ISNUMBER($BG$85),$B$69=1),$BG$85,HLOOKUP(INDIRECT(ADDRESS(2,COLUMN())),OFFSET($CL$2,0,0,ROW()-1,84),ROW()-1,FALSE))</f>
        <v>1572</v>
      </c>
      <c r="BH14">
        <f ca="1">IF(AND(ISNUMBER($BH$85),$B$69=1),$BH$85,HLOOKUP(INDIRECT(ADDRESS(2,COLUMN())),OFFSET($CL$2,0,0,ROW()-1,84),ROW()-1,FALSE))</f>
        <v>1574</v>
      </c>
      <c r="BI14">
        <f ca="1">IF(AND(ISNUMBER($BI$85),$B$69=1),$BI$85,HLOOKUP(INDIRECT(ADDRESS(2,COLUMN())),OFFSET($CL$2,0,0,ROW()-1,84),ROW()-1,FALSE))</f>
        <v>1567</v>
      </c>
      <c r="BJ14">
        <f ca="1">IF(AND(ISNUMBER($BJ$85),$B$69=1),$BJ$85,HLOOKUP(INDIRECT(ADDRESS(2,COLUMN())),OFFSET($CL$2,0,0,ROW()-1,84),ROW()-1,FALSE))</f>
        <v>1162</v>
      </c>
      <c r="BK14">
        <f ca="1">IF(AND(ISNUMBER($BK$85),$B$69=1),$BK$85,HLOOKUP(INDIRECT(ADDRESS(2,COLUMN())),OFFSET($CL$2,0,0,ROW()-1,84),ROW()-1,FALSE))</f>
        <v>1695</v>
      </c>
      <c r="BL14">
        <f ca="1">IF(AND(ISNUMBER($BL$85),$B$69=1),$BL$85,HLOOKUP(INDIRECT(ADDRESS(2,COLUMN())),OFFSET($CL$2,0,0,ROW()-1,84),ROW()-1,FALSE))</f>
        <v>1674</v>
      </c>
      <c r="BM14">
        <f ca="1">IF(AND(ISNUMBER($BM$85),$B$69=1),$BM$85,HLOOKUP(INDIRECT(ADDRESS(2,COLUMN())),OFFSET($CL$2,0,0,ROW()-1,84),ROW()-1,FALSE))</f>
        <v>1639</v>
      </c>
      <c r="BN14">
        <f ca="1">IF(AND(ISNUMBER($BN$85),$B$69=1),$BN$85,HLOOKUP(INDIRECT(ADDRESS(2,COLUMN())),OFFSET($CL$2,0,0,ROW()-1,84),ROW()-1,FALSE))</f>
        <v>1646</v>
      </c>
      <c r="BO14">
        <f ca="1">IF(AND(ISNUMBER($BO$85),$B$69=1),$BO$85,HLOOKUP(INDIRECT(ADDRESS(2,COLUMN())),OFFSET($CL$2,0,0,ROW()-1,84),ROW()-1,FALSE))</f>
        <v>1487</v>
      </c>
      <c r="BP14">
        <f ca="1">IF(AND(ISNUMBER($BP$85),$B$69=1),$BP$85,HLOOKUP(INDIRECT(ADDRESS(2,COLUMN())),OFFSET($CL$2,0,0,ROW()-1,84),ROW()-1,FALSE))</f>
        <v>1616</v>
      </c>
      <c r="BQ14">
        <f ca="1">IF(AND(ISNUMBER($BQ$85),$B$69=1),$BQ$85,HLOOKUP(INDIRECT(ADDRESS(2,COLUMN())),OFFSET($CL$2,0,0,ROW()-1,84),ROW()-1,FALSE))</f>
        <v>1666</v>
      </c>
      <c r="BR14">
        <f ca="1">IF(AND(ISNUMBER($BR$85),$B$69=1),$BR$85,HLOOKUP(INDIRECT(ADDRESS(2,COLUMN())),OFFSET($CL$2,0,0,ROW()-1,84),ROW()-1,FALSE))</f>
        <v>1683</v>
      </c>
      <c r="BS14">
        <f ca="1">IF(AND(ISNUMBER($BS$85),$B$69=1),$BS$85,HLOOKUP(INDIRECT(ADDRESS(2,COLUMN())),OFFSET($CL$2,0,0,ROW()-1,84),ROW()-1,FALSE))</f>
        <v>1696</v>
      </c>
      <c r="BT14">
        <f ca="1">IF(AND(ISNUMBER($BT$85),$B$69=1),$BT$85,HLOOKUP(INDIRECT(ADDRESS(2,COLUMN())),OFFSET($CL$2,0,0,ROW()-1,84),ROW()-1,FALSE))</f>
        <v>1601</v>
      </c>
      <c r="BU14">
        <f ca="1">IF(AND(ISNUMBER($BU$85),$B$69=1),$BU$85,HLOOKUP(INDIRECT(ADDRESS(2,COLUMN())),OFFSET($CL$2,0,0,ROW()-1,84),ROW()-1,FALSE))</f>
        <v>1628</v>
      </c>
      <c r="BV14">
        <f ca="1">IF(AND(ISNUMBER($BV$85),$B$69=1),$BV$85,HLOOKUP(INDIRECT(ADDRESS(2,COLUMN())),OFFSET($CL$2,0,0,ROW()-1,84),ROW()-1,FALSE))</f>
        <v>1414</v>
      </c>
      <c r="BW14">
        <f ca="1">IF(AND(ISNUMBER($BW$85),$B$69=1),$BW$85,HLOOKUP(INDIRECT(ADDRESS(2,COLUMN())),OFFSET($CL$2,0,0,ROW()-1,84),ROW()-1,FALSE))</f>
        <v>1846</v>
      </c>
      <c r="BX14">
        <f ca="1">IF(AND(ISNUMBER($BX$85),$B$69=1),$BX$85,HLOOKUP(INDIRECT(ADDRESS(2,COLUMN())),OFFSET($CL$2,0,0,ROW()-1,84),ROW()-1,FALSE))</f>
        <v>1780</v>
      </c>
      <c r="BY14">
        <f ca="1">IF(AND(ISNUMBER($BY$85),$B$69=1),$BY$85,HLOOKUP(INDIRECT(ADDRESS(2,COLUMN())),OFFSET($CL$2,0,0,ROW()-1,84),ROW()-1,FALSE))</f>
        <v>1757</v>
      </c>
      <c r="BZ14">
        <f ca="1">IF(AND(ISNUMBER($BZ$85),$B$69=1),$BZ$85,HLOOKUP(INDIRECT(ADDRESS(2,COLUMN())),OFFSET($CL$2,0,0,ROW()-1,84),ROW()-1,FALSE))</f>
        <v>1676</v>
      </c>
      <c r="CA14">
        <f ca="1">IF(AND(ISNUMBER($CA$85),$B$69=1),$CA$85,HLOOKUP(INDIRECT(ADDRESS(2,COLUMN())),OFFSET($CL$2,0,0,ROW()-1,84),ROW()-1,FALSE))</f>
        <v>1806</v>
      </c>
      <c r="CB14">
        <f ca="1">IF(AND(ISNUMBER($CB$85),$B$69=1),$CB$85,HLOOKUP(INDIRECT(ADDRESS(2,COLUMN())),OFFSET($CL$2,0,0,ROW()-1,84),ROW()-1,FALSE))</f>
        <v>1718</v>
      </c>
      <c r="CC14">
        <f ca="1">IF(AND(ISNUMBER($CC$85),$B$69=1),$CC$85,HLOOKUP(INDIRECT(ADDRESS(2,COLUMN())),OFFSET($CL$2,0,0,ROW()-1,84),ROW()-1,FALSE))</f>
        <v>1782</v>
      </c>
      <c r="CD14">
        <f ca="1">IF(AND(ISNUMBER($CD$85),$B$69=1),$CD$85,HLOOKUP(INDIRECT(ADDRESS(2,COLUMN())),OFFSET($CL$2,0,0,ROW()-1,84),ROW()-1,FALSE))</f>
        <v>1750</v>
      </c>
      <c r="CE14">
        <f ca="1">IF(AND(ISNUMBER($CE$85),$B$69=1),$CE$85,HLOOKUP(INDIRECT(ADDRESS(2,COLUMN())),OFFSET($CL$2,0,0,ROW()-1,84),ROW()-1,FALSE))</f>
        <v>1824</v>
      </c>
      <c r="CF14">
        <f ca="1">IF(AND(ISNUMBER($CF$85),$B$69=1),$CF$85,HLOOKUP(INDIRECT(ADDRESS(2,COLUMN())),OFFSET($CL$2,0,0,ROW()-1,84),ROW()-1,FALSE))</f>
        <v>1799</v>
      </c>
      <c r="CG14">
        <f ca="1">IF(AND(ISNUMBER($CG$85),$B$69=1),$CG$85,HLOOKUP(INDIRECT(ADDRESS(2,COLUMN())),OFFSET($CL$2,0,0,ROW()-1,84),ROW()-1,FALSE))</f>
        <v>1730</v>
      </c>
      <c r="CH14">
        <f ca="1">IF(AND(ISNUMBER($CH$85),$B$69=1),$CH$85,HLOOKUP(INDIRECT(ADDRESS(2,COLUMN())),OFFSET($CL$2,0,0,ROW()-1,84),ROW()-1,FALSE))</f>
        <v>1487</v>
      </c>
      <c r="CI14">
        <f ca="1">IF(AND(ISNUMBER($CI$85),$B$69=1),$CI$85,HLOOKUP(INDIRECT(ADDRESS(2,COLUMN())),OFFSET($CL$2,0,0,ROW()-1,84),ROW()-1,FALSE))</f>
        <v>1661</v>
      </c>
      <c r="CJ14">
        <f ca="1">IF(AND(ISNUMBER($CJ$85),$B$69=1),$CJ$85,HLOOKUP(INDIRECT(ADDRESS(2,COLUMN())),OFFSET($CL$2,0,0,ROW()-1,84),ROW()-1,FALSE))</f>
        <v>1983</v>
      </c>
      <c r="CK14">
        <f ca="1">IF(AND(ISNUMBER($CK$85),$B$69=1),$CK$85,HLOOKUP(INDIRECT(ADDRESS(2,COLUMN())),OFFSET($CL$2,0,0,ROW()-1,84),ROW()-1,FALSE))</f>
        <v>1814</v>
      </c>
      <c r="CL14" t="str">
        <f>""</f>
        <v/>
      </c>
      <c r="CM14">
        <f>1197</f>
        <v>1197</v>
      </c>
      <c r="CN14">
        <f>1231</f>
        <v>1231</v>
      </c>
      <c r="CO14">
        <f>1217</f>
        <v>1217</v>
      </c>
      <c r="CP14">
        <f>1207</f>
        <v>1207</v>
      </c>
      <c r="CQ14">
        <f>1236</f>
        <v>1236</v>
      </c>
      <c r="CR14">
        <f>1246</f>
        <v>1246</v>
      </c>
      <c r="CS14">
        <f>1307</f>
        <v>1307</v>
      </c>
      <c r="CT14">
        <f>1058</f>
        <v>1058</v>
      </c>
      <c r="CU14">
        <f>1067</f>
        <v>1067</v>
      </c>
      <c r="CV14">
        <f>1410</f>
        <v>1410</v>
      </c>
      <c r="CW14">
        <f>1359</f>
        <v>1359</v>
      </c>
      <c r="CX14">
        <f>1280</f>
        <v>1280</v>
      </c>
      <c r="CY14">
        <f>1392</f>
        <v>1392</v>
      </c>
      <c r="CZ14">
        <f>1359</f>
        <v>1359</v>
      </c>
      <c r="DA14">
        <f>1458</f>
        <v>1458</v>
      </c>
      <c r="DB14">
        <f>1588</f>
        <v>1588</v>
      </c>
      <c r="DC14">
        <f>1519</f>
        <v>1519</v>
      </c>
      <c r="DD14">
        <f>1616</f>
        <v>1616</v>
      </c>
      <c r="DE14">
        <f>1434</f>
        <v>1434</v>
      </c>
      <c r="DF14">
        <f>1051</f>
        <v>1051</v>
      </c>
      <c r="DG14">
        <f>1221</f>
        <v>1221</v>
      </c>
      <c r="DH14">
        <f>1485</f>
        <v>1485</v>
      </c>
      <c r="DI14">
        <f>1546</f>
        <v>1546</v>
      </c>
      <c r="DJ14">
        <f>1420</f>
        <v>1420</v>
      </c>
      <c r="DK14">
        <f>1534</f>
        <v>1534</v>
      </c>
      <c r="DL14">
        <f>1526</f>
        <v>1526</v>
      </c>
      <c r="DM14">
        <f>1581</f>
        <v>1581</v>
      </c>
      <c r="DN14">
        <f>1485</f>
        <v>1485</v>
      </c>
      <c r="DO14">
        <f>1592</f>
        <v>1592</v>
      </c>
      <c r="DP14">
        <f>1517</f>
        <v>1517</v>
      </c>
      <c r="DQ14">
        <f>1557</f>
        <v>1557</v>
      </c>
      <c r="DR14">
        <f>1019</f>
        <v>1019</v>
      </c>
      <c r="DS14">
        <f>1538</f>
        <v>1538</v>
      </c>
      <c r="DT14">
        <f>1634</f>
        <v>1634</v>
      </c>
      <c r="DU14">
        <f>1529</f>
        <v>1529</v>
      </c>
      <c r="DV14">
        <f>1499</f>
        <v>1499</v>
      </c>
      <c r="DW14">
        <f>1538</f>
        <v>1538</v>
      </c>
      <c r="DX14">
        <f>1573</f>
        <v>1573</v>
      </c>
      <c r="DY14">
        <f>1588</f>
        <v>1588</v>
      </c>
      <c r="DZ14">
        <f>1533</f>
        <v>1533</v>
      </c>
      <c r="EA14">
        <f>1515</f>
        <v>1515</v>
      </c>
      <c r="EB14">
        <f>1462</f>
        <v>1462</v>
      </c>
      <c r="EC14">
        <f>1515</f>
        <v>1515</v>
      </c>
      <c r="ED14">
        <f>1160</f>
        <v>1160</v>
      </c>
      <c r="EE14">
        <f>1425</f>
        <v>1425</v>
      </c>
      <c r="EF14">
        <f>1524</f>
        <v>1524</v>
      </c>
      <c r="EG14">
        <f>1511</f>
        <v>1511</v>
      </c>
      <c r="EH14">
        <f>1553</f>
        <v>1553</v>
      </c>
      <c r="EI14">
        <f>1484</f>
        <v>1484</v>
      </c>
      <c r="EJ14">
        <f>1584</f>
        <v>1584</v>
      </c>
      <c r="EK14">
        <f>1549</f>
        <v>1549</v>
      </c>
      <c r="EL14">
        <f>1527</f>
        <v>1527</v>
      </c>
      <c r="EM14">
        <f>1572</f>
        <v>1572</v>
      </c>
      <c r="EN14">
        <f>1574</f>
        <v>1574</v>
      </c>
      <c r="EO14">
        <f>1567</f>
        <v>1567</v>
      </c>
      <c r="EP14">
        <f>1162</f>
        <v>1162</v>
      </c>
      <c r="EQ14">
        <f>1695</f>
        <v>1695</v>
      </c>
      <c r="ER14">
        <f>1674</f>
        <v>1674</v>
      </c>
      <c r="ES14">
        <f>1639</f>
        <v>1639</v>
      </c>
      <c r="ET14">
        <f>1646</f>
        <v>1646</v>
      </c>
      <c r="EU14">
        <f>1487</f>
        <v>1487</v>
      </c>
      <c r="EV14">
        <f>1616</f>
        <v>1616</v>
      </c>
      <c r="EW14">
        <f>1666</f>
        <v>1666</v>
      </c>
      <c r="EX14">
        <f>1683</f>
        <v>1683</v>
      </c>
      <c r="EY14">
        <f>1696</f>
        <v>1696</v>
      </c>
      <c r="EZ14">
        <f>1601</f>
        <v>1601</v>
      </c>
      <c r="FA14">
        <f>1628</f>
        <v>1628</v>
      </c>
      <c r="FB14">
        <f>1414</f>
        <v>1414</v>
      </c>
      <c r="FC14">
        <f>1846</f>
        <v>1846</v>
      </c>
      <c r="FD14">
        <f>1780</f>
        <v>1780</v>
      </c>
      <c r="FE14">
        <f>1757</f>
        <v>1757</v>
      </c>
      <c r="FF14">
        <f>1676</f>
        <v>1676</v>
      </c>
      <c r="FG14">
        <f>1806</f>
        <v>1806</v>
      </c>
      <c r="FH14">
        <f>1718</f>
        <v>1718</v>
      </c>
      <c r="FI14">
        <f>1782</f>
        <v>1782</v>
      </c>
      <c r="FJ14">
        <f>1750</f>
        <v>1750</v>
      </c>
      <c r="FK14">
        <f>1824</f>
        <v>1824</v>
      </c>
      <c r="FL14">
        <f>1799</f>
        <v>1799</v>
      </c>
      <c r="FM14">
        <f>1730</f>
        <v>1730</v>
      </c>
      <c r="FN14">
        <f>1487</f>
        <v>1487</v>
      </c>
      <c r="FO14">
        <f>1661</f>
        <v>1661</v>
      </c>
      <c r="FP14">
        <f>1983</f>
        <v>1983</v>
      </c>
      <c r="FQ14">
        <f>1814</f>
        <v>1814</v>
      </c>
    </row>
    <row r="15" spans="1:173" x14ac:dyDescent="0.25">
      <c r="A15" t="str">
        <f>"Hong Kong Maritime Industry Council"</f>
        <v>Hong Kong Maritime Industry Council</v>
      </c>
      <c r="B15" t="str">
        <f>""</f>
        <v/>
      </c>
      <c r="E15" t="str">
        <f>"Heading"</f>
        <v>Heading</v>
      </c>
      <c r="CL15" t="str">
        <f>""</f>
        <v/>
      </c>
      <c r="CM15" t="str">
        <f>""</f>
        <v/>
      </c>
      <c r="CN15" t="str">
        <f>""</f>
        <v/>
      </c>
      <c r="CO15" t="str">
        <f>""</f>
        <v/>
      </c>
      <c r="CP15" t="str">
        <f>""</f>
        <v/>
      </c>
      <c r="CQ15" t="str">
        <f>""</f>
        <v/>
      </c>
      <c r="CR15" t="str">
        <f>""</f>
        <v/>
      </c>
      <c r="CS15" t="str">
        <f>""</f>
        <v/>
      </c>
      <c r="CT15" t="str">
        <f>""</f>
        <v/>
      </c>
      <c r="CU15" t="str">
        <f>""</f>
        <v/>
      </c>
      <c r="CV15" t="str">
        <f>""</f>
        <v/>
      </c>
      <c r="CW15" t="str">
        <f>""</f>
        <v/>
      </c>
      <c r="CX15" t="str">
        <f>""</f>
        <v/>
      </c>
      <c r="CY15" t="str">
        <f>""</f>
        <v/>
      </c>
      <c r="CZ15" t="str">
        <f>""</f>
        <v/>
      </c>
      <c r="DA15" t="str">
        <f>""</f>
        <v/>
      </c>
      <c r="DB15" t="str">
        <f>""</f>
        <v/>
      </c>
      <c r="DC15" t="str">
        <f>""</f>
        <v/>
      </c>
      <c r="DD15" t="str">
        <f>""</f>
        <v/>
      </c>
      <c r="DE15" t="str">
        <f>""</f>
        <v/>
      </c>
      <c r="DF15" t="str">
        <f>""</f>
        <v/>
      </c>
      <c r="DG15" t="str">
        <f>""</f>
        <v/>
      </c>
      <c r="DH15" t="str">
        <f>""</f>
        <v/>
      </c>
      <c r="DI15" t="str">
        <f>""</f>
        <v/>
      </c>
      <c r="DJ15" t="str">
        <f>""</f>
        <v/>
      </c>
      <c r="DK15" t="str">
        <f>""</f>
        <v/>
      </c>
      <c r="DL15" t="str">
        <f>""</f>
        <v/>
      </c>
      <c r="DM15" t="str">
        <f>""</f>
        <v/>
      </c>
      <c r="DN15" t="str">
        <f>""</f>
        <v/>
      </c>
      <c r="DO15" t="str">
        <f>""</f>
        <v/>
      </c>
      <c r="DP15" t="str">
        <f>""</f>
        <v/>
      </c>
      <c r="DQ15" t="str">
        <f>""</f>
        <v/>
      </c>
      <c r="DR15" t="str">
        <f>""</f>
        <v/>
      </c>
      <c r="DS15" t="str">
        <f>""</f>
        <v/>
      </c>
      <c r="DT15" t="str">
        <f>""</f>
        <v/>
      </c>
      <c r="DU15" t="str">
        <f>""</f>
        <v/>
      </c>
      <c r="DV15" t="str">
        <f>""</f>
        <v/>
      </c>
      <c r="DW15" t="str">
        <f>""</f>
        <v/>
      </c>
      <c r="DX15" t="str">
        <f>""</f>
        <v/>
      </c>
      <c r="DY15" t="str">
        <f>""</f>
        <v/>
      </c>
      <c r="DZ15" t="str">
        <f>""</f>
        <v/>
      </c>
      <c r="EA15" t="str">
        <f>""</f>
        <v/>
      </c>
      <c r="EB15" t="str">
        <f>""</f>
        <v/>
      </c>
      <c r="EC15" t="str">
        <f>""</f>
        <v/>
      </c>
      <c r="ED15" t="str">
        <f>""</f>
        <v/>
      </c>
      <c r="EE15" t="str">
        <f>""</f>
        <v/>
      </c>
      <c r="EF15" t="str">
        <f>""</f>
        <v/>
      </c>
      <c r="EG15" t="str">
        <f>""</f>
        <v/>
      </c>
      <c r="EH15" t="str">
        <f>""</f>
        <v/>
      </c>
      <c r="EI15" t="str">
        <f>""</f>
        <v/>
      </c>
      <c r="EJ15" t="str">
        <f>""</f>
        <v/>
      </c>
      <c r="EK15" t="str">
        <f>""</f>
        <v/>
      </c>
      <c r="EL15" t="str">
        <f>""</f>
        <v/>
      </c>
      <c r="EM15" t="str">
        <f>""</f>
        <v/>
      </c>
      <c r="EN15" t="str">
        <f>""</f>
        <v/>
      </c>
      <c r="EO15" t="str">
        <f>""</f>
        <v/>
      </c>
      <c r="EP15" t="str">
        <f>""</f>
        <v/>
      </c>
      <c r="EQ15" t="str">
        <f>""</f>
        <v/>
      </c>
      <c r="ER15" t="str">
        <f>""</f>
        <v/>
      </c>
      <c r="ES15" t="str">
        <f>""</f>
        <v/>
      </c>
      <c r="ET15" t="str">
        <f>""</f>
        <v/>
      </c>
      <c r="EU15" t="str">
        <f>""</f>
        <v/>
      </c>
      <c r="EV15" t="str">
        <f>""</f>
        <v/>
      </c>
      <c r="EW15" t="str">
        <f>""</f>
        <v/>
      </c>
      <c r="EX15" t="str">
        <f>""</f>
        <v/>
      </c>
      <c r="EY15" t="str">
        <f>""</f>
        <v/>
      </c>
      <c r="EZ15" t="str">
        <f>""</f>
        <v/>
      </c>
      <c r="FA15" t="str">
        <f>""</f>
        <v/>
      </c>
      <c r="FB15" t="str">
        <f>""</f>
        <v/>
      </c>
      <c r="FC15" t="str">
        <f>""</f>
        <v/>
      </c>
      <c r="FD15" t="str">
        <f>""</f>
        <v/>
      </c>
      <c r="FE15" t="str">
        <f>""</f>
        <v/>
      </c>
      <c r="FF15" t="str">
        <f>""</f>
        <v/>
      </c>
      <c r="FG15" t="str">
        <f>""</f>
        <v/>
      </c>
      <c r="FH15" t="str">
        <f>""</f>
        <v/>
      </c>
      <c r="FI15" t="str">
        <f>""</f>
        <v/>
      </c>
      <c r="FJ15" t="str">
        <f>""</f>
        <v/>
      </c>
      <c r="FK15" t="str">
        <f>""</f>
        <v/>
      </c>
      <c r="FL15" t="str">
        <f>""</f>
        <v/>
      </c>
      <c r="FM15" t="str">
        <f>""</f>
        <v/>
      </c>
      <c r="FN15" t="str">
        <f>""</f>
        <v/>
      </c>
      <c r="FO15" t="str">
        <f>""</f>
        <v/>
      </c>
      <c r="FP15" t="str">
        <f>""</f>
        <v/>
      </c>
      <c r="FQ15" t="str">
        <f>""</f>
        <v/>
      </c>
    </row>
    <row r="16" spans="1:173" x14ac:dyDescent="0.25">
      <c r="A16" t="str">
        <f>"China Sea Port Statistics"</f>
        <v>China Sea Port Statistics</v>
      </c>
      <c r="B16" t="str">
        <f>""</f>
        <v/>
      </c>
      <c r="E16" t="str">
        <f>"Heading"</f>
        <v>Heading</v>
      </c>
      <c r="CL16" t="str">
        <f>""</f>
        <v/>
      </c>
      <c r="CM16" t="str">
        <f>""</f>
        <v/>
      </c>
      <c r="CN16" t="str">
        <f>""</f>
        <v/>
      </c>
      <c r="CO16" t="str">
        <f>""</f>
        <v/>
      </c>
      <c r="CP16" t="str">
        <f>""</f>
        <v/>
      </c>
      <c r="CQ16" t="str">
        <f>""</f>
        <v/>
      </c>
      <c r="CR16" t="str">
        <f>""</f>
        <v/>
      </c>
      <c r="CS16" t="str">
        <f>""</f>
        <v/>
      </c>
      <c r="CT16" t="str">
        <f>""</f>
        <v/>
      </c>
      <c r="CU16" t="str">
        <f>""</f>
        <v/>
      </c>
      <c r="CV16" t="str">
        <f>""</f>
        <v/>
      </c>
      <c r="CW16" t="str">
        <f>""</f>
        <v/>
      </c>
      <c r="CX16" t="str">
        <f>""</f>
        <v/>
      </c>
      <c r="CY16" t="str">
        <f>""</f>
        <v/>
      </c>
      <c r="CZ16" t="str">
        <f>""</f>
        <v/>
      </c>
      <c r="DA16" t="str">
        <f>""</f>
        <v/>
      </c>
      <c r="DB16" t="str">
        <f>""</f>
        <v/>
      </c>
      <c r="DC16" t="str">
        <f>""</f>
        <v/>
      </c>
      <c r="DD16" t="str">
        <f>""</f>
        <v/>
      </c>
      <c r="DE16" t="str">
        <f>""</f>
        <v/>
      </c>
      <c r="DF16" t="str">
        <f>""</f>
        <v/>
      </c>
      <c r="DG16" t="str">
        <f>""</f>
        <v/>
      </c>
      <c r="DH16" t="str">
        <f>""</f>
        <v/>
      </c>
      <c r="DI16" t="str">
        <f>""</f>
        <v/>
      </c>
      <c r="DJ16" t="str">
        <f>""</f>
        <v/>
      </c>
      <c r="DK16" t="str">
        <f>""</f>
        <v/>
      </c>
      <c r="DL16" t="str">
        <f>""</f>
        <v/>
      </c>
      <c r="DM16" t="str">
        <f>""</f>
        <v/>
      </c>
      <c r="DN16" t="str">
        <f>""</f>
        <v/>
      </c>
      <c r="DO16" t="str">
        <f>""</f>
        <v/>
      </c>
      <c r="DP16" t="str">
        <f>""</f>
        <v/>
      </c>
      <c r="DQ16" t="str">
        <f>""</f>
        <v/>
      </c>
      <c r="DR16" t="str">
        <f>""</f>
        <v/>
      </c>
      <c r="DS16" t="str">
        <f>""</f>
        <v/>
      </c>
      <c r="DT16" t="str">
        <f>""</f>
        <v/>
      </c>
      <c r="DU16" t="str">
        <f>""</f>
        <v/>
      </c>
      <c r="DV16" t="str">
        <f>""</f>
        <v/>
      </c>
      <c r="DW16" t="str">
        <f>""</f>
        <v/>
      </c>
      <c r="DX16" t="str">
        <f>""</f>
        <v/>
      </c>
      <c r="DY16" t="str">
        <f>""</f>
        <v/>
      </c>
      <c r="DZ16" t="str">
        <f>""</f>
        <v/>
      </c>
      <c r="EA16" t="str">
        <f>""</f>
        <v/>
      </c>
      <c r="EB16" t="str">
        <f>""</f>
        <v/>
      </c>
      <c r="EC16" t="str">
        <f>""</f>
        <v/>
      </c>
      <c r="ED16" t="str">
        <f>""</f>
        <v/>
      </c>
      <c r="EE16" t="str">
        <f>""</f>
        <v/>
      </c>
      <c r="EF16" t="str">
        <f>""</f>
        <v/>
      </c>
      <c r="EG16" t="str">
        <f>""</f>
        <v/>
      </c>
      <c r="EH16" t="str">
        <f>""</f>
        <v/>
      </c>
      <c r="EI16" t="str">
        <f>""</f>
        <v/>
      </c>
      <c r="EJ16" t="str">
        <f>""</f>
        <v/>
      </c>
      <c r="EK16" t="str">
        <f>""</f>
        <v/>
      </c>
      <c r="EL16" t="str">
        <f>""</f>
        <v/>
      </c>
      <c r="EM16" t="str">
        <f>""</f>
        <v/>
      </c>
      <c r="EN16" t="str">
        <f>""</f>
        <v/>
      </c>
      <c r="EO16" t="str">
        <f>""</f>
        <v/>
      </c>
      <c r="EP16" t="str">
        <f>""</f>
        <v/>
      </c>
      <c r="EQ16" t="str">
        <f>""</f>
        <v/>
      </c>
      <c r="ER16" t="str">
        <f>""</f>
        <v/>
      </c>
      <c r="ES16" t="str">
        <f>""</f>
        <v/>
      </c>
      <c r="ET16" t="str">
        <f>""</f>
        <v/>
      </c>
      <c r="EU16" t="str">
        <f>""</f>
        <v/>
      </c>
      <c r="EV16" t="str">
        <f>""</f>
        <v/>
      </c>
      <c r="EW16" t="str">
        <f>""</f>
        <v/>
      </c>
      <c r="EX16" t="str">
        <f>""</f>
        <v/>
      </c>
      <c r="EY16" t="str">
        <f>""</f>
        <v/>
      </c>
      <c r="EZ16" t="str">
        <f>""</f>
        <v/>
      </c>
      <c r="FA16" t="str">
        <f>""</f>
        <v/>
      </c>
      <c r="FB16" t="str">
        <f>""</f>
        <v/>
      </c>
      <c r="FC16" t="str">
        <f>""</f>
        <v/>
      </c>
      <c r="FD16" t="str">
        <f>""</f>
        <v/>
      </c>
      <c r="FE16" t="str">
        <f>""</f>
        <v/>
      </c>
      <c r="FF16" t="str">
        <f>""</f>
        <v/>
      </c>
      <c r="FG16" t="str">
        <f>""</f>
        <v/>
      </c>
      <c r="FH16" t="str">
        <f>""</f>
        <v/>
      </c>
      <c r="FI16" t="str">
        <f>""</f>
        <v/>
      </c>
      <c r="FJ16" t="str">
        <f>""</f>
        <v/>
      </c>
      <c r="FK16" t="str">
        <f>""</f>
        <v/>
      </c>
      <c r="FL16" t="str">
        <f>""</f>
        <v/>
      </c>
      <c r="FM16" t="str">
        <f>""</f>
        <v/>
      </c>
      <c r="FN16" t="str">
        <f>""</f>
        <v/>
      </c>
      <c r="FO16" t="str">
        <f>""</f>
        <v/>
      </c>
      <c r="FP16" t="str">
        <f>""</f>
        <v/>
      </c>
      <c r="FQ16" t="str">
        <f>""</f>
        <v/>
      </c>
    </row>
    <row r="17" spans="1:173" x14ac:dyDescent="0.25">
      <c r="A17" t="str">
        <f>"Total China Sea Port Container Throughput (000 TEU)"</f>
        <v>Total China Sea Port Container Throughput (000 TEU)</v>
      </c>
      <c r="B17" t="str">
        <f>"CNIFSCTT Index"</f>
        <v>CNIFSCTT Index</v>
      </c>
      <c r="E17" t="str">
        <f>"Expression"</f>
        <v>Expression</v>
      </c>
      <c r="F17" t="str">
        <f ca="1">IF(AND($B$69=1,LEN($F$73)&gt;0),$F$73*10,HLOOKUP(INDIRECT(ADDRESS(2,COLUMN())),OFFSET($CL$2,0,0,ROW()-1,84),ROW()-1,FALSE))</f>
        <v/>
      </c>
      <c r="G17">
        <f ca="1">IF(AND($B$69=1,LEN($G$73)&gt;0),$G$73*10,HLOOKUP(INDIRECT(ADDRESS(2,COLUMN())),OFFSET($CL$2,0,0,ROW()-1,84),ROW()-1,FALSE))</f>
        <v>23650</v>
      </c>
      <c r="H17">
        <f ca="1">IF(AND($B$69=1,LEN($H$73)&gt;0),$H$73*10,HLOOKUP(INDIRECT(ADDRESS(2,COLUMN())),OFFSET($CL$2,0,0,ROW()-1,84),ROW()-1,FALSE))</f>
        <v>23960</v>
      </c>
      <c r="I17">
        <f ca="1">IF(AND($B$69=1,LEN($I$73)&gt;0),$I$73*10,HLOOKUP(INDIRECT(ADDRESS(2,COLUMN())),OFFSET($CL$2,0,0,ROW()-1,84),ROW()-1,FALSE))</f>
        <v>23670</v>
      </c>
      <c r="J17">
        <f ca="1">IF(AND($B$69=1,LEN($J$73)&gt;0),$J$73*10,HLOOKUP(INDIRECT(ADDRESS(2,COLUMN())),OFFSET($CL$2,0,0,ROW()-1,84),ROW()-1,FALSE))</f>
        <v>23700</v>
      </c>
      <c r="K17">
        <f ca="1">IF(AND($B$69=1,LEN($K$73)&gt;0),$K$73*10,HLOOKUP(INDIRECT(ADDRESS(2,COLUMN())),OFFSET($CL$2,0,0,ROW()-1,84),ROW()-1,FALSE))</f>
        <v>23280</v>
      </c>
      <c r="L17">
        <f ca="1">IF(AND($B$69=1,LEN($L$73)&gt;0),$L$73*10,HLOOKUP(INDIRECT(ADDRESS(2,COLUMN())),OFFSET($CL$2,0,0,ROW()-1,84),ROW()-1,FALSE))</f>
        <v>22400</v>
      </c>
      <c r="M17">
        <f ca="1">IF(AND($B$69=1,LEN($M$73)&gt;0),$M$73*10,HLOOKUP(INDIRECT(ADDRESS(2,COLUMN())),OFFSET($CL$2,0,0,ROW()-1,84),ROW()-1,FALSE))</f>
        <v>22430</v>
      </c>
      <c r="N17" t="str">
        <f ca="1">IF(AND($B$69=1,LEN($N$73)&gt;0),$N$73*10,HLOOKUP(INDIRECT(ADDRESS(2,COLUMN())),OFFSET($CL$2,0,0,ROW()-1,84),ROW()-1,FALSE))</f>
        <v/>
      </c>
      <c r="O17" t="str">
        <f ca="1">IF(AND($B$69=1,LEN($O$73)&gt;0),$O$73*10,HLOOKUP(INDIRECT(ADDRESS(2,COLUMN())),OFFSET($CL$2,0,0,ROW()-1,84),ROW()-1,FALSE))</f>
        <v/>
      </c>
      <c r="P17">
        <f ca="1">IF(AND($B$69=1,LEN($P$73)&gt;0),$P$73*10,HLOOKUP(INDIRECT(ADDRESS(2,COLUMN())),OFFSET($CL$2,0,0,ROW()-1,84),ROW()-1,FALSE))</f>
        <v>22260</v>
      </c>
      <c r="Q17">
        <f ca="1">IF(AND($B$69=1,LEN($Q$73)&gt;0),$Q$73*10,HLOOKUP(INDIRECT(ADDRESS(2,COLUMN())),OFFSET($CL$2,0,0,ROW()-1,84),ROW()-1,FALSE))</f>
        <v>22710</v>
      </c>
      <c r="R17">
        <f ca="1">IF(AND($B$69=1,LEN($R$73)&gt;0),$R$73*10,HLOOKUP(INDIRECT(ADDRESS(2,COLUMN())),OFFSET($CL$2,0,0,ROW()-1,84),ROW()-1,FALSE))</f>
        <v>22370</v>
      </c>
      <c r="S17">
        <f ca="1">IF(AND($B$69=1,LEN($S$73)&gt;0),$S$73*10,HLOOKUP(INDIRECT(ADDRESS(2,COLUMN())),OFFSET($CL$2,0,0,ROW()-1,84),ROW()-1,FALSE))</f>
        <v>21920</v>
      </c>
      <c r="T17">
        <f ca="1">IF(AND($B$69=1,LEN($T$73)&gt;0),$T$73*10,HLOOKUP(INDIRECT(ADDRESS(2,COLUMN())),OFFSET($CL$2,0,0,ROW()-1,84),ROW()-1,FALSE))</f>
        <v>22580</v>
      </c>
      <c r="U17">
        <f ca="1">IF(AND($B$69=1,LEN($U$73)&gt;0),$U$73*10,HLOOKUP(INDIRECT(ADDRESS(2,COLUMN())),OFFSET($CL$2,0,0,ROW()-1,84),ROW()-1,FALSE))</f>
        <v>23250</v>
      </c>
      <c r="V17">
        <f ca="1">IF(AND($B$69=1,LEN($V$73)&gt;0),$V$73*10,HLOOKUP(INDIRECT(ADDRESS(2,COLUMN())),OFFSET($CL$2,0,0,ROW()-1,84),ROW()-1,FALSE))</f>
        <v>22710</v>
      </c>
      <c r="W17">
        <f ca="1">IF(AND($B$69=1,LEN($W$73)&gt;0),$W$73*10,HLOOKUP(INDIRECT(ADDRESS(2,COLUMN())),OFFSET($CL$2,0,0,ROW()-1,84),ROW()-1,FALSE))</f>
        <v>22280</v>
      </c>
      <c r="X17">
        <f ca="1">IF(AND($B$69=1,LEN($X$73)&gt;0),$X$73*10,HLOOKUP(INDIRECT(ADDRESS(2,COLUMN())),OFFSET($CL$2,0,0,ROW()-1,84),ROW()-1,FALSE))</f>
        <v>20810</v>
      </c>
      <c r="Y17">
        <f ca="1">IF(AND($B$69=1,LEN($Y$73)&gt;0),$Y$73*10,HLOOKUP(INDIRECT(ADDRESS(2,COLUMN())),OFFSET($CL$2,0,0,ROW()-1,84),ROW()-1,FALSE))</f>
        <v>20980</v>
      </c>
      <c r="Z17">
        <f ca="1">IF(AND($B$69=1,LEN($Z$73)&gt;0),$Z$73*10,HLOOKUP(INDIRECT(ADDRESS(2,COLUMN())),OFFSET($CL$2,0,0,ROW()-1,84),ROW()-1,FALSE))</f>
        <v>17270</v>
      </c>
      <c r="AA17">
        <f ca="1">IF(AND($B$69=1,LEN($AA$73)&gt;0),$AA$73*10,HLOOKUP(INDIRECT(ADDRESS(2,COLUMN())),OFFSET($CL$2,0,0,ROW()-1,84),ROW()-1,FALSE))</f>
        <v>21580</v>
      </c>
      <c r="AB17">
        <f ca="1">IF(AND($B$69=1,LEN($AB$73)&gt;0),$AB$73*10,HLOOKUP(INDIRECT(ADDRESS(2,COLUMN())),OFFSET($CL$2,0,0,ROW()-1,84),ROW()-1,FALSE))</f>
        <v>20190</v>
      </c>
      <c r="AC17">
        <f ca="1">IF(AND($B$69=1,LEN($AC$73)&gt;0),$AC$73*10,HLOOKUP(INDIRECT(ADDRESS(2,COLUMN())),OFFSET($CL$2,0,0,ROW()-1,84),ROW()-1,FALSE))</f>
        <v>21130</v>
      </c>
      <c r="AD17">
        <f ca="1">IF(AND($B$69=1,LEN($AD$73)&gt;0),$AD$73*10,HLOOKUP(INDIRECT(ADDRESS(2,COLUMN())),OFFSET($CL$2,0,0,ROW()-1,84),ROW()-1,FALSE))</f>
        <v>21640</v>
      </c>
      <c r="AE17">
        <f ca="1">IF(AND($B$69=1,LEN($AE$73)&gt;0),$AE$73*10,HLOOKUP(INDIRECT(ADDRESS(2,COLUMN())),OFFSET($CL$2,0,0,ROW()-1,84),ROW()-1,FALSE))</f>
        <v>21450</v>
      </c>
      <c r="AF17">
        <f ca="1">IF(AND($B$69=1,LEN($AF$73)&gt;0),$AF$73*10,HLOOKUP(INDIRECT(ADDRESS(2,COLUMN())),OFFSET($CL$2,0,0,ROW()-1,84),ROW()-1,FALSE))</f>
        <v>21950</v>
      </c>
      <c r="AG17">
        <f ca="1">IF(AND($B$69=1,LEN($AG$73)&gt;0),$AG$73*10,HLOOKUP(INDIRECT(ADDRESS(2,COLUMN())),OFFSET($CL$2,0,0,ROW()-1,84),ROW()-1,FALSE))</f>
        <v>20990</v>
      </c>
      <c r="AH17">
        <f ca="1">IF(AND($B$69=1,LEN($AH$73)&gt;0),$AH$73*10,HLOOKUP(INDIRECT(ADDRESS(2,COLUMN())),OFFSET($CL$2,0,0,ROW()-1,84),ROW()-1,FALSE))</f>
        <v>21360</v>
      </c>
      <c r="AI17">
        <f ca="1">IF(AND($B$69=1,LEN($AI$73)&gt;0),$AI$73*10,HLOOKUP(INDIRECT(ADDRESS(2,COLUMN())),OFFSET($CL$2,0,0,ROW()-1,84),ROW()-1,FALSE))</f>
        <v>21460</v>
      </c>
      <c r="AJ17">
        <f ca="1">IF(AND($B$69=1,LEN($AJ$73)&gt;0),$AJ$73*10,HLOOKUP(INDIRECT(ADDRESS(2,COLUMN())),OFFSET($CL$2,0,0,ROW()-1,84),ROW()-1,FALSE))</f>
        <v>20770</v>
      </c>
      <c r="AK17">
        <f ca="1">IF(AND($B$69=1,LEN($AK$73)&gt;0),$AK$73*10,HLOOKUP(INDIRECT(ADDRESS(2,COLUMN())),OFFSET($CL$2,0,0,ROW()-1,84),ROW()-1,FALSE))</f>
        <v>20650</v>
      </c>
      <c r="AL17">
        <f ca="1">IF(AND($B$69=1,LEN($AL$73)&gt;0),$AL$73*10,HLOOKUP(INDIRECT(ADDRESS(2,COLUMN())),OFFSET($CL$2,0,0,ROW()-1,84),ROW()-1,FALSE))</f>
        <v>16590</v>
      </c>
      <c r="AM17">
        <f ca="1">IF(AND($B$69=1,LEN($AM$73)&gt;0),$AM$73*10,HLOOKUP(INDIRECT(ADDRESS(2,COLUMN())),OFFSET($CL$2,0,0,ROW()-1,84),ROW()-1,FALSE))</f>
        <v>21150</v>
      </c>
      <c r="AN17">
        <f ca="1">IF(AND($B$69=1,LEN($AN$73)&gt;0),$AN$73*10,HLOOKUP(INDIRECT(ADDRESS(2,COLUMN())),OFFSET($CL$2,0,0,ROW()-1,84),ROW()-1,FALSE))</f>
        <v>20110</v>
      </c>
      <c r="AO17">
        <f ca="1">IF(AND($B$69=1,LEN($AO$73)&gt;0),$AO$73*10,HLOOKUP(INDIRECT(ADDRESS(2,COLUMN())),OFFSET($CL$2,0,0,ROW()-1,84),ROW()-1,FALSE))</f>
        <v>21250</v>
      </c>
      <c r="AP17">
        <f ca="1">IF(AND($B$69=1,LEN($AP$73)&gt;0),$AP$73*10,HLOOKUP(INDIRECT(ADDRESS(2,COLUMN())),OFFSET($CL$2,0,0,ROW()-1,84),ROW()-1,FALSE))</f>
        <v>21720</v>
      </c>
      <c r="AQ17">
        <f ca="1">IF(AND($B$69=1,LEN($AQ$73)&gt;0),$AQ$73*10,HLOOKUP(INDIRECT(ADDRESS(2,COLUMN())),OFFSET($CL$2,0,0,ROW()-1,84),ROW()-1,FALSE))</f>
        <v>21590</v>
      </c>
      <c r="AR17">
        <f ca="1">IF(AND($B$69=1,LEN($AR$73)&gt;0),$AR$73*10,HLOOKUP(INDIRECT(ADDRESS(2,COLUMN())),OFFSET($CL$2,0,0,ROW()-1,84),ROW()-1,FALSE))</f>
        <v>21370</v>
      </c>
      <c r="AS17">
        <f ca="1">IF(AND($B$69=1,LEN($AS$73)&gt;0),$AS$73*10,HLOOKUP(INDIRECT(ADDRESS(2,COLUMN())),OFFSET($CL$2,0,0,ROW()-1,84),ROW()-1,FALSE))</f>
        <v>21240</v>
      </c>
      <c r="AT17">
        <f ca="1">IF(AND($B$69=1,LEN($AT$73)&gt;0),$AT$73*10,HLOOKUP(INDIRECT(ADDRESS(2,COLUMN())),OFFSET($CL$2,0,0,ROW()-1,84),ROW()-1,FALSE))</f>
        <v>20090</v>
      </c>
      <c r="AU17">
        <f ca="1">IF(AND($B$69=1,LEN($AU$73)&gt;0),$AU$73*10,HLOOKUP(INDIRECT(ADDRESS(2,COLUMN())),OFFSET($CL$2,0,0,ROW()-1,84),ROW()-1,FALSE))</f>
        <v>19270</v>
      </c>
      <c r="AV17">
        <f ca="1">IF(AND($B$69=1,LEN($AV$73)&gt;0),$AV$73*10,HLOOKUP(INDIRECT(ADDRESS(2,COLUMN())),OFFSET($CL$2,0,0,ROW()-1,84),ROW()-1,FALSE))</f>
        <v>18250</v>
      </c>
      <c r="AW17">
        <f ca="1">IF(AND($B$69=1,LEN($AW$73)&gt;0),$AW$73*10,HLOOKUP(INDIRECT(ADDRESS(2,COLUMN())),OFFSET($CL$2,0,0,ROW()-1,84),ROW()-1,FALSE))</f>
        <v>18160</v>
      </c>
      <c r="AX17">
        <f ca="1">IF(AND($B$69=1,LEN($AX$73)&gt;0),$AX$73*10,HLOOKUP(INDIRECT(ADDRESS(2,COLUMN())),OFFSET($CL$2,0,0,ROW()-1,84),ROW()-1,FALSE))</f>
        <v>12380</v>
      </c>
      <c r="AY17">
        <f ca="1">IF(AND($B$69=1,LEN($AY$73)&gt;0),$AY$73*10,HLOOKUP(INDIRECT(ADDRESS(2,COLUMN())),OFFSET($CL$2,0,0,ROW()-1,84),ROW()-1,FALSE))</f>
        <v>18800</v>
      </c>
      <c r="AZ17">
        <f ca="1">IF(AND($B$69=1,LEN($AZ$73)&gt;0),$AZ$73*10,HLOOKUP(INDIRECT(ADDRESS(2,COLUMN())),OFFSET($CL$2,0,0,ROW()-1,84),ROW()-1,FALSE))</f>
        <v>18830</v>
      </c>
      <c r="BA17">
        <f ca="1">IF(AND($B$69=1,LEN($BA$73)&gt;0),$BA$73*10,HLOOKUP(INDIRECT(ADDRESS(2,COLUMN())),OFFSET($CL$2,0,0,ROW()-1,84),ROW()-1,FALSE))</f>
        <v>19520</v>
      </c>
      <c r="BB17">
        <f ca="1">IF(AND($B$69=1,LEN($BB$73)&gt;0),$BB$73*10,HLOOKUP(INDIRECT(ADDRESS(2,COLUMN())),OFFSET($CL$2,0,0,ROW()-1,84),ROW()-1,FALSE))</f>
        <v>19580</v>
      </c>
      <c r="BC17">
        <f ca="1">IF(AND($B$69=1,LEN($BC$73)&gt;0),$BC$73*10,HLOOKUP(INDIRECT(ADDRESS(2,COLUMN())),OFFSET($CL$2,0,0,ROW()-1,84),ROW()-1,FALSE))</f>
        <v>20210</v>
      </c>
      <c r="BD17">
        <f ca="1">IF(AND($B$69=1,LEN($BD$73)&gt;0),$BD$73*10,HLOOKUP(INDIRECT(ADDRESS(2,COLUMN())),OFFSET($CL$2,0,0,ROW()-1,84),ROW()-1,FALSE))</f>
        <v>20040</v>
      </c>
      <c r="BE17">
        <f ca="1">IF(AND($B$69=1,LEN($BE$73)&gt;0),$BE$73*10,HLOOKUP(INDIRECT(ADDRESS(2,COLUMN())),OFFSET($CL$2,0,0,ROW()-1,84),ROW()-1,FALSE))</f>
        <v>20160</v>
      </c>
      <c r="BF17">
        <f ca="1">IF(AND($B$69=1,LEN($BF$73)&gt;0),$BF$73*10,HLOOKUP(INDIRECT(ADDRESS(2,COLUMN())),OFFSET($CL$2,0,0,ROW()-1,84),ROW()-1,FALSE))</f>
        <v>19710</v>
      </c>
      <c r="BG17">
        <f ca="1">IF(AND($B$69=1,LEN($BG$73)&gt;0),$BG$73*10,HLOOKUP(INDIRECT(ADDRESS(2,COLUMN())),OFFSET($CL$2,0,0,ROW()-1,84),ROW()-1,FALSE))</f>
        <v>19840</v>
      </c>
      <c r="BH17">
        <f ca="1">IF(AND($B$69=1,LEN($BH$73)&gt;0),$BH$73*10,HLOOKUP(INDIRECT(ADDRESS(2,COLUMN())),OFFSET($CL$2,0,0,ROW()-1,84),ROW()-1,FALSE))</f>
        <v>19240</v>
      </c>
      <c r="BI17">
        <f ca="1">IF(AND($B$69=1,LEN($BI$73)&gt;0),$BI$73*10,HLOOKUP(INDIRECT(ADDRESS(2,COLUMN())),OFFSET($CL$2,0,0,ROW()-1,84),ROW()-1,FALSE))</f>
        <v>19100</v>
      </c>
      <c r="BJ17">
        <f ca="1">IF(AND($B$69=1,LEN($BJ$73)&gt;0),$BJ$73*10,HLOOKUP(INDIRECT(ADDRESS(2,COLUMN())),OFFSET($CL$2,0,0,ROW()-1,84),ROW()-1,FALSE))</f>
        <v>14950</v>
      </c>
      <c r="BK17">
        <f ca="1">IF(AND($B$69=1,LEN($BK$73)&gt;0),$BK$73*10,HLOOKUP(INDIRECT(ADDRESS(2,COLUMN())),OFFSET($CL$2,0,0,ROW()-1,84),ROW()-1,FALSE))</f>
        <v>19730</v>
      </c>
      <c r="BL17">
        <f ca="1">IF(AND($B$69=1,LEN($BL$73)&gt;0),$BL$73*10,HLOOKUP(INDIRECT(ADDRESS(2,COLUMN())),OFFSET($CL$2,0,0,ROW()-1,84),ROW()-1,FALSE))</f>
        <v>18093.400000000001</v>
      </c>
      <c r="BM17">
        <f ca="1">IF(AND($B$69=1,LEN($BM$73)&gt;0),$BM$73*10,HLOOKUP(INDIRECT(ADDRESS(2,COLUMN())),OFFSET($CL$2,0,0,ROW()-1,84),ROW()-1,FALSE))</f>
        <v>18819</v>
      </c>
      <c r="BN17">
        <f ca="1">IF(AND($B$69=1,LEN($BN$73)&gt;0),$BN$73*10,HLOOKUP(INDIRECT(ADDRESS(2,COLUMN())),OFFSET($CL$2,0,0,ROW()-1,84),ROW()-1,FALSE))</f>
        <v>18826.5</v>
      </c>
      <c r="BO17">
        <f ca="1">IF(AND($B$69=1,LEN($BO$73)&gt;0),$BO$73*10,HLOOKUP(INDIRECT(ADDRESS(2,COLUMN())),OFFSET($CL$2,0,0,ROW()-1,84),ROW()-1,FALSE))</f>
        <v>19278.599999999999</v>
      </c>
      <c r="BP17">
        <f ca="1">IF(AND($B$69=1,LEN($BP$73)&gt;0),$BP$73*10,HLOOKUP(INDIRECT(ADDRESS(2,COLUMN())),OFFSET($CL$2,0,0,ROW()-1,84),ROW()-1,FALSE))</f>
        <v>19199.900000000001</v>
      </c>
      <c r="BQ17">
        <f ca="1">IF(AND($B$69=1,LEN($BQ$73)&gt;0),$BQ$73*10,HLOOKUP(INDIRECT(ADDRESS(2,COLUMN())),OFFSET($CL$2,0,0,ROW()-1,84),ROW()-1,FALSE))</f>
        <v>18911</v>
      </c>
      <c r="BR17">
        <f ca="1">IF(AND($B$69=1,LEN($BR$73)&gt;0),$BR$73*10,HLOOKUP(INDIRECT(ADDRESS(2,COLUMN())),OFFSET($CL$2,0,0,ROW()-1,84),ROW()-1,FALSE))</f>
        <v>18822.2</v>
      </c>
      <c r="BS17">
        <f ca="1">IF(AND($B$69=1,LEN($BS$73)&gt;0),$BS$73*10,HLOOKUP(INDIRECT(ADDRESS(2,COLUMN())),OFFSET($CL$2,0,0,ROW()-1,84),ROW()-1,FALSE))</f>
        <v>19020.599999999999</v>
      </c>
      <c r="BT17">
        <f ca="1">IF(AND($B$69=1,LEN($BT$73)&gt;0),$BT$73*10,HLOOKUP(INDIRECT(ADDRESS(2,COLUMN())),OFFSET($CL$2,0,0,ROW()-1,84),ROW()-1,FALSE))</f>
        <v>18362.3</v>
      </c>
      <c r="BU17">
        <f ca="1">IF(AND($B$69=1,LEN($BU$73)&gt;0),$BU$73*10,HLOOKUP(INDIRECT(ADDRESS(2,COLUMN())),OFFSET($CL$2,0,0,ROW()-1,84),ROW()-1,FALSE))</f>
        <v>17557.7</v>
      </c>
      <c r="BV17">
        <f ca="1">IF(AND($B$69=1,LEN($BV$73)&gt;0),$BV$73*10,HLOOKUP(INDIRECT(ADDRESS(2,COLUMN())),OFFSET($CL$2,0,0,ROW()-1,84),ROW()-1,FALSE))</f>
        <v>14986.4</v>
      </c>
      <c r="BW17">
        <f ca="1">IF(AND($B$69=1,LEN($BW$73)&gt;0),$BW$73*10,HLOOKUP(INDIRECT(ADDRESS(2,COLUMN())),OFFSET($CL$2,0,0,ROW()-1,84),ROW()-1,FALSE))</f>
        <v>18425.8</v>
      </c>
      <c r="BX17">
        <f ca="1">IF(AND($B$69=1,LEN($BX$73)&gt;0),$BX$73*10,HLOOKUP(INDIRECT(ADDRESS(2,COLUMN())),OFFSET($CL$2,0,0,ROW()-1,84),ROW()-1,FALSE))</f>
        <v>17210.8</v>
      </c>
      <c r="BY17">
        <f ca="1">IF(AND($B$69=1,LEN($BY$73)&gt;0),$BY$73*10,HLOOKUP(INDIRECT(ADDRESS(2,COLUMN())),OFFSET($CL$2,0,0,ROW()-1,84),ROW()-1,FALSE))</f>
        <v>17842.599999999999</v>
      </c>
      <c r="BZ17">
        <f ca="1">IF(AND($B$69=1,LEN($BZ$73)&gt;0),$BZ$73*10,HLOOKUP(INDIRECT(ADDRESS(2,COLUMN())),OFFSET($CL$2,0,0,ROW()-1,84),ROW()-1,FALSE))</f>
        <v>17783.7</v>
      </c>
      <c r="CA17">
        <f ca="1">IF(AND($B$69=1,LEN($CA$73)&gt;0),$CA$73*10,HLOOKUP(INDIRECT(ADDRESS(2,COLUMN())),OFFSET($CL$2,0,0,ROW()-1,84),ROW()-1,FALSE))</f>
        <v>18313.900000000001</v>
      </c>
      <c r="CB17">
        <f ca="1">IF(AND($B$69=1,LEN($CB$73)&gt;0),$CB$73*10,HLOOKUP(INDIRECT(ADDRESS(2,COLUMN())),OFFSET($CL$2,0,0,ROW()-1,84),ROW()-1,FALSE))</f>
        <v>18285.400000000001</v>
      </c>
      <c r="CC17">
        <f ca="1">IF(AND($B$69=1,LEN($CC$73)&gt;0),$CC$73*10,HLOOKUP(INDIRECT(ADDRESS(2,COLUMN())),OFFSET($CL$2,0,0,ROW()-1,84),ROW()-1,FALSE))</f>
        <v>18442.400000000001</v>
      </c>
      <c r="CD17">
        <f ca="1">IF(AND($B$69=1,LEN($CD$73)&gt;0),$CD$73*10,HLOOKUP(INDIRECT(ADDRESS(2,COLUMN())),OFFSET($CL$2,0,0,ROW()-1,84),ROW()-1,FALSE))</f>
        <v>17880.8</v>
      </c>
      <c r="CE17">
        <f ca="1">IF(AND($B$69=1,LEN($CE$73)&gt;0),$CE$73*10,HLOOKUP(INDIRECT(ADDRESS(2,COLUMN())),OFFSET($CL$2,0,0,ROW()-1,84),ROW()-1,FALSE))</f>
        <v>18100.3</v>
      </c>
      <c r="CF17">
        <f ca="1">IF(AND($B$69=1,LEN($CF$73)&gt;0),$CF$73*10,HLOOKUP(INDIRECT(ADDRESS(2,COLUMN())),OFFSET($CL$2,0,0,ROW()-1,84),ROW()-1,FALSE))</f>
        <v>17354.2</v>
      </c>
      <c r="CG17">
        <f ca="1">IF(AND($B$69=1,LEN($CG$73)&gt;0),$CG$73*10,HLOOKUP(INDIRECT(ADDRESS(2,COLUMN())),OFFSET($CL$2,0,0,ROW()-1,84),ROW()-1,FALSE))</f>
        <v>17249.5</v>
      </c>
      <c r="CH17">
        <f ca="1">IF(AND($B$69=1,LEN($CH$73)&gt;0),$CH$73*10,HLOOKUP(INDIRECT(ADDRESS(2,COLUMN())),OFFSET($CL$2,0,0,ROW()-1,84),ROW()-1,FALSE))</f>
        <v>13679.8</v>
      </c>
      <c r="CI17">
        <f ca="1">IF(AND($B$69=1,LEN($CI$73)&gt;0),$CI$73*10,HLOOKUP(INDIRECT(ADDRESS(2,COLUMN())),OFFSET($CL$2,0,0,ROW()-1,84),ROW()-1,FALSE))</f>
        <v>16780.599999999999</v>
      </c>
      <c r="CJ17">
        <f ca="1">IF(AND($B$69=1,LEN($CJ$73)&gt;0),$CJ$73*10,HLOOKUP(INDIRECT(ADDRESS(2,COLUMN())),OFFSET($CL$2,0,0,ROW()-1,84),ROW()-1,FALSE))</f>
        <v>16740</v>
      </c>
      <c r="CK17">
        <f ca="1">IF(AND($B$69=1,LEN($CK$73)&gt;0),$CK$73*10,HLOOKUP(INDIRECT(ADDRESS(2,COLUMN())),OFFSET($CL$2,0,0,ROW()-1,84),ROW()-1,FALSE))</f>
        <v>16672.099999999999</v>
      </c>
      <c r="CL17" t="str">
        <f>""</f>
        <v/>
      </c>
      <c r="CM17">
        <f>23650</f>
        <v>23650</v>
      </c>
      <c r="CN17">
        <f>23960</f>
        <v>23960</v>
      </c>
      <c r="CO17">
        <f>23670</f>
        <v>23670</v>
      </c>
      <c r="CP17">
        <f>23700</f>
        <v>23700</v>
      </c>
      <c r="CQ17">
        <f>23280</f>
        <v>23280</v>
      </c>
      <c r="CR17">
        <f>22400</f>
        <v>22400</v>
      </c>
      <c r="CS17">
        <f>22430</f>
        <v>22430</v>
      </c>
      <c r="CT17" t="str">
        <f>""</f>
        <v/>
      </c>
      <c r="CU17" t="str">
        <f>""</f>
        <v/>
      </c>
      <c r="CV17">
        <f>22260</f>
        <v>22260</v>
      </c>
      <c r="CW17">
        <f>22710</f>
        <v>22710</v>
      </c>
      <c r="CX17">
        <f>22370</f>
        <v>22370</v>
      </c>
      <c r="CY17">
        <f>21920</f>
        <v>21920</v>
      </c>
      <c r="CZ17">
        <f>22580</f>
        <v>22580</v>
      </c>
      <c r="DA17">
        <f>23250</f>
        <v>23250</v>
      </c>
      <c r="DB17">
        <f>22710</f>
        <v>22710</v>
      </c>
      <c r="DC17">
        <f>22280</f>
        <v>22280</v>
      </c>
      <c r="DD17">
        <f>20810</f>
        <v>20810</v>
      </c>
      <c r="DE17">
        <f>20980</f>
        <v>20980</v>
      </c>
      <c r="DF17">
        <f>17270</f>
        <v>17270</v>
      </c>
      <c r="DG17">
        <f>21580</f>
        <v>21580</v>
      </c>
      <c r="DH17">
        <f>20190</f>
        <v>20190</v>
      </c>
      <c r="DI17">
        <f>21130</f>
        <v>21130</v>
      </c>
      <c r="DJ17">
        <f>21640</f>
        <v>21640</v>
      </c>
      <c r="DK17">
        <f>21450</f>
        <v>21450</v>
      </c>
      <c r="DL17">
        <f>21950</f>
        <v>21950</v>
      </c>
      <c r="DM17">
        <f>20990</f>
        <v>20990</v>
      </c>
      <c r="DN17">
        <f>21360</f>
        <v>21360</v>
      </c>
      <c r="DO17">
        <f>21460</f>
        <v>21460</v>
      </c>
      <c r="DP17">
        <f>20770</f>
        <v>20770</v>
      </c>
      <c r="DQ17">
        <f>20650</f>
        <v>20650</v>
      </c>
      <c r="DR17">
        <f>16590</f>
        <v>16590</v>
      </c>
      <c r="DS17">
        <f>21150</f>
        <v>21150</v>
      </c>
      <c r="DT17">
        <f>20110</f>
        <v>20110</v>
      </c>
      <c r="DU17">
        <f>21250</f>
        <v>21250</v>
      </c>
      <c r="DV17">
        <f>21720</f>
        <v>21720</v>
      </c>
      <c r="DW17">
        <f>21590</f>
        <v>21590</v>
      </c>
      <c r="DX17">
        <f>21370</f>
        <v>21370</v>
      </c>
      <c r="DY17">
        <f>21240</f>
        <v>21240</v>
      </c>
      <c r="DZ17">
        <f>20090</f>
        <v>20090</v>
      </c>
      <c r="EA17">
        <f>19270</f>
        <v>19270</v>
      </c>
      <c r="EB17">
        <f>18250</f>
        <v>18250</v>
      </c>
      <c r="EC17">
        <f>18160</f>
        <v>18160</v>
      </c>
      <c r="ED17">
        <f>12380</f>
        <v>12380</v>
      </c>
      <c r="EE17">
        <f>18800</f>
        <v>18800</v>
      </c>
      <c r="EF17">
        <f>18830</f>
        <v>18830</v>
      </c>
      <c r="EG17">
        <f>19520</f>
        <v>19520</v>
      </c>
      <c r="EH17">
        <f>19580</f>
        <v>19580</v>
      </c>
      <c r="EI17">
        <f>20210</f>
        <v>20210</v>
      </c>
      <c r="EJ17">
        <f>20040</f>
        <v>20040</v>
      </c>
      <c r="EK17">
        <f>20160</f>
        <v>20160</v>
      </c>
      <c r="EL17">
        <f>19710</f>
        <v>19710</v>
      </c>
      <c r="EM17">
        <f>19840</f>
        <v>19840</v>
      </c>
      <c r="EN17">
        <f>19240</f>
        <v>19240</v>
      </c>
      <c r="EO17">
        <f>19100</f>
        <v>19100</v>
      </c>
      <c r="EP17">
        <f>14950</f>
        <v>14950</v>
      </c>
      <c r="EQ17">
        <f>19730</f>
        <v>19730</v>
      </c>
      <c r="ER17">
        <f>18093.4</f>
        <v>18093.400000000001</v>
      </c>
      <c r="ES17">
        <f>18819</f>
        <v>18819</v>
      </c>
      <c r="ET17">
        <f>18826.5</f>
        <v>18826.5</v>
      </c>
      <c r="EU17">
        <f>19278.6</f>
        <v>19278.599999999999</v>
      </c>
      <c r="EV17">
        <f>19199.9</f>
        <v>19199.900000000001</v>
      </c>
      <c r="EW17">
        <f>18911</f>
        <v>18911</v>
      </c>
      <c r="EX17">
        <f>18822.2</f>
        <v>18822.2</v>
      </c>
      <c r="EY17">
        <f>19020.6</f>
        <v>19020.599999999999</v>
      </c>
      <c r="EZ17">
        <f>18362.3</f>
        <v>18362.3</v>
      </c>
      <c r="FA17">
        <f>17557.7</f>
        <v>17557.7</v>
      </c>
      <c r="FB17">
        <f>14986.4</f>
        <v>14986.4</v>
      </c>
      <c r="FC17">
        <f>18425.8</f>
        <v>18425.8</v>
      </c>
      <c r="FD17">
        <f>17210.8</f>
        <v>17210.8</v>
      </c>
      <c r="FE17">
        <f>17842.6</f>
        <v>17842.599999999999</v>
      </c>
      <c r="FF17">
        <f>17783.7</f>
        <v>17783.7</v>
      </c>
      <c r="FG17">
        <f>18313.9</f>
        <v>18313.900000000001</v>
      </c>
      <c r="FH17">
        <f>18285.4</f>
        <v>18285.400000000001</v>
      </c>
      <c r="FI17">
        <f>18442.4</f>
        <v>18442.400000000001</v>
      </c>
      <c r="FJ17">
        <f>17880.8</f>
        <v>17880.8</v>
      </c>
      <c r="FK17">
        <f>18100.3</f>
        <v>18100.3</v>
      </c>
      <c r="FL17">
        <f>17354.2</f>
        <v>17354.2</v>
      </c>
      <c r="FM17">
        <f>17249.5</f>
        <v>17249.5</v>
      </c>
      <c r="FN17">
        <f>13679.8</f>
        <v>13679.8</v>
      </c>
      <c r="FO17">
        <f>16780.6</f>
        <v>16780.599999999999</v>
      </c>
      <c r="FP17">
        <f>16740</f>
        <v>16740</v>
      </c>
      <c r="FQ17">
        <f>16672.1</f>
        <v>16672.099999999999</v>
      </c>
    </row>
    <row r="18" spans="1:173" x14ac:dyDescent="0.25">
      <c r="A18" t="str">
        <f>"Shanghai Sea Port Container Throughput (000 TEU)"</f>
        <v>Shanghai Sea Port Container Throughput (000 TEU)</v>
      </c>
      <c r="B18" t="str">
        <f>"CNIFSCSH Index"</f>
        <v>CNIFSCSH Index</v>
      </c>
      <c r="E18" t="str">
        <f>"Expression"</f>
        <v>Expression</v>
      </c>
      <c r="F18" t="str">
        <f ca="1">IF(AND($B$69=1,LEN($F$74)&gt;0),$F$74*10,HLOOKUP(INDIRECT(ADDRESS(2,COLUMN())),OFFSET($CL$2,0,0,ROW()-1,84),ROW()-1,FALSE))</f>
        <v/>
      </c>
      <c r="G18" t="str">
        <f ca="1">IF(AND($B$69=1,LEN($G$74)&gt;0),$G$74*10,HLOOKUP(INDIRECT(ADDRESS(2,COLUMN())),OFFSET($CL$2,0,0,ROW()-1,84),ROW()-1,FALSE))</f>
        <v/>
      </c>
      <c r="H18">
        <f ca="1">IF(AND($B$69=1,LEN($H$74)&gt;0),$H$74*10,HLOOKUP(INDIRECT(ADDRESS(2,COLUMN())),OFFSET($CL$2,0,0,ROW()-1,84),ROW()-1,FALSE))</f>
        <v>4200</v>
      </c>
      <c r="I18">
        <f ca="1">IF(AND($B$69=1,LEN($I$74)&gt;0),$I$74*10,HLOOKUP(INDIRECT(ADDRESS(2,COLUMN())),OFFSET($CL$2,0,0,ROW()-1,84),ROW()-1,FALSE))</f>
        <v>4200</v>
      </c>
      <c r="J18">
        <f ca="1">IF(AND($B$69=1,LEN($J$74)&gt;0),$J$74*10,HLOOKUP(INDIRECT(ADDRESS(2,COLUMN())),OFFSET($CL$2,0,0,ROW()-1,84),ROW()-1,FALSE))</f>
        <v>4150</v>
      </c>
      <c r="K18">
        <f ca="1">IF(AND($B$69=1,LEN($K$74)&gt;0),$K$74*10,HLOOKUP(INDIRECT(ADDRESS(2,COLUMN())),OFFSET($CL$2,0,0,ROW()-1,84),ROW()-1,FALSE))</f>
        <v>4100</v>
      </c>
      <c r="L18">
        <f ca="1">IF(AND($B$69=1,LEN($L$74)&gt;0),$L$74*10,HLOOKUP(INDIRECT(ADDRESS(2,COLUMN())),OFFSET($CL$2,0,0,ROW()-1,84),ROW()-1,FALSE))</f>
        <v>4010</v>
      </c>
      <c r="M18">
        <f ca="1">IF(AND($B$69=1,LEN($M$74)&gt;0),$M$74*10,HLOOKUP(INDIRECT(ADDRESS(2,COLUMN())),OFFSET($CL$2,0,0,ROW()-1,84),ROW()-1,FALSE))</f>
        <v>4020</v>
      </c>
      <c r="N18" t="str">
        <f ca="1">IF(AND($B$69=1,LEN($N$74)&gt;0),$N$74*10,HLOOKUP(INDIRECT(ADDRESS(2,COLUMN())),OFFSET($CL$2,0,0,ROW()-1,84),ROW()-1,FALSE))</f>
        <v/>
      </c>
      <c r="O18" t="str">
        <f ca="1">IF(AND($B$69=1,LEN($O$74)&gt;0),$O$74*10,HLOOKUP(INDIRECT(ADDRESS(2,COLUMN())),OFFSET($CL$2,0,0,ROW()-1,84),ROW()-1,FALSE))</f>
        <v/>
      </c>
      <c r="P18">
        <f ca="1">IF(AND($B$69=1,LEN($P$74)&gt;0),$P$74*10,HLOOKUP(INDIRECT(ADDRESS(2,COLUMN())),OFFSET($CL$2,0,0,ROW()-1,84),ROW()-1,FALSE))</f>
        <v>4110</v>
      </c>
      <c r="Q18">
        <f ca="1">IF(AND($B$69=1,LEN($Q$74)&gt;0),$Q$74*10,HLOOKUP(INDIRECT(ADDRESS(2,COLUMN())),OFFSET($CL$2,0,0,ROW()-1,84),ROW()-1,FALSE))</f>
        <v>4110</v>
      </c>
      <c r="R18">
        <f ca="1">IF(AND($B$69=1,LEN($R$74)&gt;0),$R$74*10,HLOOKUP(INDIRECT(ADDRESS(2,COLUMN())),OFFSET($CL$2,0,0,ROW()-1,84),ROW()-1,FALSE))</f>
        <v>4190</v>
      </c>
      <c r="S18">
        <f ca="1">IF(AND($B$69=1,LEN($S$74)&gt;0),$S$74*10,HLOOKUP(INDIRECT(ADDRESS(2,COLUMN())),OFFSET($CL$2,0,0,ROW()-1,84),ROW()-1,FALSE))</f>
        <v>3870</v>
      </c>
      <c r="T18">
        <f ca="1">IF(AND($B$69=1,LEN($T$74)&gt;0),$T$74*10,HLOOKUP(INDIRECT(ADDRESS(2,COLUMN())),OFFSET($CL$2,0,0,ROW()-1,84),ROW()-1,FALSE))</f>
        <v>4170</v>
      </c>
      <c r="U18">
        <f ca="1">IF(AND($B$69=1,LEN($U$74)&gt;0),$U$74*10,HLOOKUP(INDIRECT(ADDRESS(2,COLUMN())),OFFSET($CL$2,0,0,ROW()-1,84),ROW()-1,FALSE))</f>
        <v>4300</v>
      </c>
      <c r="V18">
        <f ca="1">IF(AND($B$69=1,LEN($V$74)&gt;0),$V$74*10,HLOOKUP(INDIRECT(ADDRESS(2,COLUMN())),OFFSET($CL$2,0,0,ROW()-1,84),ROW()-1,FALSE))</f>
        <v>3790</v>
      </c>
      <c r="W18">
        <f ca="1">IF(AND($B$69=1,LEN($W$74)&gt;0),$W$74*10,HLOOKUP(INDIRECT(ADDRESS(2,COLUMN())),OFFSET($CL$2,0,0,ROW()-1,84),ROW()-1,FALSE))</f>
        <v>3400</v>
      </c>
      <c r="X18">
        <f ca="1">IF(AND($B$69=1,LEN($X$74)&gt;0),$X$74*10,HLOOKUP(INDIRECT(ADDRESS(2,COLUMN())),OFFSET($CL$2,0,0,ROW()-1,84),ROW()-1,FALSE))</f>
        <v>3080</v>
      </c>
      <c r="Y18">
        <f ca="1">IF(AND($B$69=1,LEN($Y$74)&gt;0),$Y$74*10,HLOOKUP(INDIRECT(ADDRESS(2,COLUMN())),OFFSET($CL$2,0,0,ROW()-1,84),ROW()-1,FALSE))</f>
        <v>4100</v>
      </c>
      <c r="Z18">
        <f ca="1">IF(AND($B$69=1,LEN($Z$74)&gt;0),$Z$74*10,HLOOKUP(INDIRECT(ADDRESS(2,COLUMN())),OFFSET($CL$2,0,0,ROW()-1,84),ROW()-1,FALSE))</f>
        <v>3810</v>
      </c>
      <c r="AA18">
        <f ca="1">IF(AND($B$69=1,LEN($AA$74)&gt;0),$AA$74*10,HLOOKUP(INDIRECT(ADDRESS(2,COLUMN())),OFFSET($CL$2,0,0,ROW()-1,84),ROW()-1,FALSE))</f>
        <v>4350</v>
      </c>
      <c r="AB18">
        <f ca="1">IF(AND($B$69=1,LEN($AB$74)&gt;0),$AB$74*10,HLOOKUP(INDIRECT(ADDRESS(2,COLUMN())),OFFSET($CL$2,0,0,ROW()-1,84),ROW()-1,FALSE))</f>
        <v>3980</v>
      </c>
      <c r="AC18">
        <f ca="1">IF(AND($B$69=1,LEN($AC$74)&gt;0),$AC$74*10,HLOOKUP(INDIRECT(ADDRESS(2,COLUMN())),OFFSET($CL$2,0,0,ROW()-1,84),ROW()-1,FALSE))</f>
        <v>4060</v>
      </c>
      <c r="AD18">
        <f ca="1">IF(AND($B$69=1,LEN($AD$74)&gt;0),$AD$74*10,HLOOKUP(INDIRECT(ADDRESS(2,COLUMN())),OFFSET($CL$2,0,0,ROW()-1,84),ROW()-1,FALSE))</f>
        <v>4190</v>
      </c>
      <c r="AE18">
        <f ca="1">IF(AND($B$69=1,LEN($AE$74)&gt;0),$AE$74*10,HLOOKUP(INDIRECT(ADDRESS(2,COLUMN())),OFFSET($CL$2,0,0,ROW()-1,84),ROW()-1,FALSE))</f>
        <v>3830</v>
      </c>
      <c r="AF18">
        <f ca="1">IF(AND($B$69=1,LEN($AF$74)&gt;0),$AF$74*10,HLOOKUP(INDIRECT(ADDRESS(2,COLUMN())),OFFSET($CL$2,0,0,ROW()-1,84),ROW()-1,FALSE))</f>
        <v>4320</v>
      </c>
      <c r="AG18">
        <f ca="1">IF(AND($B$69=1,LEN($AG$74)&gt;0),$AG$74*10,HLOOKUP(INDIRECT(ADDRESS(2,COLUMN())),OFFSET($CL$2,0,0,ROW()-1,84),ROW()-1,FALSE))</f>
        <v>3700</v>
      </c>
      <c r="AH18">
        <f ca="1">IF(AND($B$69=1,LEN($AH$74)&gt;0),$AH$74*10,HLOOKUP(INDIRECT(ADDRESS(2,COLUMN())),OFFSET($CL$2,0,0,ROW()-1,84),ROW()-1,FALSE))</f>
        <v>4090</v>
      </c>
      <c r="AI18">
        <f ca="1">IF(AND($B$69=1,LEN($AI$74)&gt;0),$AI$74*10,HLOOKUP(INDIRECT(ADDRESS(2,COLUMN())),OFFSET($CL$2,0,0,ROW()-1,84),ROW()-1,FALSE))</f>
        <v>3790</v>
      </c>
      <c r="AJ18">
        <f ca="1">IF(AND($B$69=1,LEN($AJ$74)&gt;0),$AJ$74*10,HLOOKUP(INDIRECT(ADDRESS(2,COLUMN())),OFFSET($CL$2,0,0,ROW()-1,84),ROW()-1,FALSE))</f>
        <v>3720</v>
      </c>
      <c r="AK18">
        <f ca="1">IF(AND($B$69=1,LEN($AK$74)&gt;0),$AK$74*10,HLOOKUP(INDIRECT(ADDRESS(2,COLUMN())),OFFSET($CL$2,0,0,ROW()-1,84),ROW()-1,FALSE))</f>
        <v>3900</v>
      </c>
      <c r="AL18">
        <f ca="1">IF(AND($B$69=1,LEN($AL$74)&gt;0),$AL$74*10,HLOOKUP(INDIRECT(ADDRESS(2,COLUMN())),OFFSET($CL$2,0,0,ROW()-1,84),ROW()-1,FALSE))</f>
        <v>3410</v>
      </c>
      <c r="AM18">
        <f ca="1">IF(AND($B$69=1,LEN($AM$74)&gt;0),$AM$74*10,HLOOKUP(INDIRECT(ADDRESS(2,COLUMN())),OFFSET($CL$2,0,0,ROW()-1,84),ROW()-1,FALSE))</f>
        <v>4040</v>
      </c>
      <c r="AN18">
        <f ca="1">IF(AND($B$69=1,LEN($AN$74)&gt;0),$AN$74*10,HLOOKUP(INDIRECT(ADDRESS(2,COLUMN())),OFFSET($CL$2,0,0,ROW()-1,84),ROW()-1,FALSE))</f>
        <v>3640</v>
      </c>
      <c r="AO18">
        <f ca="1">IF(AND($B$69=1,LEN($AO$74)&gt;0),$AO$74*10,HLOOKUP(INDIRECT(ADDRESS(2,COLUMN())),OFFSET($CL$2,0,0,ROW()-1,84),ROW()-1,FALSE))</f>
        <v>4010</v>
      </c>
      <c r="AP18">
        <f ca="1">IF(AND($B$69=1,LEN($AP$74)&gt;0),$AP$74*10,HLOOKUP(INDIRECT(ADDRESS(2,COLUMN())),OFFSET($CL$2,0,0,ROW()-1,84),ROW()-1,FALSE))</f>
        <v>4200</v>
      </c>
      <c r="AQ18">
        <f ca="1">IF(AND($B$69=1,LEN($AQ$74)&gt;0),$AQ$74*10,HLOOKUP(INDIRECT(ADDRESS(2,COLUMN())),OFFSET($CL$2,0,0,ROW()-1,84),ROW()-1,FALSE))</f>
        <v>3850</v>
      </c>
      <c r="AR18">
        <f ca="1">IF(AND($B$69=1,LEN($AR$74)&gt;0),$AR$74*10,HLOOKUP(INDIRECT(ADDRESS(2,COLUMN())),OFFSET($CL$2,0,0,ROW()-1,84),ROW()-1,FALSE))</f>
        <v>3840</v>
      </c>
      <c r="AS18">
        <f ca="1">IF(AND($B$69=1,LEN($AS$74)&gt;0),$AS$74*10,HLOOKUP(INDIRECT(ADDRESS(2,COLUMN())),OFFSET($CL$2,0,0,ROW()-1,84),ROW()-1,FALSE))</f>
        <v>3900</v>
      </c>
      <c r="AT18">
        <f ca="1">IF(AND($B$69=1,LEN($AT$74)&gt;0),$AT$74*10,HLOOKUP(INDIRECT(ADDRESS(2,COLUMN())),OFFSET($CL$2,0,0,ROW()-1,84),ROW()-1,FALSE))</f>
        <v>3600</v>
      </c>
      <c r="AU18">
        <f ca="1">IF(AND($B$69=1,LEN($AU$74)&gt;0),$AU$74*10,HLOOKUP(INDIRECT(ADDRESS(2,COLUMN())),OFFSET($CL$2,0,0,ROW()-1,84),ROW()-1,FALSE))</f>
        <v>3620</v>
      </c>
      <c r="AV18">
        <f ca="1">IF(AND($B$69=1,LEN($AV$74)&gt;0),$AV$74*10,HLOOKUP(INDIRECT(ADDRESS(2,COLUMN())),OFFSET($CL$2,0,0,ROW()-1,84),ROW()-1,FALSE))</f>
        <v>3510</v>
      </c>
      <c r="AW18">
        <f ca="1">IF(AND($B$69=1,LEN($AW$74)&gt;0),$AW$74*10,HLOOKUP(INDIRECT(ADDRESS(2,COLUMN())),OFFSET($CL$2,0,0,ROW()-1,84),ROW()-1,FALSE))</f>
        <v>3430</v>
      </c>
      <c r="AX18">
        <f ca="1">IF(AND($B$69=1,LEN($AX$74)&gt;0),$AX$74*10,HLOOKUP(INDIRECT(ADDRESS(2,COLUMN())),OFFSET($CL$2,0,0,ROW()-1,84),ROW()-1,FALSE))</f>
        <v>2300</v>
      </c>
      <c r="AY18">
        <f ca="1">IF(AND($B$69=1,LEN($AY$74)&gt;0),$AY$74*10,HLOOKUP(INDIRECT(ADDRESS(2,COLUMN())),OFFSET($CL$2,0,0,ROW()-1,84),ROW()-1,FALSE))</f>
        <v>3600</v>
      </c>
      <c r="AZ18">
        <f ca="1">IF(AND($B$69=1,LEN($AZ$74)&gt;0),$AZ$74*10,HLOOKUP(INDIRECT(ADDRESS(2,COLUMN())),OFFSET($CL$2,0,0,ROW()-1,84),ROW()-1,FALSE))</f>
        <v>3270</v>
      </c>
      <c r="BA18">
        <f ca="1">IF(AND($B$69=1,LEN($BA$74)&gt;0),$BA$74*10,HLOOKUP(INDIRECT(ADDRESS(2,COLUMN())),OFFSET($CL$2,0,0,ROW()-1,84),ROW()-1,FALSE))</f>
        <v>3550</v>
      </c>
      <c r="BB18">
        <f ca="1">IF(AND($B$69=1,LEN($BB$74)&gt;0),$BB$74*10,HLOOKUP(INDIRECT(ADDRESS(2,COLUMN())),OFFSET($CL$2,0,0,ROW()-1,84),ROW()-1,FALSE))</f>
        <v>3630</v>
      </c>
      <c r="BC18">
        <f ca="1">IF(AND($B$69=1,LEN($BC$74)&gt;0),$BC$74*10,HLOOKUP(INDIRECT(ADDRESS(2,COLUMN())),OFFSET($CL$2,0,0,ROW()-1,84),ROW()-1,FALSE))</f>
        <v>3710</v>
      </c>
      <c r="BD18">
        <f ca="1">IF(AND($B$69=1,LEN($BD$74)&gt;0),$BD$74*10,HLOOKUP(INDIRECT(ADDRESS(2,COLUMN())),OFFSET($CL$2,0,0,ROW()-1,84),ROW()-1,FALSE))</f>
        <v>3760</v>
      </c>
      <c r="BE18">
        <f ca="1">IF(AND($B$69=1,LEN($BE$74)&gt;0),$BE$74*10,HLOOKUP(INDIRECT(ADDRESS(2,COLUMN())),OFFSET($CL$2,0,0,ROW()-1,84),ROW()-1,FALSE))</f>
        <v>3850</v>
      </c>
      <c r="BF18">
        <f ca="1">IF(AND($B$69=1,LEN($BF$74)&gt;0),$BF$74*10,HLOOKUP(INDIRECT(ADDRESS(2,COLUMN())),OFFSET($CL$2,0,0,ROW()-1,84),ROW()-1,FALSE))</f>
        <v>3760</v>
      </c>
      <c r="BG18">
        <f ca="1">IF(AND($B$69=1,LEN($BG$74)&gt;0),$BG$74*10,HLOOKUP(INDIRECT(ADDRESS(2,COLUMN())),OFFSET($CL$2,0,0,ROW()-1,84),ROW()-1,FALSE))</f>
        <v>3760</v>
      </c>
      <c r="BH18">
        <f ca="1">IF(AND($B$69=1,LEN($BH$74)&gt;0),$BH$74*10,HLOOKUP(INDIRECT(ADDRESS(2,COLUMN())),OFFSET($CL$2,0,0,ROW()-1,84),ROW()-1,FALSE))</f>
        <v>3610</v>
      </c>
      <c r="BI18">
        <f ca="1">IF(AND($B$69=1,LEN($BI$74)&gt;0),$BI$74*10,HLOOKUP(INDIRECT(ADDRESS(2,COLUMN())),OFFSET($CL$2,0,0,ROW()-1,84),ROW()-1,FALSE))</f>
        <v>3810</v>
      </c>
      <c r="BJ18">
        <f ca="1">IF(AND($B$69=1,LEN($BJ$74)&gt;0),$BJ$74*10,HLOOKUP(INDIRECT(ADDRESS(2,COLUMN())),OFFSET($CL$2,0,0,ROW()-1,84),ROW()-1,FALSE))</f>
        <v>2860</v>
      </c>
      <c r="BK18">
        <f ca="1">IF(AND($B$69=1,LEN($BK$74)&gt;0),$BK$74*10,HLOOKUP(INDIRECT(ADDRESS(2,COLUMN())),OFFSET($CL$2,0,0,ROW()-1,84),ROW()-1,FALSE))</f>
        <v>3750</v>
      </c>
      <c r="BL18">
        <f ca="1">IF(AND($B$69=1,LEN($BL$74)&gt;0),$BL$74*10,HLOOKUP(INDIRECT(ADDRESS(2,COLUMN())),OFFSET($CL$2,0,0,ROW()-1,84),ROW()-1,FALSE))</f>
        <v>3580.3</v>
      </c>
      <c r="BM18">
        <f ca="1">IF(AND($B$69=1,LEN($BM$74)&gt;0),$BM$74*10,HLOOKUP(INDIRECT(ADDRESS(2,COLUMN())),OFFSET($CL$2,0,0,ROW()-1,84),ROW()-1,FALSE))</f>
        <v>3500</v>
      </c>
      <c r="BN18">
        <f ca="1">IF(AND($B$69=1,LEN($BN$74)&gt;0),$BN$74*10,HLOOKUP(INDIRECT(ADDRESS(2,COLUMN())),OFFSET($CL$2,0,0,ROW()-1,84),ROW()-1,FALSE))</f>
        <v>3530</v>
      </c>
      <c r="BO18">
        <f ca="1">IF(AND($B$69=1,LEN($BO$74)&gt;0),$BO$74*10,HLOOKUP(INDIRECT(ADDRESS(2,COLUMN())),OFFSET($CL$2,0,0,ROW()-1,84),ROW()-1,FALSE))</f>
        <v>3810</v>
      </c>
      <c r="BP18">
        <f ca="1">IF(AND($B$69=1,LEN($BP$74)&gt;0),$BP$74*10,HLOOKUP(INDIRECT(ADDRESS(2,COLUMN())),OFFSET($CL$2,0,0,ROW()-1,84),ROW()-1,FALSE))</f>
        <v>3470</v>
      </c>
      <c r="BQ18">
        <f ca="1">IF(AND($B$69=1,LEN($BQ$74)&gt;0),$BQ$74*10,HLOOKUP(INDIRECT(ADDRESS(2,COLUMN())),OFFSET($CL$2,0,0,ROW()-1,84),ROW()-1,FALSE))</f>
        <v>3550</v>
      </c>
      <c r="BR18">
        <f ca="1">IF(AND($B$69=1,LEN($BR$74)&gt;0),$BR$74*10,HLOOKUP(INDIRECT(ADDRESS(2,COLUMN())),OFFSET($CL$2,0,0,ROW()-1,84),ROW()-1,FALSE))</f>
        <v>3600</v>
      </c>
      <c r="BS18">
        <f ca="1">IF(AND($B$69=1,LEN($BS$74)&gt;0),$BS$74*10,HLOOKUP(INDIRECT(ADDRESS(2,COLUMN())),OFFSET($CL$2,0,0,ROW()-1,84),ROW()-1,FALSE))</f>
        <v>3620</v>
      </c>
      <c r="BT18">
        <f ca="1">IF(AND($B$69=1,LEN($BT$74)&gt;0),$BT$74*10,HLOOKUP(INDIRECT(ADDRESS(2,COLUMN())),OFFSET($CL$2,0,0,ROW()-1,84),ROW()-1,FALSE))</f>
        <v>3520</v>
      </c>
      <c r="BU18">
        <f ca="1">IF(AND($B$69=1,LEN($BU$74)&gt;0),$BU$74*10,HLOOKUP(INDIRECT(ADDRESS(2,COLUMN())),OFFSET($CL$2,0,0,ROW()-1,84),ROW()-1,FALSE))</f>
        <v>3380</v>
      </c>
      <c r="BV18">
        <f ca="1">IF(AND($B$69=1,LEN($BV$74)&gt;0),$BV$74*10,HLOOKUP(INDIRECT(ADDRESS(2,COLUMN())),OFFSET($CL$2,0,0,ROW()-1,84),ROW()-1,FALSE))</f>
        <v>2930</v>
      </c>
      <c r="BW18">
        <f ca="1">IF(AND($B$69=1,LEN($BW$74)&gt;0),$BW$74*10,HLOOKUP(INDIRECT(ADDRESS(2,COLUMN())),OFFSET($CL$2,0,0,ROW()-1,84),ROW()-1,FALSE))</f>
        <v>3390</v>
      </c>
      <c r="BX18">
        <f ca="1">IF(AND($B$69=1,LEN($BX$74)&gt;0),$BX$74*10,HLOOKUP(INDIRECT(ADDRESS(2,COLUMN())),OFFSET($CL$2,0,0,ROW()-1,84),ROW()-1,FALSE))</f>
        <v>3355.3</v>
      </c>
      <c r="BY18">
        <f ca="1">IF(AND($B$69=1,LEN($BY$74)&gt;0),$BY$74*10,HLOOKUP(INDIRECT(ADDRESS(2,COLUMN())),OFFSET($CL$2,0,0,ROW()-1,84),ROW()-1,FALSE))</f>
        <v>3550</v>
      </c>
      <c r="BZ18">
        <f ca="1">IF(AND($B$69=1,LEN($BZ$74)&gt;0),$BZ$74*10,HLOOKUP(INDIRECT(ADDRESS(2,COLUMN())),OFFSET($CL$2,0,0,ROW()-1,84),ROW()-1,FALSE))</f>
        <v>3400</v>
      </c>
      <c r="CA18">
        <f ca="1">IF(AND($B$69=1,LEN($CA$74)&gt;0),$CA$74*10,HLOOKUP(INDIRECT(ADDRESS(2,COLUMN())),OFFSET($CL$2,0,0,ROW()-1,84),ROW()-1,FALSE))</f>
        <v>3380</v>
      </c>
      <c r="CB18">
        <f ca="1">IF(AND($B$69=1,LEN($CB$74)&gt;0),$CB$74*10,HLOOKUP(INDIRECT(ADDRESS(2,COLUMN())),OFFSET($CL$2,0,0,ROW()-1,84),ROW()-1,FALSE))</f>
        <v>3450</v>
      </c>
      <c r="CC18">
        <f ca="1">IF(AND($B$69=1,LEN($CC$74)&gt;0),$CC$74*10,HLOOKUP(INDIRECT(ADDRESS(2,COLUMN())),OFFSET($CL$2,0,0,ROW()-1,84),ROW()-1,FALSE))</f>
        <v>3500</v>
      </c>
      <c r="CD18">
        <f ca="1">IF(AND($B$69=1,LEN($CD$74)&gt;0),$CD$74*10,HLOOKUP(INDIRECT(ADDRESS(2,COLUMN())),OFFSET($CL$2,0,0,ROW()-1,84),ROW()-1,FALSE))</f>
        <v>3400</v>
      </c>
      <c r="CE18">
        <f ca="1">IF(AND($B$69=1,LEN($CE$74)&gt;0),$CE$74*10,HLOOKUP(INDIRECT(ADDRESS(2,COLUMN())),OFFSET($CL$2,0,0,ROW()-1,84),ROW()-1,FALSE))</f>
        <v>3500</v>
      </c>
      <c r="CF18">
        <f ca="1">IF(AND($B$69=1,LEN($CF$74)&gt;0),$CF$74*10,HLOOKUP(INDIRECT(ADDRESS(2,COLUMN())),OFFSET($CL$2,0,0,ROW()-1,84),ROW()-1,FALSE))</f>
        <v>3230</v>
      </c>
      <c r="CG18">
        <f ca="1">IF(AND($B$69=1,LEN($CG$74)&gt;0),$CG$74*10,HLOOKUP(INDIRECT(ADDRESS(2,COLUMN())),OFFSET($CL$2,0,0,ROW()-1,84),ROW()-1,FALSE))</f>
        <v>3400</v>
      </c>
      <c r="CH18">
        <f ca="1">IF(AND($B$69=1,LEN($CH$74)&gt;0),$CH$74*10,HLOOKUP(INDIRECT(ADDRESS(2,COLUMN())),OFFSET($CL$2,0,0,ROW()-1,84),ROW()-1,FALSE))</f>
        <v>2620</v>
      </c>
      <c r="CI18">
        <f ca="1">IF(AND($B$69=1,LEN($CI$74)&gt;0),$CI$74*10,HLOOKUP(INDIRECT(ADDRESS(2,COLUMN())),OFFSET($CL$2,0,0,ROW()-1,84),ROW()-1,FALSE))</f>
        <v>3280</v>
      </c>
      <c r="CJ18">
        <f ca="1">IF(AND($B$69=1,LEN($CJ$74)&gt;0),$CJ$74*10,HLOOKUP(INDIRECT(ADDRESS(2,COLUMN())),OFFSET($CL$2,0,0,ROW()-1,84),ROW()-1,FALSE))</f>
        <v>3140</v>
      </c>
      <c r="CK18">
        <f ca="1">IF(AND($B$69=1,LEN($CK$74)&gt;0),$CK$74*10,HLOOKUP(INDIRECT(ADDRESS(2,COLUMN())),OFFSET($CL$2,0,0,ROW()-1,84),ROW()-1,FALSE))</f>
        <v>3200</v>
      </c>
      <c r="CL18" t="str">
        <f>""</f>
        <v/>
      </c>
      <c r="CM18" t="str">
        <f>""</f>
        <v/>
      </c>
      <c r="CN18">
        <f>4200</f>
        <v>4200</v>
      </c>
      <c r="CO18">
        <f>4200</f>
        <v>4200</v>
      </c>
      <c r="CP18">
        <f>4150</f>
        <v>4150</v>
      </c>
      <c r="CQ18">
        <f>4100</f>
        <v>4100</v>
      </c>
      <c r="CR18">
        <f>4010</f>
        <v>4010</v>
      </c>
      <c r="CS18">
        <f>4020</f>
        <v>4020</v>
      </c>
      <c r="CT18" t="str">
        <f>""</f>
        <v/>
      </c>
      <c r="CU18" t="str">
        <f>""</f>
        <v/>
      </c>
      <c r="CV18">
        <f>4110</f>
        <v>4110</v>
      </c>
      <c r="CW18">
        <f>4110</f>
        <v>4110</v>
      </c>
      <c r="CX18">
        <f>4190</f>
        <v>4190</v>
      </c>
      <c r="CY18">
        <f>3870</f>
        <v>3870</v>
      </c>
      <c r="CZ18">
        <f>4170</f>
        <v>4170</v>
      </c>
      <c r="DA18">
        <f>4300</f>
        <v>4300</v>
      </c>
      <c r="DB18">
        <f>3790</f>
        <v>3790</v>
      </c>
      <c r="DC18">
        <f>3400</f>
        <v>3400</v>
      </c>
      <c r="DD18">
        <f>3080</f>
        <v>3080</v>
      </c>
      <c r="DE18">
        <f>4100</f>
        <v>4100</v>
      </c>
      <c r="DF18">
        <f>3810</f>
        <v>3810</v>
      </c>
      <c r="DG18">
        <f>4350</f>
        <v>4350</v>
      </c>
      <c r="DH18">
        <f>3980</f>
        <v>3980</v>
      </c>
      <c r="DI18">
        <f>4060</f>
        <v>4060</v>
      </c>
      <c r="DJ18">
        <f>4190</f>
        <v>4190</v>
      </c>
      <c r="DK18">
        <f>3830</f>
        <v>3830</v>
      </c>
      <c r="DL18">
        <f>4320</f>
        <v>4320</v>
      </c>
      <c r="DM18">
        <f>3700</f>
        <v>3700</v>
      </c>
      <c r="DN18">
        <f>4090</f>
        <v>4090</v>
      </c>
      <c r="DO18">
        <f>3790</f>
        <v>3790</v>
      </c>
      <c r="DP18">
        <f>3720</f>
        <v>3720</v>
      </c>
      <c r="DQ18">
        <f>3900</f>
        <v>3900</v>
      </c>
      <c r="DR18">
        <f>3410</f>
        <v>3410</v>
      </c>
      <c r="DS18">
        <f>4040</f>
        <v>4040</v>
      </c>
      <c r="DT18">
        <f>3640</f>
        <v>3640</v>
      </c>
      <c r="DU18">
        <f>4010</f>
        <v>4010</v>
      </c>
      <c r="DV18">
        <f>4200</f>
        <v>4200</v>
      </c>
      <c r="DW18">
        <f>3850</f>
        <v>3850</v>
      </c>
      <c r="DX18">
        <f>3840</f>
        <v>3840</v>
      </c>
      <c r="DY18">
        <f>3900</f>
        <v>3900</v>
      </c>
      <c r="DZ18">
        <f>3600</f>
        <v>3600</v>
      </c>
      <c r="EA18">
        <f>3620</f>
        <v>3620</v>
      </c>
      <c r="EB18">
        <f>3510</f>
        <v>3510</v>
      </c>
      <c r="EC18">
        <f>3430</f>
        <v>3430</v>
      </c>
      <c r="ED18">
        <f>2300</f>
        <v>2300</v>
      </c>
      <c r="EE18">
        <f>3600</f>
        <v>3600</v>
      </c>
      <c r="EF18">
        <f>3270</f>
        <v>3270</v>
      </c>
      <c r="EG18">
        <f>3550</f>
        <v>3550</v>
      </c>
      <c r="EH18">
        <f>3630</f>
        <v>3630</v>
      </c>
      <c r="EI18">
        <f>3710</f>
        <v>3710</v>
      </c>
      <c r="EJ18">
        <f>3760</f>
        <v>3760</v>
      </c>
      <c r="EK18">
        <f>3850</f>
        <v>3850</v>
      </c>
      <c r="EL18">
        <f>3760</f>
        <v>3760</v>
      </c>
      <c r="EM18">
        <f>3760</f>
        <v>3760</v>
      </c>
      <c r="EN18">
        <f>3610</f>
        <v>3610</v>
      </c>
      <c r="EO18">
        <f>3810</f>
        <v>3810</v>
      </c>
      <c r="EP18">
        <f>2860</f>
        <v>2860</v>
      </c>
      <c r="EQ18">
        <f>3750</f>
        <v>3750</v>
      </c>
      <c r="ER18">
        <f>3580.3</f>
        <v>3580.3</v>
      </c>
      <c r="ES18">
        <f>3500</f>
        <v>3500</v>
      </c>
      <c r="ET18">
        <f>3530</f>
        <v>3530</v>
      </c>
      <c r="EU18">
        <f>3810</f>
        <v>3810</v>
      </c>
      <c r="EV18">
        <f>3470</f>
        <v>3470</v>
      </c>
      <c r="EW18">
        <f>3550</f>
        <v>3550</v>
      </c>
      <c r="EX18">
        <f>3600</f>
        <v>3600</v>
      </c>
      <c r="EY18">
        <f>3620</f>
        <v>3620</v>
      </c>
      <c r="EZ18">
        <f>3520</f>
        <v>3520</v>
      </c>
      <c r="FA18">
        <f>3380</f>
        <v>3380</v>
      </c>
      <c r="FB18">
        <f>2930</f>
        <v>2930</v>
      </c>
      <c r="FC18">
        <f>3390</f>
        <v>3390</v>
      </c>
      <c r="FD18">
        <f>3355.3</f>
        <v>3355.3</v>
      </c>
      <c r="FE18">
        <f>3550</f>
        <v>3550</v>
      </c>
      <c r="FF18">
        <f>3400</f>
        <v>3400</v>
      </c>
      <c r="FG18">
        <f>3380</f>
        <v>3380</v>
      </c>
      <c r="FH18">
        <f>3450</f>
        <v>3450</v>
      </c>
      <c r="FI18">
        <f>3500</f>
        <v>3500</v>
      </c>
      <c r="FJ18">
        <f>3400</f>
        <v>3400</v>
      </c>
      <c r="FK18">
        <f>3500</f>
        <v>3500</v>
      </c>
      <c r="FL18">
        <f>3230</f>
        <v>3230</v>
      </c>
      <c r="FM18">
        <f>3400</f>
        <v>3400</v>
      </c>
      <c r="FN18">
        <f>2620</f>
        <v>2620</v>
      </c>
      <c r="FO18">
        <f>3280</f>
        <v>3280</v>
      </c>
      <c r="FP18">
        <f>3140</f>
        <v>3140</v>
      </c>
      <c r="FQ18">
        <f>3200</f>
        <v>3200</v>
      </c>
    </row>
    <row r="19" spans="1:173" x14ac:dyDescent="0.25">
      <c r="A19" t="str">
        <f>"Shenzhen Sea Port Container Throughput (000 TEU)"</f>
        <v>Shenzhen Sea Port Container Throughput (000 TEU)</v>
      </c>
      <c r="B19" t="str">
        <f>"CNIFSCSZ Index"</f>
        <v>CNIFSCSZ Index</v>
      </c>
      <c r="E19" t="str">
        <f>"Expression"</f>
        <v>Expression</v>
      </c>
      <c r="F19" t="str">
        <f ca="1">IF(AND($B$69=1,LEN($F$75)&gt;0),$F$75*10,HLOOKUP(INDIRECT(ADDRESS(2,COLUMN())),OFFSET($CL$2,0,0,ROW()-1,84),ROW()-1,FALSE))</f>
        <v/>
      </c>
      <c r="G19" t="str">
        <f ca="1">IF(AND($B$69=1,LEN($G$75)&gt;0),$G$75*10,HLOOKUP(INDIRECT(ADDRESS(2,COLUMN())),OFFSET($CL$2,0,0,ROW()-1,84),ROW()-1,FALSE))</f>
        <v/>
      </c>
      <c r="H19">
        <f ca="1">IF(AND($B$69=1,LEN($H$75)&gt;0),$H$75*10,HLOOKUP(INDIRECT(ADDRESS(2,COLUMN())),OFFSET($CL$2,0,0,ROW()-1,84),ROW()-1,FALSE))</f>
        <v>2750</v>
      </c>
      <c r="I19">
        <f ca="1">IF(AND($B$69=1,LEN($I$75)&gt;0),$I$75*10,HLOOKUP(INDIRECT(ADDRESS(2,COLUMN())),OFFSET($CL$2,0,0,ROW()-1,84),ROW()-1,FALSE))</f>
        <v>2820</v>
      </c>
      <c r="J19">
        <f ca="1">IF(AND($B$69=1,LEN($J$75)&gt;0),$J$75*10,HLOOKUP(INDIRECT(ADDRESS(2,COLUMN())),OFFSET($CL$2,0,0,ROW()-1,84),ROW()-1,FALSE))</f>
        <v>2620</v>
      </c>
      <c r="K19">
        <f ca="1">IF(AND($B$69=1,LEN($K$75)&gt;0),$K$75*10,HLOOKUP(INDIRECT(ADDRESS(2,COLUMN())),OFFSET($CL$2,0,0,ROW()-1,84),ROW()-1,FALSE))</f>
        <v>2480</v>
      </c>
      <c r="L19">
        <f ca="1">IF(AND($B$69=1,LEN($L$75)&gt;0),$L$75*10,HLOOKUP(INDIRECT(ADDRESS(2,COLUMN())),OFFSET($CL$2,0,0,ROW()-1,84),ROW()-1,FALSE))</f>
        <v>2260</v>
      </c>
      <c r="M19">
        <f ca="1">IF(AND($B$69=1,LEN($M$75)&gt;0),$M$75*10,HLOOKUP(INDIRECT(ADDRESS(2,COLUMN())),OFFSET($CL$2,0,0,ROW()-1,84),ROW()-1,FALSE))</f>
        <v>2260</v>
      </c>
      <c r="N19" t="str">
        <f ca="1">IF(AND($B$69=1,LEN($N$75)&gt;0),$N$75*10,HLOOKUP(INDIRECT(ADDRESS(2,COLUMN())),OFFSET($CL$2,0,0,ROW()-1,84),ROW()-1,FALSE))</f>
        <v/>
      </c>
      <c r="O19" t="str">
        <f ca="1">IF(AND($B$69=1,LEN($O$75)&gt;0),$O$75*10,HLOOKUP(INDIRECT(ADDRESS(2,COLUMN())),OFFSET($CL$2,0,0,ROW()-1,84),ROW()-1,FALSE))</f>
        <v/>
      </c>
      <c r="P19">
        <f ca="1">IF(AND($B$69=1,LEN($P$75)&gt;0),$P$75*10,HLOOKUP(INDIRECT(ADDRESS(2,COLUMN())),OFFSET($CL$2,0,0,ROW()-1,84),ROW()-1,FALSE))</f>
        <v>3200</v>
      </c>
      <c r="Q19">
        <f ca="1">IF(AND($B$69=1,LEN($Q$75)&gt;0),$Q$75*10,HLOOKUP(INDIRECT(ADDRESS(2,COLUMN())),OFFSET($CL$2,0,0,ROW()-1,84),ROW()-1,FALSE))</f>
        <v>2660</v>
      </c>
      <c r="R19">
        <f ca="1">IF(AND($B$69=1,LEN($R$75)&gt;0),$R$75*10,HLOOKUP(INDIRECT(ADDRESS(2,COLUMN())),OFFSET($CL$2,0,0,ROW()-1,84),ROW()-1,FALSE))</f>
        <v>2240</v>
      </c>
      <c r="S19">
        <f ca="1">IF(AND($B$69=1,LEN($S$75)&gt;0),$S$75*10,HLOOKUP(INDIRECT(ADDRESS(2,COLUMN())),OFFSET($CL$2,0,0,ROW()-1,84),ROW()-1,FALSE))</f>
        <v>2430</v>
      </c>
      <c r="T19">
        <f ca="1">IF(AND($B$69=1,LEN($T$75)&gt;0),$T$75*10,HLOOKUP(INDIRECT(ADDRESS(2,COLUMN())),OFFSET($CL$2,0,0,ROW()-1,84),ROW()-1,FALSE))</f>
        <v>2490</v>
      </c>
      <c r="U19">
        <f ca="1">IF(AND($B$69=1,LEN($U$75)&gt;0),$U$75*10,HLOOKUP(INDIRECT(ADDRESS(2,COLUMN())),OFFSET($CL$2,0,0,ROW()-1,84),ROW()-1,FALSE))</f>
        <v>2620</v>
      </c>
      <c r="V19">
        <f ca="1">IF(AND($B$69=1,LEN($V$75)&gt;0),$V$75*10,HLOOKUP(INDIRECT(ADDRESS(2,COLUMN())),OFFSET($CL$2,0,0,ROW()-1,84),ROW()-1,FALSE))</f>
        <v>2620</v>
      </c>
      <c r="W19">
        <f ca="1">IF(AND($B$69=1,LEN($W$75)&gt;0),$W$75*10,HLOOKUP(INDIRECT(ADDRESS(2,COLUMN())),OFFSET($CL$2,0,0,ROW()-1,84),ROW()-1,FALSE))</f>
        <v>2680</v>
      </c>
      <c r="X19">
        <f ca="1">IF(AND($B$69=1,LEN($X$75)&gt;0),$X$75*10,HLOOKUP(INDIRECT(ADDRESS(2,COLUMN())),OFFSET($CL$2,0,0,ROW()-1,84),ROW()-1,FALSE))</f>
        <v>2610</v>
      </c>
      <c r="Y19">
        <f ca="1">IF(AND($B$69=1,LEN($Y$75)&gt;0),$Y$75*10,HLOOKUP(INDIRECT(ADDRESS(2,COLUMN())),OFFSET($CL$2,0,0,ROW()-1,84),ROW()-1,FALSE))</f>
        <v>2210</v>
      </c>
      <c r="Z19">
        <f ca="1">IF(AND($B$69=1,LEN($Z$75)&gt;0),$Z$75*10,HLOOKUP(INDIRECT(ADDRESS(2,COLUMN())),OFFSET($CL$2,0,0,ROW()-1,84),ROW()-1,FALSE))</f>
        <v>1820</v>
      </c>
      <c r="AA19">
        <f ca="1">IF(AND($B$69=1,LEN($AA$75)&gt;0),$AA$75*10,HLOOKUP(INDIRECT(ADDRESS(2,COLUMN())),OFFSET($CL$2,0,0,ROW()-1,84),ROW()-1,FALSE))</f>
        <v>2460</v>
      </c>
      <c r="AB19">
        <f ca="1">IF(AND($B$69=1,LEN($AB$75)&gt;0),$AB$75*10,HLOOKUP(INDIRECT(ADDRESS(2,COLUMN())),OFFSET($CL$2,0,0,ROW()-1,84),ROW()-1,FALSE))</f>
        <v>2530</v>
      </c>
      <c r="AC19">
        <f ca="1">IF(AND($B$69=1,LEN($AC$75)&gt;0),$AC$75*10,HLOOKUP(INDIRECT(ADDRESS(2,COLUMN())),OFFSET($CL$2,0,0,ROW()-1,84),ROW()-1,FALSE))</f>
        <v>2450</v>
      </c>
      <c r="AD19">
        <f ca="1">IF(AND($B$69=1,LEN($AD$75)&gt;0),$AD$75*10,HLOOKUP(INDIRECT(ADDRESS(2,COLUMN())),OFFSET($CL$2,0,0,ROW()-1,84),ROW()-1,FALSE))</f>
        <v>2370</v>
      </c>
      <c r="AE19">
        <f ca="1">IF(AND($B$69=1,LEN($AE$75)&gt;0),$AE$75*10,HLOOKUP(INDIRECT(ADDRESS(2,COLUMN())),OFFSET($CL$2,0,0,ROW()-1,84),ROW()-1,FALSE))</f>
        <v>2720</v>
      </c>
      <c r="AF19">
        <f ca="1">IF(AND($B$69=1,LEN($AF$75)&gt;0),$AF$75*10,HLOOKUP(INDIRECT(ADDRESS(2,COLUMN())),OFFSET($CL$2,0,0,ROW()-1,84),ROW()-1,FALSE))</f>
        <v>2540</v>
      </c>
      <c r="AG19">
        <f ca="1">IF(AND($B$69=1,LEN($AG$75)&gt;0),$AG$75*10,HLOOKUP(INDIRECT(ADDRESS(2,COLUMN())),OFFSET($CL$2,0,0,ROW()-1,84),ROW()-1,FALSE))</f>
        <v>2380</v>
      </c>
      <c r="AH19">
        <f ca="1">IF(AND($B$69=1,LEN($AH$75)&gt;0),$AH$75*10,HLOOKUP(INDIRECT(ADDRESS(2,COLUMN())),OFFSET($CL$2,0,0,ROW()-1,84),ROW()-1,FALSE))</f>
        <v>1850</v>
      </c>
      <c r="AI19">
        <f ca="1">IF(AND($B$69=1,LEN($AI$75)&gt;0),$AI$75*10,HLOOKUP(INDIRECT(ADDRESS(2,COLUMN())),OFFSET($CL$2,0,0,ROW()-1,84),ROW()-1,FALSE))</f>
        <v>2340</v>
      </c>
      <c r="AJ19">
        <f ca="1">IF(AND($B$69=1,LEN($AJ$75)&gt;0),$AJ$75*10,HLOOKUP(INDIRECT(ADDRESS(2,COLUMN())),OFFSET($CL$2,0,0,ROW()-1,84),ROW()-1,FALSE))</f>
        <v>2360</v>
      </c>
      <c r="AK19">
        <f ca="1">IF(AND($B$69=1,LEN($AK$75)&gt;0),$AK$75*10,HLOOKUP(INDIRECT(ADDRESS(2,COLUMN())),OFFSET($CL$2,0,0,ROW()-1,84),ROW()-1,FALSE))</f>
        <v>2410</v>
      </c>
      <c r="AL19">
        <f ca="1">IF(AND($B$69=1,LEN($AL$75)&gt;0),$AL$75*10,HLOOKUP(INDIRECT(ADDRESS(2,COLUMN())),OFFSET($CL$2,0,0,ROW()-1,84),ROW()-1,FALSE))</f>
        <v>2100</v>
      </c>
      <c r="AM19">
        <f ca="1">IF(AND($B$69=1,LEN($AM$75)&gt;0),$AM$75*10,HLOOKUP(INDIRECT(ADDRESS(2,COLUMN())),OFFSET($CL$2,0,0,ROW()-1,84),ROW()-1,FALSE))</f>
        <v>2710</v>
      </c>
      <c r="AN19">
        <f ca="1">IF(AND($B$69=1,LEN($AN$75)&gt;0),$AN$75*10,HLOOKUP(INDIRECT(ADDRESS(2,COLUMN())),OFFSET($CL$2,0,0,ROW()-1,84),ROW()-1,FALSE))</f>
        <v>2570</v>
      </c>
      <c r="AO19">
        <f ca="1">IF(AND($B$69=1,LEN($AO$75)&gt;0),$AO$75*10,HLOOKUP(INDIRECT(ADDRESS(2,COLUMN())),OFFSET($CL$2,0,0,ROW()-1,84),ROW()-1,FALSE))</f>
        <v>2480</v>
      </c>
      <c r="AP19">
        <f ca="1">IF(AND($B$69=1,LEN($AP$75)&gt;0),$AP$75*10,HLOOKUP(INDIRECT(ADDRESS(2,COLUMN())),OFFSET($CL$2,0,0,ROW()-1,84),ROW()-1,FALSE))</f>
        <v>2580</v>
      </c>
      <c r="AQ19">
        <f ca="1">IF(AND($B$69=1,LEN($AQ$75)&gt;0),$AQ$75*10,HLOOKUP(INDIRECT(ADDRESS(2,COLUMN())),OFFSET($CL$2,0,0,ROW()-1,84),ROW()-1,FALSE))</f>
        <v>2820</v>
      </c>
      <c r="AR19">
        <f ca="1">IF(AND($B$69=1,LEN($AR$75)&gt;0),$AR$75*10,HLOOKUP(INDIRECT(ADDRESS(2,COLUMN())),OFFSET($CL$2,0,0,ROW()-1,84),ROW()-1,FALSE))</f>
        <v>2620</v>
      </c>
      <c r="AS19">
        <f ca="1">IF(AND($B$69=1,LEN($AS$75)&gt;0),$AS$75*10,HLOOKUP(INDIRECT(ADDRESS(2,COLUMN())),OFFSET($CL$2,0,0,ROW()-1,84),ROW()-1,FALSE))</f>
        <v>2400</v>
      </c>
      <c r="AT19">
        <f ca="1">IF(AND($B$69=1,LEN($AT$75)&gt;0),$AT$75*10,HLOOKUP(INDIRECT(ADDRESS(2,COLUMN())),OFFSET($CL$2,0,0,ROW()-1,84),ROW()-1,FALSE))</f>
        <v>2210</v>
      </c>
      <c r="AU19">
        <f ca="1">IF(AND($B$69=1,LEN($AU$75)&gt;0),$AU$75*10,HLOOKUP(INDIRECT(ADDRESS(2,COLUMN())),OFFSET($CL$2,0,0,ROW()-1,84),ROW()-1,FALSE))</f>
        <v>1810</v>
      </c>
      <c r="AV19">
        <f ca="1">IF(AND($B$69=1,LEN($AV$75)&gt;0),$AV$75*10,HLOOKUP(INDIRECT(ADDRESS(2,COLUMN())),OFFSET($CL$2,0,0,ROW()-1,84),ROW()-1,FALSE))</f>
        <v>1710</v>
      </c>
      <c r="AW19">
        <f ca="1">IF(AND($B$69=1,LEN($AW$75)&gt;0),$AW$75*10,HLOOKUP(INDIRECT(ADDRESS(2,COLUMN())),OFFSET($CL$2,0,0,ROW()-1,84),ROW()-1,FALSE))</f>
        <v>1840</v>
      </c>
      <c r="AX19">
        <f ca="1">IF(AND($B$69=1,LEN($AX$75)&gt;0),$AX$75*10,HLOOKUP(INDIRECT(ADDRESS(2,COLUMN())),OFFSET($CL$2,0,0,ROW()-1,84),ROW()-1,FALSE))</f>
        <v>1210</v>
      </c>
      <c r="AY19">
        <f ca="1">IF(AND($B$69=1,LEN($AY$75)&gt;0),$AY$75*10,HLOOKUP(INDIRECT(ADDRESS(2,COLUMN())),OFFSET($CL$2,0,0,ROW()-1,84),ROW()-1,FALSE))</f>
        <v>2290</v>
      </c>
      <c r="AZ19">
        <f ca="1">IF(AND($B$69=1,LEN($AZ$75)&gt;0),$AZ$75*10,HLOOKUP(INDIRECT(ADDRESS(2,COLUMN())),OFFSET($CL$2,0,0,ROW()-1,84),ROW()-1,FALSE))</f>
        <v>2180</v>
      </c>
      <c r="BA19">
        <f ca="1">IF(AND($B$69=1,LEN($BA$75)&gt;0),$BA$75*10,HLOOKUP(INDIRECT(ADDRESS(2,COLUMN())),OFFSET($CL$2,0,0,ROW()-1,84),ROW()-1,FALSE))</f>
        <v>2150</v>
      </c>
      <c r="BB19">
        <f ca="1">IF(AND($B$69=1,LEN($BB$75)&gt;0),$BB$75*10,HLOOKUP(INDIRECT(ADDRESS(2,COLUMN())),OFFSET($CL$2,0,0,ROW()-1,84),ROW()-1,FALSE))</f>
        <v>2120</v>
      </c>
      <c r="BC19">
        <f ca="1">IF(AND($B$69=1,LEN($BC$75)&gt;0),$BC$75*10,HLOOKUP(INDIRECT(ADDRESS(2,COLUMN())),OFFSET($CL$2,0,0,ROW()-1,84),ROW()-1,FALSE))</f>
        <v>2300</v>
      </c>
      <c r="BD19">
        <f ca="1">IF(AND($B$69=1,LEN($BD$75)&gt;0),$BD$75*10,HLOOKUP(INDIRECT(ADDRESS(2,COLUMN())),OFFSET($CL$2,0,0,ROW()-1,84),ROW()-1,FALSE))</f>
        <v>2340</v>
      </c>
      <c r="BE19">
        <f ca="1">IF(AND($B$69=1,LEN($BE$75)&gt;0),$BE$75*10,HLOOKUP(INDIRECT(ADDRESS(2,COLUMN())),OFFSET($CL$2,0,0,ROW()-1,84),ROW()-1,FALSE))</f>
        <v>2270</v>
      </c>
      <c r="BF19">
        <f ca="1">IF(AND($B$69=1,LEN($BF$75)&gt;0),$BF$75*10,HLOOKUP(INDIRECT(ADDRESS(2,COLUMN())),OFFSET($CL$2,0,0,ROW()-1,84),ROW()-1,FALSE))</f>
        <v>2180</v>
      </c>
      <c r="BG19">
        <f ca="1">IF(AND($B$69=1,LEN($BG$75)&gt;0),$BG$75*10,HLOOKUP(INDIRECT(ADDRESS(2,COLUMN())),OFFSET($CL$2,0,0,ROW()-1,84),ROW()-1,FALSE))</f>
        <v>2090</v>
      </c>
      <c r="BH19">
        <f ca="1">IF(AND($B$69=1,LEN($BH$75)&gt;0),$BH$75*10,HLOOKUP(INDIRECT(ADDRESS(2,COLUMN())),OFFSET($CL$2,0,0,ROW()-1,84),ROW()-1,FALSE))</f>
        <v>2080</v>
      </c>
      <c r="BI19">
        <f ca="1">IF(AND($B$69=1,LEN($BI$75)&gt;0),$BI$75*10,HLOOKUP(INDIRECT(ADDRESS(2,COLUMN())),OFFSET($CL$2,0,0,ROW()-1,84),ROW()-1,FALSE))</f>
        <v>2050</v>
      </c>
      <c r="BJ19">
        <f ca="1">IF(AND($B$69=1,LEN($BJ$75)&gt;0),$BJ$75*10,HLOOKUP(INDIRECT(ADDRESS(2,COLUMN())),OFFSET($CL$2,0,0,ROW()-1,84),ROW()-1,FALSE))</f>
        <v>1600</v>
      </c>
      <c r="BK19">
        <f ca="1">IF(AND($B$69=1,LEN($BK$75)&gt;0),$BK$75*10,HLOOKUP(INDIRECT(ADDRESS(2,COLUMN())),OFFSET($CL$2,0,0,ROW()-1,84),ROW()-1,FALSE))</f>
        <v>2410</v>
      </c>
      <c r="BL19">
        <f ca="1">IF(AND($B$69=1,LEN($BL$75)&gt;0),$BL$75*10,HLOOKUP(INDIRECT(ADDRESS(2,COLUMN())),OFFSET($CL$2,0,0,ROW()-1,84),ROW()-1,FALSE))</f>
        <v>2108.8000000000002</v>
      </c>
      <c r="BM19">
        <f ca="1">IF(AND($B$69=1,LEN($BM$75)&gt;0),$BM$75*10,HLOOKUP(INDIRECT(ADDRESS(2,COLUMN())),OFFSET($CL$2,0,0,ROW()-1,84),ROW()-1,FALSE))</f>
        <v>2304.4</v>
      </c>
      <c r="BN19">
        <f ca="1">IF(AND($B$69=1,LEN($BN$75)&gt;0),$BN$75*10,HLOOKUP(INDIRECT(ADDRESS(2,COLUMN())),OFFSET($CL$2,0,0,ROW()-1,84),ROW()-1,FALSE))</f>
        <v>2188.1</v>
      </c>
      <c r="BO19">
        <f ca="1">IF(AND($B$69=1,LEN($BO$75)&gt;0),$BO$75*10,HLOOKUP(INDIRECT(ADDRESS(2,COLUMN())),OFFSET($CL$2,0,0,ROW()-1,84),ROW()-1,FALSE))</f>
        <v>2287.1999999999998</v>
      </c>
      <c r="BP19">
        <f ca="1">IF(AND($B$69=1,LEN($BP$75)&gt;0),$BP$75*10,HLOOKUP(INDIRECT(ADDRESS(2,COLUMN())),OFFSET($CL$2,0,0,ROW()-1,84),ROW()-1,FALSE))</f>
        <v>2338.4</v>
      </c>
      <c r="BQ19">
        <f ca="1">IF(AND($B$69=1,LEN($BQ$75)&gt;0),$BQ$75*10,HLOOKUP(INDIRECT(ADDRESS(2,COLUMN())),OFFSET($CL$2,0,0,ROW()-1,84),ROW()-1,FALSE))</f>
        <v>2276.6</v>
      </c>
      <c r="BR19">
        <f ca="1">IF(AND($B$69=1,LEN($BR$75)&gt;0),$BR$75*10,HLOOKUP(INDIRECT(ADDRESS(2,COLUMN())),OFFSET($CL$2,0,0,ROW()-1,84),ROW()-1,FALSE))</f>
        <v>2078.4</v>
      </c>
      <c r="BS19">
        <f ca="1">IF(AND($B$69=1,LEN($BS$75)&gt;0),$BS$75*10,HLOOKUP(INDIRECT(ADDRESS(2,COLUMN())),OFFSET($CL$2,0,0,ROW()-1,84),ROW()-1,FALSE))</f>
        <v>2086.3000000000002</v>
      </c>
      <c r="BT19">
        <f ca="1">IF(AND($B$69=1,LEN($BT$75)&gt;0),$BT$75*10,HLOOKUP(INDIRECT(ADDRESS(2,COLUMN())),OFFSET($CL$2,0,0,ROW()-1,84),ROW()-1,FALSE))</f>
        <v>1954.8</v>
      </c>
      <c r="BU19">
        <f ca="1">IF(AND($B$69=1,LEN($BU$75)&gt;0),$BU$75*10,HLOOKUP(INDIRECT(ADDRESS(2,COLUMN())),OFFSET($CL$2,0,0,ROW()-1,84),ROW()-1,FALSE))</f>
        <v>1792.5</v>
      </c>
      <c r="BV19">
        <f ca="1">IF(AND($B$69=1,LEN($BV$75)&gt;0),$BV$75*10,HLOOKUP(INDIRECT(ADDRESS(2,COLUMN())),OFFSET($CL$2,0,0,ROW()-1,84),ROW()-1,FALSE))</f>
        <v>1880.4</v>
      </c>
      <c r="BW19">
        <f ca="1">IF(AND($B$69=1,LEN($BW$75)&gt;0),$BW$75*10,HLOOKUP(INDIRECT(ADDRESS(2,COLUMN())),OFFSET($CL$2,0,0,ROW()-1,84),ROW()-1,FALSE))</f>
        <v>2358</v>
      </c>
      <c r="BX19">
        <f ca="1">IF(AND($B$69=1,LEN($BX$75)&gt;0),$BX$75*10,HLOOKUP(INDIRECT(ADDRESS(2,COLUMN())),OFFSET($CL$2,0,0,ROW()-1,84),ROW()-1,FALSE))</f>
        <v>2045.1</v>
      </c>
      <c r="BY19">
        <f ca="1">IF(AND($B$69=1,LEN($BY$75)&gt;0),$BY$75*10,HLOOKUP(INDIRECT(ADDRESS(2,COLUMN())),OFFSET($CL$2,0,0,ROW()-1,84),ROW()-1,FALSE))</f>
        <v>2102.8000000000002</v>
      </c>
      <c r="BZ19">
        <f ca="1">IF(AND($B$69=1,LEN($BZ$75)&gt;0),$BZ$75*10,HLOOKUP(INDIRECT(ADDRESS(2,COLUMN())),OFFSET($CL$2,0,0,ROW()-1,84),ROW()-1,FALSE))</f>
        <v>2145.6999999999998</v>
      </c>
      <c r="CA19">
        <f ca="1">IF(AND($B$69=1,LEN($CA$75)&gt;0),$CA$75*10,HLOOKUP(INDIRECT(ADDRESS(2,COLUMN())),OFFSET($CL$2,0,0,ROW()-1,84),ROW()-1,FALSE))</f>
        <v>2456.9</v>
      </c>
      <c r="CB19">
        <f ca="1">IF(AND($B$69=1,LEN($CB$75)&gt;0),$CB$75*10,HLOOKUP(INDIRECT(ADDRESS(2,COLUMN())),OFFSET($CL$2,0,0,ROW()-1,84),ROW()-1,FALSE))</f>
        <v>2284.8000000000002</v>
      </c>
      <c r="CC19">
        <f ca="1">IF(AND($B$69=1,LEN($CC$75)&gt;0),$CC$75*10,HLOOKUP(INDIRECT(ADDRESS(2,COLUMN())),OFFSET($CL$2,0,0,ROW()-1,84),ROW()-1,FALSE))</f>
        <v>2347.6999999999998</v>
      </c>
      <c r="CD19">
        <f ca="1">IF(AND($B$69=1,LEN($CD$75)&gt;0),$CD$75*10,HLOOKUP(INDIRECT(ADDRESS(2,COLUMN())),OFFSET($CL$2,0,0,ROW()-1,84),ROW()-1,FALSE))</f>
        <v>2088.9</v>
      </c>
      <c r="CE19">
        <f ca="1">IF(AND($B$69=1,LEN($CE$75)&gt;0),$CE$75*10,HLOOKUP(INDIRECT(ADDRESS(2,COLUMN())),OFFSET($CL$2,0,0,ROW()-1,84),ROW()-1,FALSE))</f>
        <v>2155.3000000000002</v>
      </c>
      <c r="CF19">
        <f ca="1">IF(AND($B$69=1,LEN($CF$75)&gt;0),$CF$75*10,HLOOKUP(INDIRECT(ADDRESS(2,COLUMN())),OFFSET($CL$2,0,0,ROW()-1,84),ROW()-1,FALSE))</f>
        <v>2016</v>
      </c>
      <c r="CG19">
        <f ca="1">IF(AND($B$69=1,LEN($CG$75)&gt;0),$CG$75*10,HLOOKUP(INDIRECT(ADDRESS(2,COLUMN())),OFFSET($CL$2,0,0,ROW()-1,84),ROW()-1,FALSE))</f>
        <v>1924.1</v>
      </c>
      <c r="CH19">
        <f ca="1">IF(AND($B$69=1,LEN($CH$75)&gt;0),$CH$75*10,HLOOKUP(INDIRECT(ADDRESS(2,COLUMN())),OFFSET($CL$2,0,0,ROW()-1,84),ROW()-1,FALSE))</f>
        <v>1359.9</v>
      </c>
      <c r="CI19">
        <f ca="1">IF(AND($B$69=1,LEN($CI$75)&gt;0),$CI$75*10,HLOOKUP(INDIRECT(ADDRESS(2,COLUMN())),OFFSET($CL$2,0,0,ROW()-1,84),ROW()-1,FALSE))</f>
        <v>2163.9</v>
      </c>
      <c r="CJ19">
        <f ca="1">IF(AND($B$69=1,LEN($CJ$75)&gt;0),$CJ$75*10,HLOOKUP(INDIRECT(ADDRESS(2,COLUMN())),OFFSET($CL$2,0,0,ROW()-1,84),ROW()-1,FALSE))</f>
        <v>2080</v>
      </c>
      <c r="CK19">
        <f ca="1">IF(AND($B$69=1,LEN($CK$75)&gt;0),$CK$75*10,HLOOKUP(INDIRECT(ADDRESS(2,COLUMN())),OFFSET($CL$2,0,0,ROW()-1,84),ROW()-1,FALSE))</f>
        <v>2088.1</v>
      </c>
      <c r="CL19" t="str">
        <f>""</f>
        <v/>
      </c>
      <c r="CM19" t="str">
        <f>""</f>
        <v/>
      </c>
      <c r="CN19">
        <f>2750</f>
        <v>2750</v>
      </c>
      <c r="CO19">
        <f>2820</f>
        <v>2820</v>
      </c>
      <c r="CP19">
        <f>2620</f>
        <v>2620</v>
      </c>
      <c r="CQ19">
        <f>2480</f>
        <v>2480</v>
      </c>
      <c r="CR19">
        <f>2260</f>
        <v>2260</v>
      </c>
      <c r="CS19">
        <f>2260</f>
        <v>2260</v>
      </c>
      <c r="CT19" t="str">
        <f>""</f>
        <v/>
      </c>
      <c r="CU19" t="str">
        <f>""</f>
        <v/>
      </c>
      <c r="CV19">
        <f>3200</f>
        <v>3200</v>
      </c>
      <c r="CW19">
        <f>2660</f>
        <v>2660</v>
      </c>
      <c r="CX19">
        <f>2240</f>
        <v>2240</v>
      </c>
      <c r="CY19">
        <f>2430</f>
        <v>2430</v>
      </c>
      <c r="CZ19">
        <f>2490</f>
        <v>2490</v>
      </c>
      <c r="DA19">
        <f>2620</f>
        <v>2620</v>
      </c>
      <c r="DB19">
        <f>2620</f>
        <v>2620</v>
      </c>
      <c r="DC19">
        <f>2680</f>
        <v>2680</v>
      </c>
      <c r="DD19">
        <f>2610</f>
        <v>2610</v>
      </c>
      <c r="DE19">
        <f>2210</f>
        <v>2210</v>
      </c>
      <c r="DF19">
        <f>1820</f>
        <v>1820</v>
      </c>
      <c r="DG19">
        <f>2460</f>
        <v>2460</v>
      </c>
      <c r="DH19">
        <f>2530</f>
        <v>2530</v>
      </c>
      <c r="DI19">
        <f>2450</f>
        <v>2450</v>
      </c>
      <c r="DJ19">
        <f>2370</f>
        <v>2370</v>
      </c>
      <c r="DK19">
        <f>2720</f>
        <v>2720</v>
      </c>
      <c r="DL19">
        <f>2540</f>
        <v>2540</v>
      </c>
      <c r="DM19">
        <f>2380</f>
        <v>2380</v>
      </c>
      <c r="DN19">
        <f>1850</f>
        <v>1850</v>
      </c>
      <c r="DO19">
        <f>2340</f>
        <v>2340</v>
      </c>
      <c r="DP19">
        <f>2360</f>
        <v>2360</v>
      </c>
      <c r="DQ19">
        <f>2410</f>
        <v>2410</v>
      </c>
      <c r="DR19">
        <f>2100</f>
        <v>2100</v>
      </c>
      <c r="DS19">
        <f>2710</f>
        <v>2710</v>
      </c>
      <c r="DT19">
        <f>2570</f>
        <v>2570</v>
      </c>
      <c r="DU19">
        <f>2480</f>
        <v>2480</v>
      </c>
      <c r="DV19">
        <f>2580</f>
        <v>2580</v>
      </c>
      <c r="DW19">
        <f>2820</f>
        <v>2820</v>
      </c>
      <c r="DX19">
        <f>2620</f>
        <v>2620</v>
      </c>
      <c r="DY19">
        <f>2400</f>
        <v>2400</v>
      </c>
      <c r="DZ19">
        <f>2210</f>
        <v>2210</v>
      </c>
      <c r="EA19">
        <f>1810</f>
        <v>1810</v>
      </c>
      <c r="EB19">
        <f>1710</f>
        <v>1710</v>
      </c>
      <c r="EC19">
        <f>1840</f>
        <v>1840</v>
      </c>
      <c r="ED19">
        <f>1210</f>
        <v>1210</v>
      </c>
      <c r="EE19">
        <f>2290</f>
        <v>2290</v>
      </c>
      <c r="EF19">
        <f>2180</f>
        <v>2180</v>
      </c>
      <c r="EG19">
        <f>2150</f>
        <v>2150</v>
      </c>
      <c r="EH19">
        <f>2120</f>
        <v>2120</v>
      </c>
      <c r="EI19">
        <f>2300</f>
        <v>2300</v>
      </c>
      <c r="EJ19">
        <f>2340</f>
        <v>2340</v>
      </c>
      <c r="EK19">
        <f>2270</f>
        <v>2270</v>
      </c>
      <c r="EL19">
        <f>2180</f>
        <v>2180</v>
      </c>
      <c r="EM19">
        <f>2090</f>
        <v>2090</v>
      </c>
      <c r="EN19">
        <f>2080</f>
        <v>2080</v>
      </c>
      <c r="EO19">
        <f>2050</f>
        <v>2050</v>
      </c>
      <c r="EP19">
        <f>1600</f>
        <v>1600</v>
      </c>
      <c r="EQ19">
        <f>2410</f>
        <v>2410</v>
      </c>
      <c r="ER19">
        <f>2108.8</f>
        <v>2108.8000000000002</v>
      </c>
      <c r="ES19">
        <f>2304.4</f>
        <v>2304.4</v>
      </c>
      <c r="ET19">
        <f>2188.1</f>
        <v>2188.1</v>
      </c>
      <c r="EU19">
        <f>2287.2</f>
        <v>2287.1999999999998</v>
      </c>
      <c r="EV19">
        <f>2338.4</f>
        <v>2338.4</v>
      </c>
      <c r="EW19">
        <f>2276.6</f>
        <v>2276.6</v>
      </c>
      <c r="EX19">
        <f>2078.4</f>
        <v>2078.4</v>
      </c>
      <c r="EY19">
        <f>2086.3</f>
        <v>2086.3000000000002</v>
      </c>
      <c r="EZ19">
        <f>1954.8</f>
        <v>1954.8</v>
      </c>
      <c r="FA19">
        <f>1792.5</f>
        <v>1792.5</v>
      </c>
      <c r="FB19">
        <f>1880.4</f>
        <v>1880.4</v>
      </c>
      <c r="FC19">
        <f>2358</f>
        <v>2358</v>
      </c>
      <c r="FD19">
        <f>2045.1</f>
        <v>2045.1</v>
      </c>
      <c r="FE19">
        <f>2102.8</f>
        <v>2102.8000000000002</v>
      </c>
      <c r="FF19">
        <f>2145.7</f>
        <v>2145.6999999999998</v>
      </c>
      <c r="FG19">
        <f>2456.9</f>
        <v>2456.9</v>
      </c>
      <c r="FH19">
        <f>2284.8</f>
        <v>2284.8000000000002</v>
      </c>
      <c r="FI19">
        <f>2347.7</f>
        <v>2347.6999999999998</v>
      </c>
      <c r="FJ19">
        <f>2088.9</f>
        <v>2088.9</v>
      </c>
      <c r="FK19">
        <f>2155.3</f>
        <v>2155.3000000000002</v>
      </c>
      <c r="FL19">
        <f>2016</f>
        <v>2016</v>
      </c>
      <c r="FM19">
        <f>1924.1</f>
        <v>1924.1</v>
      </c>
      <c r="FN19">
        <f>1359.9</f>
        <v>1359.9</v>
      </c>
      <c r="FO19">
        <f>2163.9</f>
        <v>2163.9</v>
      </c>
      <c r="FP19">
        <f>2080</f>
        <v>2080</v>
      </c>
      <c r="FQ19">
        <f>2088.1</f>
        <v>2088.1</v>
      </c>
    </row>
    <row r="20" spans="1:173" x14ac:dyDescent="0.25">
      <c r="A20" t="str">
        <f>"Ningbo-Zhoushan Sea Port Container Throughput (000 TEU)"</f>
        <v>Ningbo-Zhoushan Sea Port Container Throughput (000 TEU)</v>
      </c>
      <c r="B20" t="str">
        <f>"CNIFSCNZ Index"</f>
        <v>CNIFSCNZ Index</v>
      </c>
      <c r="E20" t="str">
        <f>"Expression"</f>
        <v>Expression</v>
      </c>
      <c r="F20" t="str">
        <f ca="1">IF(AND($B$69=1,LEN($F$76)&gt;0),$F$76*10,HLOOKUP(INDIRECT(ADDRESS(2,COLUMN())),OFFSET($CL$2,0,0,ROW()-1,84),ROW()-1,FALSE))</f>
        <v/>
      </c>
      <c r="G20" t="str">
        <f ca="1">IF(AND($B$69=1,LEN($G$76)&gt;0),$G$76*10,HLOOKUP(INDIRECT(ADDRESS(2,COLUMN())),OFFSET($CL$2,0,0,ROW()-1,84),ROW()-1,FALSE))</f>
        <v/>
      </c>
      <c r="H20">
        <f ca="1">IF(AND($B$69=1,LEN($H$76)&gt;0),$H$76*10,HLOOKUP(INDIRECT(ADDRESS(2,COLUMN())),OFFSET($CL$2,0,0,ROW()-1,84),ROW()-1,FALSE))</f>
        <v>3190</v>
      </c>
      <c r="I20">
        <f ca="1">IF(AND($B$69=1,LEN($I$76)&gt;0),$I$76*10,HLOOKUP(INDIRECT(ADDRESS(2,COLUMN())),OFFSET($CL$2,0,0,ROW()-1,84),ROW()-1,FALSE))</f>
        <v>3180</v>
      </c>
      <c r="J20">
        <f ca="1">IF(AND($B$69=1,LEN($J$76)&gt;0),$J$76*10,HLOOKUP(INDIRECT(ADDRESS(2,COLUMN())),OFFSET($CL$2,0,0,ROW()-1,84),ROW()-1,FALSE))</f>
        <v>3220</v>
      </c>
      <c r="K20">
        <f ca="1">IF(AND($B$69=1,LEN($K$76)&gt;0),$K$76*10,HLOOKUP(INDIRECT(ADDRESS(2,COLUMN())),OFFSET($CL$2,0,0,ROW()-1,84),ROW()-1,FALSE))</f>
        <v>3150</v>
      </c>
      <c r="L20">
        <f ca="1">IF(AND($B$69=1,LEN($L$76)&gt;0),$L$76*10,HLOOKUP(INDIRECT(ADDRESS(2,COLUMN())),OFFSET($CL$2,0,0,ROW()-1,84),ROW()-1,FALSE))</f>
        <v>3130</v>
      </c>
      <c r="M20">
        <f ca="1">IF(AND($B$69=1,LEN($M$76)&gt;0),$M$76*10,HLOOKUP(INDIRECT(ADDRESS(2,COLUMN())),OFFSET($CL$2,0,0,ROW()-1,84),ROW()-1,FALSE))</f>
        <v>2880</v>
      </c>
      <c r="N20" t="str">
        <f ca="1">IF(AND($B$69=1,LEN($N$76)&gt;0),$N$76*10,HLOOKUP(INDIRECT(ADDRESS(2,COLUMN())),OFFSET($CL$2,0,0,ROW()-1,84),ROW()-1,FALSE))</f>
        <v/>
      </c>
      <c r="O20" t="str">
        <f ca="1">IF(AND($B$69=1,LEN($O$76)&gt;0),$O$76*10,HLOOKUP(INDIRECT(ADDRESS(2,COLUMN())),OFFSET($CL$2,0,0,ROW()-1,84),ROW()-1,FALSE))</f>
        <v/>
      </c>
      <c r="P20">
        <f ca="1">IF(AND($B$69=1,LEN($P$76)&gt;0),$P$76*10,HLOOKUP(INDIRECT(ADDRESS(2,COLUMN())),OFFSET($CL$2,0,0,ROW()-1,84),ROW()-1,FALSE))</f>
        <v>2090</v>
      </c>
      <c r="Q20">
        <f ca="1">IF(AND($B$69=1,LEN($Q$76)&gt;0),$Q$76*10,HLOOKUP(INDIRECT(ADDRESS(2,COLUMN())),OFFSET($CL$2,0,0,ROW()-1,84),ROW()-1,FALSE))</f>
        <v>2370</v>
      </c>
      <c r="R20">
        <f ca="1">IF(AND($B$69=1,LEN($R$76)&gt;0),$R$76*10,HLOOKUP(INDIRECT(ADDRESS(2,COLUMN())),OFFSET($CL$2,0,0,ROW()-1,84),ROW()-1,FALSE))</f>
        <v>2570</v>
      </c>
      <c r="S20">
        <f ca="1">IF(AND($B$69=1,LEN($S$76)&gt;0),$S$76*10,HLOOKUP(INDIRECT(ADDRESS(2,COLUMN())),OFFSET($CL$2,0,0,ROW()-1,84),ROW()-1,FALSE))</f>
        <v>2630</v>
      </c>
      <c r="T20">
        <f ca="1">IF(AND($B$69=1,LEN($T$76)&gt;0),$T$76*10,HLOOKUP(INDIRECT(ADDRESS(2,COLUMN())),OFFSET($CL$2,0,0,ROW()-1,84),ROW()-1,FALSE))</f>
        <v>2940</v>
      </c>
      <c r="U20">
        <f ca="1">IF(AND($B$69=1,LEN($U$76)&gt;0),$U$76*10,HLOOKUP(INDIRECT(ADDRESS(2,COLUMN())),OFFSET($CL$2,0,0,ROW()-1,84),ROW()-1,FALSE))</f>
        <v>3280</v>
      </c>
      <c r="V20">
        <f ca="1">IF(AND($B$69=1,LEN($V$76)&gt;0),$V$76*10,HLOOKUP(INDIRECT(ADDRESS(2,COLUMN())),OFFSET($CL$2,0,0,ROW()-1,84),ROW()-1,FALSE))</f>
        <v>3160</v>
      </c>
      <c r="W20">
        <f ca="1">IF(AND($B$69=1,LEN($W$76)&gt;0),$W$76*10,HLOOKUP(INDIRECT(ADDRESS(2,COLUMN())),OFFSET($CL$2,0,0,ROW()-1,84),ROW()-1,FALSE))</f>
        <v>3370</v>
      </c>
      <c r="X20">
        <f ca="1">IF(AND($B$69=1,LEN($X$76)&gt;0),$X$76*10,HLOOKUP(INDIRECT(ADDRESS(2,COLUMN())),OFFSET($CL$2,0,0,ROW()-1,84),ROW()-1,FALSE))</f>
        <v>3030</v>
      </c>
      <c r="Y20">
        <f ca="1">IF(AND($B$69=1,LEN($Y$76)&gt;0),$Y$76*10,HLOOKUP(INDIRECT(ADDRESS(2,COLUMN())),OFFSET($CL$2,0,0,ROW()-1,84),ROW()-1,FALSE))</f>
        <v>2660</v>
      </c>
      <c r="Z20">
        <f ca="1">IF(AND($B$69=1,LEN($Z$76)&gt;0),$Z$76*10,HLOOKUP(INDIRECT(ADDRESS(2,COLUMN())),OFFSET($CL$2,0,0,ROW()-1,84),ROW()-1,FALSE))</f>
        <v>2290</v>
      </c>
      <c r="AA20">
        <f ca="1">IF(AND($B$69=1,LEN($AA$76)&gt;0),$AA$76*10,HLOOKUP(INDIRECT(ADDRESS(2,COLUMN())),OFFSET($CL$2,0,0,ROW()-1,84),ROW()-1,FALSE))</f>
        <v>2970</v>
      </c>
      <c r="AB20">
        <f ca="1">IF(AND($B$69=1,LEN($AB$76)&gt;0),$AB$76*10,HLOOKUP(INDIRECT(ADDRESS(2,COLUMN())),OFFSET($CL$2,0,0,ROW()-1,84),ROW()-1,FALSE))</f>
        <v>2090</v>
      </c>
      <c r="AC20">
        <f ca="1">IF(AND($B$69=1,LEN($AC$76)&gt;0),$AC$76*10,HLOOKUP(INDIRECT(ADDRESS(2,COLUMN())),OFFSET($CL$2,0,0,ROW()-1,84),ROW()-1,FALSE))</f>
        <v>2270</v>
      </c>
      <c r="AD20">
        <f ca="1">IF(AND($B$69=1,LEN($AD$76)&gt;0),$AD$76*10,HLOOKUP(INDIRECT(ADDRESS(2,COLUMN())),OFFSET($CL$2,0,0,ROW()-1,84),ROW()-1,FALSE))</f>
        <v>2750</v>
      </c>
      <c r="AE20">
        <f ca="1">IF(AND($B$69=1,LEN($AE$76)&gt;0),$AE$76*10,HLOOKUP(INDIRECT(ADDRESS(2,COLUMN())),OFFSET($CL$2,0,0,ROW()-1,84),ROW()-1,FALSE))</f>
        <v>2610</v>
      </c>
      <c r="AF20">
        <f ca="1">IF(AND($B$69=1,LEN($AF$76)&gt;0),$AF$76*10,HLOOKUP(INDIRECT(ADDRESS(2,COLUMN())),OFFSET($CL$2,0,0,ROW()-1,84),ROW()-1,FALSE))</f>
        <v>2680</v>
      </c>
      <c r="AG20">
        <f ca="1">IF(AND($B$69=1,LEN($AG$76)&gt;0),$AG$76*10,HLOOKUP(INDIRECT(ADDRESS(2,COLUMN())),OFFSET($CL$2,0,0,ROW()-1,84),ROW()-1,FALSE))</f>
        <v>2610</v>
      </c>
      <c r="AH20">
        <f ca="1">IF(AND($B$69=1,LEN($AH$76)&gt;0),$AH$76*10,HLOOKUP(INDIRECT(ADDRESS(2,COLUMN())),OFFSET($CL$2,0,0,ROW()-1,84),ROW()-1,FALSE))</f>
        <v>2830</v>
      </c>
      <c r="AI20">
        <f ca="1">IF(AND($B$69=1,LEN($AI$76)&gt;0),$AI$76*10,HLOOKUP(INDIRECT(ADDRESS(2,COLUMN())),OFFSET($CL$2,0,0,ROW()-1,84),ROW()-1,FALSE))</f>
        <v>2840</v>
      </c>
      <c r="AJ20">
        <f ca="1">IF(AND($B$69=1,LEN($AJ$76)&gt;0),$AJ$76*10,HLOOKUP(INDIRECT(ADDRESS(2,COLUMN())),OFFSET($CL$2,0,0,ROW()-1,84),ROW()-1,FALSE))</f>
        <v>2710</v>
      </c>
      <c r="AK20">
        <f ca="1">IF(AND($B$69=1,LEN($AK$76)&gt;0),$AK$76*10,HLOOKUP(INDIRECT(ADDRESS(2,COLUMN())),OFFSET($CL$2,0,0,ROW()-1,84),ROW()-1,FALSE))</f>
        <v>2490</v>
      </c>
      <c r="AL20">
        <f ca="1">IF(AND($B$69=1,LEN($AL$76)&gt;0),$AL$76*10,HLOOKUP(INDIRECT(ADDRESS(2,COLUMN())),OFFSET($CL$2,0,0,ROW()-1,84),ROW()-1,FALSE))</f>
        <v>2310</v>
      </c>
      <c r="AM20">
        <f ca="1">IF(AND($B$69=1,LEN($AM$76)&gt;0),$AM$76*10,HLOOKUP(INDIRECT(ADDRESS(2,COLUMN())),OFFSET($CL$2,0,0,ROW()-1,84),ROW()-1,FALSE))</f>
        <v>2890</v>
      </c>
      <c r="AN20">
        <f ca="1">IF(AND($B$69=1,LEN($AN$76)&gt;0),$AN$76*10,HLOOKUP(INDIRECT(ADDRESS(2,COLUMN())),OFFSET($CL$2,0,0,ROW()-1,84),ROW()-1,FALSE))</f>
        <v>2240</v>
      </c>
      <c r="AO20">
        <f ca="1">IF(AND($B$69=1,LEN($AO$76)&gt;0),$AO$76*10,HLOOKUP(INDIRECT(ADDRESS(2,COLUMN())),OFFSET($CL$2,0,0,ROW()-1,84),ROW()-1,FALSE))</f>
        <v>2420</v>
      </c>
      <c r="AP20">
        <f ca="1">IF(AND($B$69=1,LEN($AP$76)&gt;0),$AP$76*10,HLOOKUP(INDIRECT(ADDRESS(2,COLUMN())),OFFSET($CL$2,0,0,ROW()-1,84),ROW()-1,FALSE))</f>
        <v>2710</v>
      </c>
      <c r="AQ20">
        <f ca="1">IF(AND($B$69=1,LEN($AQ$76)&gt;0),$AQ$76*10,HLOOKUP(INDIRECT(ADDRESS(2,COLUMN())),OFFSET($CL$2,0,0,ROW()-1,84),ROW()-1,FALSE))</f>
        <v>2730</v>
      </c>
      <c r="AR20">
        <f ca="1">IF(AND($B$69=1,LEN($AR$76)&gt;0),$AR$76*10,HLOOKUP(INDIRECT(ADDRESS(2,COLUMN())),OFFSET($CL$2,0,0,ROW()-1,84),ROW()-1,FALSE))</f>
        <v>2670</v>
      </c>
      <c r="AS20">
        <f ca="1">IF(AND($B$69=1,LEN($AS$76)&gt;0),$AS$76*10,HLOOKUP(INDIRECT(ADDRESS(2,COLUMN())),OFFSET($CL$2,0,0,ROW()-1,84),ROW()-1,FALSE))</f>
        <v>2710</v>
      </c>
      <c r="AT20">
        <f ca="1">IF(AND($B$69=1,LEN($AT$76)&gt;0),$AT$76*10,HLOOKUP(INDIRECT(ADDRESS(2,COLUMN())),OFFSET($CL$2,0,0,ROW()-1,84),ROW()-1,FALSE))</f>
        <v>2530</v>
      </c>
      <c r="AU20">
        <f ca="1">IF(AND($B$69=1,LEN($AU$76)&gt;0),$AU$76*10,HLOOKUP(INDIRECT(ADDRESS(2,COLUMN())),OFFSET($CL$2,0,0,ROW()-1,84),ROW()-1,FALSE))</f>
        <v>2430</v>
      </c>
      <c r="AV20">
        <f ca="1">IF(AND($B$69=1,LEN($AV$76)&gt;0),$AV$76*10,HLOOKUP(INDIRECT(ADDRESS(2,COLUMN())),OFFSET($CL$2,0,0,ROW()-1,84),ROW()-1,FALSE))</f>
        <v>2140</v>
      </c>
      <c r="AW20">
        <f ca="1">IF(AND($B$69=1,LEN($AW$76)&gt;0),$AW$76*10,HLOOKUP(INDIRECT(ADDRESS(2,COLUMN())),OFFSET($CL$2,0,0,ROW()-1,84),ROW()-1,FALSE))</f>
        <v>2090</v>
      </c>
      <c r="AX20">
        <f ca="1">IF(AND($B$69=1,LEN($AX$76)&gt;0),$AX$76*10,HLOOKUP(INDIRECT(ADDRESS(2,COLUMN())),OFFSET($CL$2,0,0,ROW()-1,84),ROW()-1,FALSE))</f>
        <v>1540</v>
      </c>
      <c r="AY20">
        <f ca="1">IF(AND($B$69=1,LEN($AY$76)&gt;0),$AY$76*10,HLOOKUP(INDIRECT(ADDRESS(2,COLUMN())),OFFSET($CL$2,0,0,ROW()-1,84),ROW()-1,FALSE))</f>
        <v>2520</v>
      </c>
      <c r="AZ20">
        <f ca="1">IF(AND($B$69=1,LEN($AZ$76)&gt;0),$AZ$76*10,HLOOKUP(INDIRECT(ADDRESS(2,COLUMN())),OFFSET($CL$2,0,0,ROW()-1,84),ROW()-1,FALSE))</f>
        <v>1940</v>
      </c>
      <c r="BA20">
        <f ca="1">IF(AND($B$69=1,LEN($BA$76)&gt;0),$BA$76*10,HLOOKUP(INDIRECT(ADDRESS(2,COLUMN())),OFFSET($CL$2,0,0,ROW()-1,84),ROW()-1,FALSE))</f>
        <v>2100</v>
      </c>
      <c r="BB20">
        <f ca="1">IF(AND($B$69=1,LEN($BB$76)&gt;0),$BB$76*10,HLOOKUP(INDIRECT(ADDRESS(2,COLUMN())),OFFSET($CL$2,0,0,ROW()-1,84),ROW()-1,FALSE))</f>
        <v>2230</v>
      </c>
      <c r="BC20">
        <f ca="1">IF(AND($B$69=1,LEN($BC$76)&gt;0),$BC$76*10,HLOOKUP(INDIRECT(ADDRESS(2,COLUMN())),OFFSET($CL$2,0,0,ROW()-1,84),ROW()-1,FALSE))</f>
        <v>2400</v>
      </c>
      <c r="BD20">
        <f ca="1">IF(AND($B$69=1,LEN($BD$76)&gt;0),$BD$76*10,HLOOKUP(INDIRECT(ADDRESS(2,COLUMN())),OFFSET($CL$2,0,0,ROW()-1,84),ROW()-1,FALSE))</f>
        <v>2440</v>
      </c>
      <c r="BE20">
        <f ca="1">IF(AND($B$69=1,LEN($BE$76)&gt;0),$BE$76*10,HLOOKUP(INDIRECT(ADDRESS(2,COLUMN())),OFFSET($CL$2,0,0,ROW()-1,84),ROW()-1,FALSE))</f>
        <v>2510</v>
      </c>
      <c r="BF20">
        <f ca="1">IF(AND($B$69=1,LEN($BF$76)&gt;0),$BF$76*10,HLOOKUP(INDIRECT(ADDRESS(2,COLUMN())),OFFSET($CL$2,0,0,ROW()-1,84),ROW()-1,FALSE))</f>
        <v>2420</v>
      </c>
      <c r="BG20">
        <f ca="1">IF(AND($B$69=1,LEN($BG$76)&gt;0),$BG$76*10,HLOOKUP(INDIRECT(ADDRESS(2,COLUMN())),OFFSET($CL$2,0,0,ROW()-1,84),ROW()-1,FALSE))</f>
        <v>2550</v>
      </c>
      <c r="BH20">
        <f ca="1">IF(AND($B$69=1,LEN($BH$76)&gt;0),$BH$76*10,HLOOKUP(INDIRECT(ADDRESS(2,COLUMN())),OFFSET($CL$2,0,0,ROW()-1,84),ROW()-1,FALSE))</f>
        <v>2250</v>
      </c>
      <c r="BI20">
        <f ca="1">IF(AND($B$69=1,LEN($BI$76)&gt;0),$BI$76*10,HLOOKUP(INDIRECT(ADDRESS(2,COLUMN())),OFFSET($CL$2,0,0,ROW()-1,84),ROW()-1,FALSE))</f>
        <v>2150</v>
      </c>
      <c r="BJ20">
        <f ca="1">IF(AND($B$69=1,LEN($BJ$76)&gt;0),$BJ$76*10,HLOOKUP(INDIRECT(ADDRESS(2,COLUMN())),OFFSET($CL$2,0,0,ROW()-1,84),ROW()-1,FALSE))</f>
        <v>1950</v>
      </c>
      <c r="BK20">
        <f ca="1">IF(AND($B$69=1,LEN($BK$76)&gt;0),$BK$76*10,HLOOKUP(INDIRECT(ADDRESS(2,COLUMN())),OFFSET($CL$2,0,0,ROW()-1,84),ROW()-1,FALSE))</f>
        <v>2600</v>
      </c>
      <c r="BL20">
        <f ca="1">IF(AND($B$69=1,LEN($BL$76)&gt;0),$BL$76*10,HLOOKUP(INDIRECT(ADDRESS(2,COLUMN())),OFFSET($CL$2,0,0,ROW()-1,84),ROW()-1,FALSE))</f>
        <v>1880.1</v>
      </c>
      <c r="BM20">
        <f ca="1">IF(AND($B$69=1,LEN($BM$76)&gt;0),$BM$76*10,HLOOKUP(INDIRECT(ADDRESS(2,COLUMN())),OFFSET($CL$2,0,0,ROW()-1,84),ROW()-1,FALSE))</f>
        <v>2104</v>
      </c>
      <c r="BN20">
        <f ca="1">IF(AND($B$69=1,LEN($BN$76)&gt;0),$BN$76*10,HLOOKUP(INDIRECT(ADDRESS(2,COLUMN())),OFFSET($CL$2,0,0,ROW()-1,84),ROW()-1,FALSE))</f>
        <v>2136.3000000000002</v>
      </c>
      <c r="BO20">
        <f ca="1">IF(AND($B$69=1,LEN($BO$76)&gt;0),$BO$76*10,HLOOKUP(INDIRECT(ADDRESS(2,COLUMN())),OFFSET($CL$2,0,0,ROW()-1,84),ROW()-1,FALSE))</f>
        <v>2362</v>
      </c>
      <c r="BP20">
        <f ca="1">IF(AND($B$69=1,LEN($BP$76)&gt;0),$BP$76*10,HLOOKUP(INDIRECT(ADDRESS(2,COLUMN())),OFFSET($CL$2,0,0,ROW()-1,84),ROW()-1,FALSE))</f>
        <v>2276.9</v>
      </c>
      <c r="BQ20">
        <f ca="1">IF(AND($B$69=1,LEN($BQ$76)&gt;0),$BQ$76*10,HLOOKUP(INDIRECT(ADDRESS(2,COLUMN())),OFFSET($CL$2,0,0,ROW()-1,84),ROW()-1,FALSE))</f>
        <v>2151.9</v>
      </c>
      <c r="BR20">
        <f ca="1">IF(AND($B$69=1,LEN($BR$76)&gt;0),$BR$76*10,HLOOKUP(INDIRECT(ADDRESS(2,COLUMN())),OFFSET($CL$2,0,0,ROW()-1,84),ROW()-1,FALSE))</f>
        <v>2271.8000000000002</v>
      </c>
      <c r="BS20">
        <f ca="1">IF(AND($B$69=1,LEN($BS$76)&gt;0),$BS$76*10,HLOOKUP(INDIRECT(ADDRESS(2,COLUMN())),OFFSET($CL$2,0,0,ROW()-1,84),ROW()-1,FALSE))</f>
        <v>2391.8000000000002</v>
      </c>
      <c r="BT20">
        <f ca="1">IF(AND($B$69=1,LEN($BT$76)&gt;0),$BT$76*10,HLOOKUP(INDIRECT(ADDRESS(2,COLUMN())),OFFSET($CL$2,0,0,ROW()-1,84),ROW()-1,FALSE))</f>
        <v>2217.8000000000002</v>
      </c>
      <c r="BU20">
        <f ca="1">IF(AND($B$69=1,LEN($BU$76)&gt;0),$BU$76*10,HLOOKUP(INDIRECT(ADDRESS(2,COLUMN())),OFFSET($CL$2,0,0,ROW()-1,84),ROW()-1,FALSE))</f>
        <v>2091.4</v>
      </c>
      <c r="BV20">
        <f ca="1">IF(AND($B$69=1,LEN($BV$76)&gt;0),$BV$76*10,HLOOKUP(INDIRECT(ADDRESS(2,COLUMN())),OFFSET($CL$2,0,0,ROW()-1,84),ROW()-1,FALSE))</f>
        <v>2041.5</v>
      </c>
      <c r="BW20">
        <f ca="1">IF(AND($B$69=1,LEN($BW$76)&gt;0),$BW$76*10,HLOOKUP(INDIRECT(ADDRESS(2,COLUMN())),OFFSET($CL$2,0,0,ROW()-1,84),ROW()-1,FALSE))</f>
        <v>2361.9</v>
      </c>
      <c r="BX20">
        <f ca="1">IF(AND($B$69=1,LEN($BX$76)&gt;0),$BX$76*10,HLOOKUP(INDIRECT(ADDRESS(2,COLUMN())),OFFSET($CL$2,0,0,ROW()-1,84),ROW()-1,FALSE))</f>
        <v>1833.1</v>
      </c>
      <c r="BY20">
        <f ca="1">IF(AND($B$69=1,LEN($BY$76)&gt;0),$BY$76*10,HLOOKUP(INDIRECT(ADDRESS(2,COLUMN())),OFFSET($CL$2,0,0,ROW()-1,84),ROW()-1,FALSE))</f>
        <v>2027</v>
      </c>
      <c r="BZ20">
        <f ca="1">IF(AND($B$69=1,LEN($BZ$76)&gt;0),$BZ$76*10,HLOOKUP(INDIRECT(ADDRESS(2,COLUMN())),OFFSET($CL$2,0,0,ROW()-1,84),ROW()-1,FALSE))</f>
        <v>1996.9</v>
      </c>
      <c r="CA20">
        <f ca="1">IF(AND($B$69=1,LEN($CA$76)&gt;0),$CA$76*10,HLOOKUP(INDIRECT(ADDRESS(2,COLUMN())),OFFSET($CL$2,0,0,ROW()-1,84),ROW()-1,FALSE))</f>
        <v>1996.4</v>
      </c>
      <c r="CB20">
        <f ca="1">IF(AND($B$69=1,LEN($CB$76)&gt;0),$CB$76*10,HLOOKUP(INDIRECT(ADDRESS(2,COLUMN())),OFFSET($CL$2,0,0,ROW()-1,84),ROW()-1,FALSE))</f>
        <v>2161.4</v>
      </c>
      <c r="CC20">
        <f ca="1">IF(AND($B$69=1,LEN($CC$76)&gt;0),$CC$76*10,HLOOKUP(INDIRECT(ADDRESS(2,COLUMN())),OFFSET($CL$2,0,0,ROW()-1,84),ROW()-1,FALSE))</f>
        <v>2184.6</v>
      </c>
      <c r="CD20">
        <f ca="1">IF(AND($B$69=1,LEN($CD$76)&gt;0),$CD$76*10,HLOOKUP(INDIRECT(ADDRESS(2,COLUMN())),OFFSET($CL$2,0,0,ROW()-1,84),ROW()-1,FALSE))</f>
        <v>2135.6999999999998</v>
      </c>
      <c r="CE20">
        <f ca="1">IF(AND($B$69=1,LEN($CE$76)&gt;0),$CE$76*10,HLOOKUP(INDIRECT(ADDRESS(2,COLUMN())),OFFSET($CL$2,0,0,ROW()-1,84),ROW()-1,FALSE))</f>
        <v>2272.5</v>
      </c>
      <c r="CF20">
        <f ca="1">IF(AND($B$69=1,LEN($CF$76)&gt;0),$CF$76*10,HLOOKUP(INDIRECT(ADDRESS(2,COLUMN())),OFFSET($CL$2,0,0,ROW()-1,84),ROW()-1,FALSE))</f>
        <v>2018.7</v>
      </c>
      <c r="CG20">
        <f ca="1">IF(AND($B$69=1,LEN($CG$76)&gt;0),$CG$76*10,HLOOKUP(INDIRECT(ADDRESS(2,COLUMN())),OFFSET($CL$2,0,0,ROW()-1,84),ROW()-1,FALSE))</f>
        <v>2002.4</v>
      </c>
      <c r="CH20">
        <f ca="1">IF(AND($B$69=1,LEN($CH$76)&gt;0),$CH$76*10,HLOOKUP(INDIRECT(ADDRESS(2,COLUMN())),OFFSET($CL$2,0,0,ROW()-1,84),ROW()-1,FALSE))</f>
        <v>1756</v>
      </c>
      <c r="CI20">
        <f ca="1">IF(AND($B$69=1,LEN($CI$76)&gt;0),$CI$76*10,HLOOKUP(INDIRECT(ADDRESS(2,COLUMN())),OFFSET($CL$2,0,0,ROW()-1,84),ROW()-1,FALSE))</f>
        <v>2139.8000000000002</v>
      </c>
      <c r="CJ20">
        <f ca="1">IF(AND($B$69=1,LEN($CJ$76)&gt;0),$CJ$76*10,HLOOKUP(INDIRECT(ADDRESS(2,COLUMN())),OFFSET($CL$2,0,0,ROW()-1,84),ROW()-1,FALSE))</f>
        <v>1680</v>
      </c>
      <c r="CK20">
        <f ca="1">IF(AND($B$69=1,LEN($CK$76)&gt;0),$CK$76*10,HLOOKUP(INDIRECT(ADDRESS(2,COLUMN())),OFFSET($CL$2,0,0,ROW()-1,84),ROW()-1,FALSE))</f>
        <v>1711.7</v>
      </c>
      <c r="CL20" t="str">
        <f>""</f>
        <v/>
      </c>
      <c r="CM20" t="str">
        <f>""</f>
        <v/>
      </c>
      <c r="CN20">
        <f>3190</f>
        <v>3190</v>
      </c>
      <c r="CO20">
        <f>3180</f>
        <v>3180</v>
      </c>
      <c r="CP20">
        <f>3220</f>
        <v>3220</v>
      </c>
      <c r="CQ20">
        <f>3150</f>
        <v>3150</v>
      </c>
      <c r="CR20">
        <f>3130</f>
        <v>3130</v>
      </c>
      <c r="CS20">
        <f>2880</f>
        <v>2880</v>
      </c>
      <c r="CT20" t="str">
        <f>""</f>
        <v/>
      </c>
      <c r="CU20" t="str">
        <f>""</f>
        <v/>
      </c>
      <c r="CV20">
        <f>2090</f>
        <v>2090</v>
      </c>
      <c r="CW20">
        <f>2370</f>
        <v>2370</v>
      </c>
      <c r="CX20">
        <f>2570</f>
        <v>2570</v>
      </c>
      <c r="CY20">
        <f>2630</f>
        <v>2630</v>
      </c>
      <c r="CZ20">
        <f>2940</f>
        <v>2940</v>
      </c>
      <c r="DA20">
        <f>3280</f>
        <v>3280</v>
      </c>
      <c r="DB20">
        <f>3160</f>
        <v>3160</v>
      </c>
      <c r="DC20">
        <f>3370</f>
        <v>3370</v>
      </c>
      <c r="DD20">
        <f>3030</f>
        <v>3030</v>
      </c>
      <c r="DE20">
        <f>2660</f>
        <v>2660</v>
      </c>
      <c r="DF20">
        <f>2290</f>
        <v>2290</v>
      </c>
      <c r="DG20">
        <f>2970</f>
        <v>2970</v>
      </c>
      <c r="DH20">
        <f>2090</f>
        <v>2090</v>
      </c>
      <c r="DI20">
        <f>2270</f>
        <v>2270</v>
      </c>
      <c r="DJ20">
        <f>2750</f>
        <v>2750</v>
      </c>
      <c r="DK20">
        <f>2610</f>
        <v>2610</v>
      </c>
      <c r="DL20">
        <f>2680</f>
        <v>2680</v>
      </c>
      <c r="DM20">
        <f>2610</f>
        <v>2610</v>
      </c>
      <c r="DN20">
        <f>2830</f>
        <v>2830</v>
      </c>
      <c r="DO20">
        <f>2840</f>
        <v>2840</v>
      </c>
      <c r="DP20">
        <f>2710</f>
        <v>2710</v>
      </c>
      <c r="DQ20">
        <f>2490</f>
        <v>2490</v>
      </c>
      <c r="DR20">
        <f>2310</f>
        <v>2310</v>
      </c>
      <c r="DS20">
        <f>2890</f>
        <v>2890</v>
      </c>
      <c r="DT20">
        <f>2240</f>
        <v>2240</v>
      </c>
      <c r="DU20">
        <f>2420</f>
        <v>2420</v>
      </c>
      <c r="DV20">
        <f>2710</f>
        <v>2710</v>
      </c>
      <c r="DW20">
        <f>2730</f>
        <v>2730</v>
      </c>
      <c r="DX20">
        <f>2670</f>
        <v>2670</v>
      </c>
      <c r="DY20">
        <f>2710</f>
        <v>2710</v>
      </c>
      <c r="DZ20">
        <f>2530</f>
        <v>2530</v>
      </c>
      <c r="EA20">
        <f>2430</f>
        <v>2430</v>
      </c>
      <c r="EB20">
        <f>2140</f>
        <v>2140</v>
      </c>
      <c r="EC20">
        <f>2090</f>
        <v>2090</v>
      </c>
      <c r="ED20">
        <f>1540</f>
        <v>1540</v>
      </c>
      <c r="EE20">
        <f>2520</f>
        <v>2520</v>
      </c>
      <c r="EF20">
        <f>1940</f>
        <v>1940</v>
      </c>
      <c r="EG20">
        <f>2100</f>
        <v>2100</v>
      </c>
      <c r="EH20">
        <f>2230</f>
        <v>2230</v>
      </c>
      <c r="EI20">
        <f>2400</f>
        <v>2400</v>
      </c>
      <c r="EJ20">
        <f>2440</f>
        <v>2440</v>
      </c>
      <c r="EK20">
        <f>2510</f>
        <v>2510</v>
      </c>
      <c r="EL20">
        <f>2420</f>
        <v>2420</v>
      </c>
      <c r="EM20">
        <f>2550</f>
        <v>2550</v>
      </c>
      <c r="EN20">
        <f>2250</f>
        <v>2250</v>
      </c>
      <c r="EO20">
        <f>2150</f>
        <v>2150</v>
      </c>
      <c r="EP20">
        <f>1950</f>
        <v>1950</v>
      </c>
      <c r="EQ20">
        <f>2600</f>
        <v>2600</v>
      </c>
      <c r="ER20">
        <f>1880.1</f>
        <v>1880.1</v>
      </c>
      <c r="ES20">
        <f>2104</f>
        <v>2104</v>
      </c>
      <c r="ET20">
        <f>2136.3</f>
        <v>2136.3000000000002</v>
      </c>
      <c r="EU20">
        <f>2362</f>
        <v>2362</v>
      </c>
      <c r="EV20">
        <f>2276.9</f>
        <v>2276.9</v>
      </c>
      <c r="EW20">
        <f>2151.9</f>
        <v>2151.9</v>
      </c>
      <c r="EX20">
        <f>2271.8</f>
        <v>2271.8000000000002</v>
      </c>
      <c r="EY20">
        <f>2391.8</f>
        <v>2391.8000000000002</v>
      </c>
      <c r="EZ20">
        <f>2217.8</f>
        <v>2217.8000000000002</v>
      </c>
      <c r="FA20">
        <f>2091.4</f>
        <v>2091.4</v>
      </c>
      <c r="FB20">
        <f>2041.5</f>
        <v>2041.5</v>
      </c>
      <c r="FC20">
        <f>2361.9</f>
        <v>2361.9</v>
      </c>
      <c r="FD20">
        <f>1833.1</f>
        <v>1833.1</v>
      </c>
      <c r="FE20">
        <f>2027</f>
        <v>2027</v>
      </c>
      <c r="FF20">
        <f>1996.9</f>
        <v>1996.9</v>
      </c>
      <c r="FG20">
        <f>1996.4</f>
        <v>1996.4</v>
      </c>
      <c r="FH20">
        <f>2161.4</f>
        <v>2161.4</v>
      </c>
      <c r="FI20">
        <f>2184.6</f>
        <v>2184.6</v>
      </c>
      <c r="FJ20">
        <f>2135.7</f>
        <v>2135.6999999999998</v>
      </c>
      <c r="FK20">
        <f>2272.5</f>
        <v>2272.5</v>
      </c>
      <c r="FL20">
        <f>2018.7</f>
        <v>2018.7</v>
      </c>
      <c r="FM20">
        <f>2002.4</f>
        <v>2002.4</v>
      </c>
      <c r="FN20">
        <f>1756</f>
        <v>1756</v>
      </c>
      <c r="FO20">
        <f>2139.8</f>
        <v>2139.8000000000002</v>
      </c>
      <c r="FP20">
        <f>1680</f>
        <v>1680</v>
      </c>
      <c r="FQ20">
        <f>1711.7</f>
        <v>1711.7</v>
      </c>
    </row>
    <row r="21" spans="1:173" x14ac:dyDescent="0.25">
      <c r="A21" t="str">
        <f>"South Korea Port Container Throughput (000 TEU)"</f>
        <v>South Korea Port Container Throughput (000 TEU)</v>
      </c>
      <c r="B21" t="str">
        <f>"SKTSTOTL Index"</f>
        <v>SKTSTOTL Index</v>
      </c>
      <c r="C21" t="str">
        <f>"PR005"</f>
        <v>PR005</v>
      </c>
      <c r="D21" t="str">
        <f>"PX_LAST"</f>
        <v>PX_LAST</v>
      </c>
      <c r="E21" t="str">
        <f>"Dynamic"</f>
        <v>Dynamic</v>
      </c>
      <c r="F21" t="str">
        <f ca="1">IF(AND(ISNUMBER($F$86),$B$69=1),$F$86,HLOOKUP(INDIRECT(ADDRESS(2,COLUMN())),OFFSET($CL$2,0,0,ROW()-1,84),ROW()-1,FALSE))</f>
        <v/>
      </c>
      <c r="G21" t="str">
        <f ca="1">IF(AND(ISNUMBER($G$86),$B$69=1),$G$86,HLOOKUP(INDIRECT(ADDRESS(2,COLUMN())),OFFSET($CL$2,0,0,ROW()-1,84),ROW()-1,FALSE))</f>
        <v/>
      </c>
      <c r="H21" t="str">
        <f ca="1">IF(AND(ISNUMBER($H$86),$B$69=1),$H$86,HLOOKUP(INDIRECT(ADDRESS(2,COLUMN())),OFFSET($CL$2,0,0,ROW()-1,84),ROW()-1,FALSE))</f>
        <v/>
      </c>
      <c r="I21" t="str">
        <f ca="1">IF(AND(ISNUMBER($I$86),$B$69=1),$I$86,HLOOKUP(INDIRECT(ADDRESS(2,COLUMN())),OFFSET($CL$2,0,0,ROW()-1,84),ROW()-1,FALSE))</f>
        <v/>
      </c>
      <c r="J21" t="str">
        <f ca="1">IF(AND(ISNUMBER($J$86),$B$69=1),$J$86,HLOOKUP(INDIRECT(ADDRESS(2,COLUMN())),OFFSET($CL$2,0,0,ROW()-1,84),ROW()-1,FALSE))</f>
        <v/>
      </c>
      <c r="K21" t="str">
        <f ca="1">IF(AND(ISNUMBER($K$86),$B$69=1),$K$86,HLOOKUP(INDIRECT(ADDRESS(2,COLUMN())),OFFSET($CL$2,0,0,ROW()-1,84),ROW()-1,FALSE))</f>
        <v/>
      </c>
      <c r="L21" t="str">
        <f ca="1">IF(AND(ISNUMBER($L$86),$B$69=1),$L$86,HLOOKUP(INDIRECT(ADDRESS(2,COLUMN())),OFFSET($CL$2,0,0,ROW()-1,84),ROW()-1,FALSE))</f>
        <v/>
      </c>
      <c r="M21" t="str">
        <f ca="1">IF(AND(ISNUMBER($M$86),$B$69=1),$M$86,HLOOKUP(INDIRECT(ADDRESS(2,COLUMN())),OFFSET($CL$2,0,0,ROW()-1,84),ROW()-1,FALSE))</f>
        <v/>
      </c>
      <c r="N21" t="str">
        <f ca="1">IF(AND(ISNUMBER($N$86),$B$69=1),$N$86,HLOOKUP(INDIRECT(ADDRESS(2,COLUMN())),OFFSET($CL$2,0,0,ROW()-1,84),ROW()-1,FALSE))</f>
        <v/>
      </c>
      <c r="O21" t="str">
        <f ca="1">IF(AND(ISNUMBER($O$86),$B$69=1),$O$86,HLOOKUP(INDIRECT(ADDRESS(2,COLUMN())),OFFSET($CL$2,0,0,ROW()-1,84),ROW()-1,FALSE))</f>
        <v/>
      </c>
      <c r="P21" t="str">
        <f ca="1">IF(AND(ISNUMBER($P$86),$B$69=1),$P$86,HLOOKUP(INDIRECT(ADDRESS(2,COLUMN())),OFFSET($CL$2,0,0,ROW()-1,84),ROW()-1,FALSE))</f>
        <v/>
      </c>
      <c r="Q21" t="str">
        <f ca="1">IF(AND(ISNUMBER($Q$86),$B$69=1),$Q$86,HLOOKUP(INDIRECT(ADDRESS(2,COLUMN())),OFFSET($CL$2,0,0,ROW()-1,84),ROW()-1,FALSE))</f>
        <v/>
      </c>
      <c r="R21" t="str">
        <f ca="1">IF(AND(ISNUMBER($R$86),$B$69=1),$R$86,HLOOKUP(INDIRECT(ADDRESS(2,COLUMN())),OFFSET($CL$2,0,0,ROW()-1,84),ROW()-1,FALSE))</f>
        <v/>
      </c>
      <c r="S21" t="str">
        <f ca="1">IF(AND(ISNUMBER($S$86),$B$69=1),$S$86,HLOOKUP(INDIRECT(ADDRESS(2,COLUMN())),OFFSET($CL$2,0,0,ROW()-1,84),ROW()-1,FALSE))</f>
        <v/>
      </c>
      <c r="T21" t="str">
        <f ca="1">IF(AND(ISNUMBER($T$86),$B$69=1),$T$86,HLOOKUP(INDIRECT(ADDRESS(2,COLUMN())),OFFSET($CL$2,0,0,ROW()-1,84),ROW()-1,FALSE))</f>
        <v/>
      </c>
      <c r="U21" t="str">
        <f ca="1">IF(AND(ISNUMBER($U$86),$B$69=1),$U$86,HLOOKUP(INDIRECT(ADDRESS(2,COLUMN())),OFFSET($CL$2,0,0,ROW()-1,84),ROW()-1,FALSE))</f>
        <v/>
      </c>
      <c r="V21" t="str">
        <f ca="1">IF(AND(ISNUMBER($V$86),$B$69=1),$V$86,HLOOKUP(INDIRECT(ADDRESS(2,COLUMN())),OFFSET($CL$2,0,0,ROW()-1,84),ROW()-1,FALSE))</f>
        <v/>
      </c>
      <c r="W21" t="str">
        <f ca="1">IF(AND(ISNUMBER($W$86),$B$69=1),$W$86,HLOOKUP(INDIRECT(ADDRESS(2,COLUMN())),OFFSET($CL$2,0,0,ROW()-1,84),ROW()-1,FALSE))</f>
        <v/>
      </c>
      <c r="X21" t="str">
        <f ca="1">IF(AND(ISNUMBER($X$86),$B$69=1),$X$86,HLOOKUP(INDIRECT(ADDRESS(2,COLUMN())),OFFSET($CL$2,0,0,ROW()-1,84),ROW()-1,FALSE))</f>
        <v/>
      </c>
      <c r="Y21" t="str">
        <f ca="1">IF(AND(ISNUMBER($Y$86),$B$69=1),$Y$86,HLOOKUP(INDIRECT(ADDRESS(2,COLUMN())),OFFSET($CL$2,0,0,ROW()-1,84),ROW()-1,FALSE))</f>
        <v/>
      </c>
      <c r="Z21" t="str">
        <f ca="1">IF(AND(ISNUMBER($Z$86),$B$69=1),$Z$86,HLOOKUP(INDIRECT(ADDRESS(2,COLUMN())),OFFSET($CL$2,0,0,ROW()-1,84),ROW()-1,FALSE))</f>
        <v/>
      </c>
      <c r="AA21" t="str">
        <f ca="1">IF(AND(ISNUMBER($AA$86),$B$69=1),$AA$86,HLOOKUP(INDIRECT(ADDRESS(2,COLUMN())),OFFSET($CL$2,0,0,ROW()-1,84),ROW()-1,FALSE))</f>
        <v/>
      </c>
      <c r="AB21" t="str">
        <f ca="1">IF(AND(ISNUMBER($AB$86),$B$69=1),$AB$86,HLOOKUP(INDIRECT(ADDRESS(2,COLUMN())),OFFSET($CL$2,0,0,ROW()-1,84),ROW()-1,FALSE))</f>
        <v/>
      </c>
      <c r="AC21" t="str">
        <f ca="1">IF(AND(ISNUMBER($AC$86),$B$69=1),$AC$86,HLOOKUP(INDIRECT(ADDRESS(2,COLUMN())),OFFSET($CL$2,0,0,ROW()-1,84),ROW()-1,FALSE))</f>
        <v/>
      </c>
      <c r="AD21" t="str">
        <f ca="1">IF(AND(ISNUMBER($AD$86),$B$69=1),$AD$86,HLOOKUP(INDIRECT(ADDRESS(2,COLUMN())),OFFSET($CL$2,0,0,ROW()-1,84),ROW()-1,FALSE))</f>
        <v/>
      </c>
      <c r="AE21" t="str">
        <f ca="1">IF(AND(ISNUMBER($AE$86),$B$69=1),$AE$86,HLOOKUP(INDIRECT(ADDRESS(2,COLUMN())),OFFSET($CL$2,0,0,ROW()-1,84),ROW()-1,FALSE))</f>
        <v/>
      </c>
      <c r="AF21" t="str">
        <f ca="1">IF(AND(ISNUMBER($AF$86),$B$69=1),$AF$86,HLOOKUP(INDIRECT(ADDRESS(2,COLUMN())),OFFSET($CL$2,0,0,ROW()-1,84),ROW()-1,FALSE))</f>
        <v/>
      </c>
      <c r="AG21" t="str">
        <f ca="1">IF(AND(ISNUMBER($AG$86),$B$69=1),$AG$86,HLOOKUP(INDIRECT(ADDRESS(2,COLUMN())),OFFSET($CL$2,0,0,ROW()-1,84),ROW()-1,FALSE))</f>
        <v/>
      </c>
      <c r="AH21" t="str">
        <f ca="1">IF(AND(ISNUMBER($AH$86),$B$69=1),$AH$86,HLOOKUP(INDIRECT(ADDRESS(2,COLUMN())),OFFSET($CL$2,0,0,ROW()-1,84),ROW()-1,FALSE))</f>
        <v/>
      </c>
      <c r="AI21" t="str">
        <f ca="1">IF(AND(ISNUMBER($AI$86),$B$69=1),$AI$86,HLOOKUP(INDIRECT(ADDRESS(2,COLUMN())),OFFSET($CL$2,0,0,ROW()-1,84),ROW()-1,FALSE))</f>
        <v/>
      </c>
      <c r="AJ21" t="str">
        <f ca="1">IF(AND(ISNUMBER($AJ$86),$B$69=1),$AJ$86,HLOOKUP(INDIRECT(ADDRESS(2,COLUMN())),OFFSET($CL$2,0,0,ROW()-1,84),ROW()-1,FALSE))</f>
        <v/>
      </c>
      <c r="AK21" t="str">
        <f ca="1">IF(AND(ISNUMBER($AK$86),$B$69=1),$AK$86,HLOOKUP(INDIRECT(ADDRESS(2,COLUMN())),OFFSET($CL$2,0,0,ROW()-1,84),ROW()-1,FALSE))</f>
        <v/>
      </c>
      <c r="AL21" t="str">
        <f ca="1">IF(AND(ISNUMBER($AL$86),$B$69=1),$AL$86,HLOOKUP(INDIRECT(ADDRESS(2,COLUMN())),OFFSET($CL$2,0,0,ROW()-1,84),ROW()-1,FALSE))</f>
        <v/>
      </c>
      <c r="AM21" t="str">
        <f ca="1">IF(AND(ISNUMBER($AM$86),$B$69=1),$AM$86,HLOOKUP(INDIRECT(ADDRESS(2,COLUMN())),OFFSET($CL$2,0,0,ROW()-1,84),ROW()-1,FALSE))</f>
        <v/>
      </c>
      <c r="AN21" t="str">
        <f ca="1">IF(AND(ISNUMBER($AN$86),$B$69=1),$AN$86,HLOOKUP(INDIRECT(ADDRESS(2,COLUMN())),OFFSET($CL$2,0,0,ROW()-1,84),ROW()-1,FALSE))</f>
        <v/>
      </c>
      <c r="AO21">
        <f ca="1">IF(AND(ISNUMBER($AO$86),$B$69=1),$AO$86,HLOOKUP(INDIRECT(ADDRESS(2,COLUMN())),OFFSET($CL$2,0,0,ROW()-1,84),ROW()-1,FALSE))</f>
        <v>1923.9984999999999</v>
      </c>
      <c r="AP21">
        <f ca="1">IF(AND(ISNUMBER($AP$86),$B$69=1),$AP$86,HLOOKUP(INDIRECT(ADDRESS(2,COLUMN())),OFFSET($CL$2,0,0,ROW()-1,84),ROW()-1,FALSE))</f>
        <v>1876.3969999999999</v>
      </c>
      <c r="AQ21">
        <f ca="1">IF(AND(ISNUMBER($AQ$86),$B$69=1),$AQ$86,HLOOKUP(INDIRECT(ADDRESS(2,COLUMN())),OFFSET($CL$2,0,0,ROW()-1,84),ROW()-1,FALSE))</f>
        <v>1699.9235000000001</v>
      </c>
      <c r="AR21">
        <f ca="1">IF(AND(ISNUMBER($AR$86),$B$69=1),$AR$86,HLOOKUP(INDIRECT(ADDRESS(2,COLUMN())),OFFSET($CL$2,0,0,ROW()-1,84),ROW()-1,FALSE))</f>
        <v>1728.78925</v>
      </c>
      <c r="AS21">
        <f ca="1">IF(AND(ISNUMBER($AS$86),$B$69=1),$AS$86,HLOOKUP(INDIRECT(ADDRESS(2,COLUMN())),OFFSET($CL$2,0,0,ROW()-1,84),ROW()-1,FALSE))</f>
        <v>1751.31</v>
      </c>
      <c r="AT21">
        <f ca="1">IF(AND(ISNUMBER($AT$86),$B$69=1),$AT$86,HLOOKUP(INDIRECT(ADDRESS(2,COLUMN())),OFFSET($CL$2,0,0,ROW()-1,84),ROW()-1,FALSE))</f>
        <v>1746.5137500000001</v>
      </c>
      <c r="AU21">
        <f ca="1">IF(AND(ISNUMBER($AU$86),$B$69=1),$AU$86,HLOOKUP(INDIRECT(ADDRESS(2,COLUMN())),OFFSET($CL$2,0,0,ROW()-1,84),ROW()-1,FALSE))</f>
        <v>1697.2547500000001</v>
      </c>
      <c r="AV21">
        <f ca="1">IF(AND(ISNUMBER($AV$86),$B$69=1),$AV$86,HLOOKUP(INDIRECT(ADDRESS(2,COLUMN())),OFFSET($CL$2,0,0,ROW()-1,84),ROW()-1,FALSE))</f>
        <v>1817.8072500000001</v>
      </c>
      <c r="AW21">
        <f ca="1">IF(AND(ISNUMBER($AW$86),$B$69=1),$AW$86,HLOOKUP(INDIRECT(ADDRESS(2,COLUMN())),OFFSET($CL$2,0,0,ROW()-1,84),ROW()-1,FALSE))</f>
        <v>1886.8412499999999</v>
      </c>
      <c r="AX21">
        <f ca="1">IF(AND(ISNUMBER($AX$86),$B$69=1),$AX$86,HLOOKUP(INDIRECT(ADDRESS(2,COLUMN())),OFFSET($CL$2,0,0,ROW()-1,84),ROW()-1,FALSE))</f>
        <v>1726.7272499999999</v>
      </c>
      <c r="AY21">
        <f ca="1">IF(AND(ISNUMBER($AY$86),$B$69=1),$AY$86,HLOOKUP(INDIRECT(ADDRESS(2,COLUMN())),OFFSET($CL$2,0,0,ROW()-1,84),ROW()-1,FALSE))</f>
        <v>1791.039</v>
      </c>
      <c r="AZ21">
        <f ca="1">IF(AND(ISNUMBER($AZ$86),$B$69=1),$AZ$86,HLOOKUP(INDIRECT(ADDRESS(2,COLUMN())),OFFSET($CL$2,0,0,ROW()-1,84),ROW()-1,FALSE))</f>
        <v>1853.5767499999999</v>
      </c>
      <c r="BA21">
        <f ca="1">IF(AND(ISNUMBER($BA$86),$B$69=1),$BA$86,HLOOKUP(INDIRECT(ADDRESS(2,COLUMN())),OFFSET($CL$2,0,0,ROW()-1,84),ROW()-1,FALSE))</f>
        <v>1814.23325</v>
      </c>
      <c r="BB21">
        <f ca="1">IF(AND(ISNUMBER($BB$86),$B$69=1),$BB$86,HLOOKUP(INDIRECT(ADDRESS(2,COLUMN())),OFFSET($CL$2,0,0,ROW()-1,84),ROW()-1,FALSE))</f>
        <v>1865.0535</v>
      </c>
      <c r="BC21">
        <f ca="1">IF(AND(ISNUMBER($BC$86),$B$69=1),$BC$86,HLOOKUP(INDIRECT(ADDRESS(2,COLUMN())),OFFSET($CL$2,0,0,ROW()-1,84),ROW()-1,FALSE))</f>
        <v>1678.1695</v>
      </c>
      <c r="BD21">
        <f ca="1">IF(AND(ISNUMBER($BD$86),$B$69=1),$BD$86,HLOOKUP(INDIRECT(ADDRESS(2,COLUMN())),OFFSET($CL$2,0,0,ROW()-1,84),ROW()-1,FALSE))</f>
        <v>1809.78475</v>
      </c>
      <c r="BE21">
        <f ca="1">IF(AND(ISNUMBER($BE$86),$B$69=1),$BE$86,HLOOKUP(INDIRECT(ADDRESS(2,COLUMN())),OFFSET($CL$2,0,0,ROW()-1,84),ROW()-1,FALSE))</f>
        <v>1881.8632500000001</v>
      </c>
      <c r="BF21">
        <f ca="1">IF(AND(ISNUMBER($BF$86),$B$69=1),$BF$86,HLOOKUP(INDIRECT(ADDRESS(2,COLUMN())),OFFSET($CL$2,0,0,ROW()-1,84),ROW()-1,FALSE))</f>
        <v>1812.2045000000001</v>
      </c>
      <c r="BG21">
        <f ca="1">IF(AND(ISNUMBER($BG$86),$B$69=1),$BG$86,HLOOKUP(INDIRECT(ADDRESS(2,COLUMN())),OFFSET($CL$2,0,0,ROW()-1,84),ROW()-1,FALSE))</f>
        <v>1869.49325</v>
      </c>
      <c r="BH21">
        <f ca="1">IF(AND(ISNUMBER($BH$86),$B$69=1),$BH$86,HLOOKUP(INDIRECT(ADDRESS(2,COLUMN())),OFFSET($CL$2,0,0,ROW()-1,84),ROW()-1,FALSE))</f>
        <v>1836.44625</v>
      </c>
      <c r="BI21">
        <f ca="1">IF(AND(ISNUMBER($BI$86),$B$69=1),$BI$86,HLOOKUP(INDIRECT(ADDRESS(2,COLUMN())),OFFSET($CL$2,0,0,ROW()-1,84),ROW()-1,FALSE))</f>
        <v>1869.1547499999999</v>
      </c>
      <c r="BJ21">
        <f ca="1">IF(AND(ISNUMBER($BJ$86),$B$69=1),$BJ$86,HLOOKUP(INDIRECT(ADDRESS(2,COLUMN())),OFFSET($CL$2,0,0,ROW()-1,84),ROW()-1,FALSE))</f>
        <v>1656.82925</v>
      </c>
      <c r="BK21">
        <f ca="1">IF(AND(ISNUMBER($BK$86),$B$69=1),$BK$86,HLOOKUP(INDIRECT(ADDRESS(2,COLUMN())),OFFSET($CL$2,0,0,ROW()-1,84),ROW()-1,FALSE))</f>
        <v>1793.0775000000001</v>
      </c>
      <c r="BL21">
        <f ca="1">IF(AND(ISNUMBER($BL$86),$B$69=1),$BL$86,HLOOKUP(INDIRECT(ADDRESS(2,COLUMN())),OFFSET($CL$2,0,0,ROW()-1,84),ROW()-1,FALSE))</f>
        <v>1814.44175</v>
      </c>
      <c r="BM21">
        <f ca="1">IF(AND(ISNUMBER($BM$86),$B$69=1),$BM$86,HLOOKUP(INDIRECT(ADDRESS(2,COLUMN())),OFFSET($CL$2,0,0,ROW()-1,84),ROW()-1,FALSE))</f>
        <v>1901.0039999999999</v>
      </c>
      <c r="BN21">
        <f ca="1">IF(AND(ISNUMBER($BN$86),$B$69=1),$BN$86,HLOOKUP(INDIRECT(ADDRESS(2,COLUMN())),OFFSET($CL$2,0,0,ROW()-1,84),ROW()-1,FALSE))</f>
        <v>1796.02575</v>
      </c>
      <c r="BO21">
        <f ca="1">IF(AND(ISNUMBER($BO$86),$B$69=1),$BO$86,HLOOKUP(INDIRECT(ADDRESS(2,COLUMN())),OFFSET($CL$2,0,0,ROW()-1,84),ROW()-1,FALSE))</f>
        <v>1827.6087500000001</v>
      </c>
      <c r="BP21">
        <f ca="1">IF(AND(ISNUMBER($BP$86),$B$69=1),$BP$86,HLOOKUP(INDIRECT(ADDRESS(2,COLUMN())),OFFSET($CL$2,0,0,ROW()-1,84),ROW()-1,FALSE))</f>
        <v>1756.9955</v>
      </c>
      <c r="BQ21">
        <f ca="1">IF(AND(ISNUMBER($BQ$86),$B$69=1),$BQ$86,HLOOKUP(INDIRECT(ADDRESS(2,COLUMN())),OFFSET($CL$2,0,0,ROW()-1,84),ROW()-1,FALSE))</f>
        <v>1833.47</v>
      </c>
      <c r="BR21">
        <f ca="1">IF(AND(ISNUMBER($BR$86),$B$69=1),$BR$86,HLOOKUP(INDIRECT(ADDRESS(2,COLUMN())),OFFSET($CL$2,0,0,ROW()-1,84),ROW()-1,FALSE))</f>
        <v>1822.1457499999999</v>
      </c>
      <c r="BS21">
        <f ca="1">IF(AND(ISNUMBER($BS$86),$B$69=1),$BS$86,HLOOKUP(INDIRECT(ADDRESS(2,COLUMN())),OFFSET($CL$2,0,0,ROW()-1,84),ROW()-1,FALSE))</f>
        <v>1880.7294999999999</v>
      </c>
      <c r="BT21">
        <f ca="1">IF(AND(ISNUMBER($BT$86),$B$69=1),$BT$86,HLOOKUP(INDIRECT(ADDRESS(2,COLUMN())),OFFSET($CL$2,0,0,ROW()-1,84),ROW()-1,FALSE))</f>
        <v>1784.7697499999999</v>
      </c>
      <c r="BU21">
        <f ca="1">IF(AND(ISNUMBER($BU$86),$B$69=1),$BU$86,HLOOKUP(INDIRECT(ADDRESS(2,COLUMN())),OFFSET($CL$2,0,0,ROW()-1,84),ROW()-1,FALSE))</f>
        <v>1752.6857500000001</v>
      </c>
      <c r="BV21">
        <f ca="1">IF(AND(ISNUMBER($BV$86),$B$69=1),$BV$86,HLOOKUP(INDIRECT(ADDRESS(2,COLUMN())),OFFSET($CL$2,0,0,ROW()-1,84),ROW()-1,FALSE))</f>
        <v>1657.51775</v>
      </c>
      <c r="BW21">
        <f ca="1">IF(AND(ISNUMBER($BW$86),$B$69=1),$BW$86,HLOOKUP(INDIRECT(ADDRESS(2,COLUMN())),OFFSET($CL$2,0,0,ROW()-1,84),ROW()-1,FALSE))</f>
        <v>1686.6947500000001</v>
      </c>
      <c r="BX21">
        <f ca="1">IF(AND(ISNUMBER($BX$86),$B$69=1),$BX$86,HLOOKUP(INDIRECT(ADDRESS(2,COLUMN())),OFFSET($CL$2,0,0,ROW()-1,84),ROW()-1,FALSE))</f>
        <v>1743.8834999999999</v>
      </c>
      <c r="BY21">
        <f ca="1">IF(AND(ISNUMBER($BY$86),$B$69=1),$BY$86,HLOOKUP(INDIRECT(ADDRESS(2,COLUMN())),OFFSET($CL$2,0,0,ROW()-1,84),ROW()-1,FALSE))</f>
        <v>1714.9092499999999</v>
      </c>
      <c r="BZ21">
        <f ca="1">IF(AND(ISNUMBER($BZ$86),$B$69=1),$BZ$86,HLOOKUP(INDIRECT(ADDRESS(2,COLUMN())),OFFSET($CL$2,0,0,ROW()-1,84),ROW()-1,FALSE))</f>
        <v>1667.3530000000001</v>
      </c>
      <c r="CA21">
        <f ca="1">IF(AND(ISNUMBER($CA$86),$B$69=1),$CA$86,HLOOKUP(INDIRECT(ADDRESS(2,COLUMN())),OFFSET($CL$2,0,0,ROW()-1,84),ROW()-1,FALSE))</f>
        <v>1671.329</v>
      </c>
      <c r="CB21">
        <f ca="1">IF(AND(ISNUMBER($CB$86),$B$69=1),$CB$86,HLOOKUP(INDIRECT(ADDRESS(2,COLUMN())),OFFSET($CL$2,0,0,ROW()-1,84),ROW()-1,FALSE))</f>
        <v>1702.03775</v>
      </c>
      <c r="CC21">
        <f ca="1">IF(AND(ISNUMBER($CC$86),$B$69=1),$CC$86,HLOOKUP(INDIRECT(ADDRESS(2,COLUMN())),OFFSET($CL$2,0,0,ROW()-1,84),ROW()-1,FALSE))</f>
        <v>1752.0675000000001</v>
      </c>
      <c r="CD21">
        <f ca="1">IF(AND(ISNUMBER($CD$86),$B$69=1),$CD$86,HLOOKUP(INDIRECT(ADDRESS(2,COLUMN())),OFFSET($CL$2,0,0,ROW()-1,84),ROW()-1,FALSE))</f>
        <v>1661.7835</v>
      </c>
      <c r="CE21">
        <f ca="1">IF(AND(ISNUMBER($CE$86),$B$69=1),$CE$86,HLOOKUP(INDIRECT(ADDRESS(2,COLUMN())),OFFSET($CL$2,0,0,ROW()-1,84),ROW()-1,FALSE))</f>
        <v>1786.5754999999999</v>
      </c>
      <c r="CF21">
        <f ca="1">IF(AND(ISNUMBER($CF$86),$B$69=1),$CF$86,HLOOKUP(INDIRECT(ADDRESS(2,COLUMN())),OFFSET($CL$2,0,0,ROW()-1,84),ROW()-1,FALSE))</f>
        <v>1766.5709999999999</v>
      </c>
      <c r="CG21">
        <f ca="1">IF(AND(ISNUMBER($CG$86),$B$69=1),$CG$86,HLOOKUP(INDIRECT(ADDRESS(2,COLUMN())),OFFSET($CL$2,0,0,ROW()-1,84),ROW()-1,FALSE))</f>
        <v>1741.5335</v>
      </c>
      <c r="CH21">
        <f ca="1">IF(AND(ISNUMBER($CH$86),$B$69=1),$CH$86,HLOOKUP(INDIRECT(ADDRESS(2,COLUMN())),OFFSET($CL$2,0,0,ROW()-1,84),ROW()-1,FALSE))</f>
        <v>1503.7159999999999</v>
      </c>
      <c r="CI21">
        <f ca="1">IF(AND(ISNUMBER($CI$86),$B$69=1),$CI$86,HLOOKUP(INDIRECT(ADDRESS(2,COLUMN())),OFFSET($CL$2,0,0,ROW()-1,84),ROW()-1,FALSE))</f>
        <v>1645.8530000000001</v>
      </c>
      <c r="CJ21">
        <f ca="1">IF(AND(ISNUMBER($CJ$86),$B$69=1),$CJ$86,HLOOKUP(INDIRECT(ADDRESS(2,COLUMN())),OFFSET($CL$2,0,0,ROW()-1,84),ROW()-1,FALSE))</f>
        <v>1626.3217500000001</v>
      </c>
      <c r="CK21">
        <f ca="1">IF(AND(ISNUMBER($CK$86),$B$69=1),$CK$86,HLOOKUP(INDIRECT(ADDRESS(2,COLUMN())),OFFSET($CL$2,0,0,ROW()-1,84),ROW()-1,FALSE))</f>
        <v>1635.3732500000001</v>
      </c>
      <c r="CL21" t="str">
        <f>""</f>
        <v/>
      </c>
      <c r="CM21" t="str">
        <f>""</f>
        <v/>
      </c>
      <c r="CN21" t="str">
        <f>""</f>
        <v/>
      </c>
      <c r="CO21" t="str">
        <f>""</f>
        <v/>
      </c>
      <c r="CP21" t="str">
        <f>""</f>
        <v/>
      </c>
      <c r="CQ21" t="str">
        <f>""</f>
        <v/>
      </c>
      <c r="CR21" t="str">
        <f>""</f>
        <v/>
      </c>
      <c r="CS21" t="str">
        <f>""</f>
        <v/>
      </c>
      <c r="CT21" t="str">
        <f>""</f>
        <v/>
      </c>
      <c r="CU21" t="str">
        <f>""</f>
        <v/>
      </c>
      <c r="CV21" t="str">
        <f>""</f>
        <v/>
      </c>
      <c r="CW21" t="str">
        <f>""</f>
        <v/>
      </c>
      <c r="CX21" t="str">
        <f>""</f>
        <v/>
      </c>
      <c r="CY21" t="str">
        <f>""</f>
        <v/>
      </c>
      <c r="CZ21" t="str">
        <f>""</f>
        <v/>
      </c>
      <c r="DA21" t="str">
        <f>""</f>
        <v/>
      </c>
      <c r="DB21" t="str">
        <f>""</f>
        <v/>
      </c>
      <c r="DC21" t="str">
        <f>""</f>
        <v/>
      </c>
      <c r="DD21" t="str">
        <f>""</f>
        <v/>
      </c>
      <c r="DE21" t="str">
        <f>""</f>
        <v/>
      </c>
      <c r="DF21" t="str">
        <f>""</f>
        <v/>
      </c>
      <c r="DG21" t="str">
        <f>""</f>
        <v/>
      </c>
      <c r="DH21" t="str">
        <f>""</f>
        <v/>
      </c>
      <c r="DI21" t="str">
        <f>""</f>
        <v/>
      </c>
      <c r="DJ21" t="str">
        <f>""</f>
        <v/>
      </c>
      <c r="DK21" t="str">
        <f>""</f>
        <v/>
      </c>
      <c r="DL21" t="str">
        <f>""</f>
        <v/>
      </c>
      <c r="DM21" t="str">
        <f>""</f>
        <v/>
      </c>
      <c r="DN21" t="str">
        <f>""</f>
        <v/>
      </c>
      <c r="DO21" t="str">
        <f>""</f>
        <v/>
      </c>
      <c r="DP21" t="str">
        <f>""</f>
        <v/>
      </c>
      <c r="DQ21" t="str">
        <f>""</f>
        <v/>
      </c>
      <c r="DR21" t="str">
        <f>""</f>
        <v/>
      </c>
      <c r="DS21" t="str">
        <f>""</f>
        <v/>
      </c>
      <c r="DT21" t="str">
        <f>""</f>
        <v/>
      </c>
      <c r="DU21">
        <f>1923.9985</f>
        <v>1923.9984999999999</v>
      </c>
      <c r="DV21">
        <f>1876.397</f>
        <v>1876.3969999999999</v>
      </c>
      <c r="DW21">
        <f>1699.9235</f>
        <v>1699.9235000000001</v>
      </c>
      <c r="DX21">
        <f>1728.78925</f>
        <v>1728.78925</v>
      </c>
      <c r="DY21">
        <f>1751.31</f>
        <v>1751.31</v>
      </c>
      <c r="DZ21">
        <f>1746.51375</f>
        <v>1746.5137500000001</v>
      </c>
      <c r="EA21">
        <f>1697.25475</f>
        <v>1697.2547500000001</v>
      </c>
      <c r="EB21">
        <f>1817.80725</f>
        <v>1817.8072500000001</v>
      </c>
      <c r="EC21">
        <f>1886.84125</f>
        <v>1886.8412499999999</v>
      </c>
      <c r="ED21">
        <f>1726.72725</f>
        <v>1726.7272499999999</v>
      </c>
      <c r="EE21">
        <f>1791.039</f>
        <v>1791.039</v>
      </c>
      <c r="EF21">
        <f>1853.57675</f>
        <v>1853.5767499999999</v>
      </c>
      <c r="EG21">
        <f>1814.23325</f>
        <v>1814.23325</v>
      </c>
      <c r="EH21">
        <f>1865.0535</f>
        <v>1865.0535</v>
      </c>
      <c r="EI21">
        <f>1678.1695</f>
        <v>1678.1695</v>
      </c>
      <c r="EJ21">
        <f>1809.78475</f>
        <v>1809.78475</v>
      </c>
      <c r="EK21">
        <f>1881.86325</f>
        <v>1881.8632500000001</v>
      </c>
      <c r="EL21">
        <f>1812.2045</f>
        <v>1812.2045000000001</v>
      </c>
      <c r="EM21">
        <f>1869.49325</f>
        <v>1869.49325</v>
      </c>
      <c r="EN21">
        <f>1836.44625</f>
        <v>1836.44625</v>
      </c>
      <c r="EO21">
        <f>1869.15475</f>
        <v>1869.1547499999999</v>
      </c>
      <c r="EP21">
        <f>1656.82925</f>
        <v>1656.82925</v>
      </c>
      <c r="EQ21">
        <f>1793.0775</f>
        <v>1793.0775000000001</v>
      </c>
      <c r="ER21">
        <f>1814.44175</f>
        <v>1814.44175</v>
      </c>
      <c r="ES21">
        <f>1901.004</f>
        <v>1901.0039999999999</v>
      </c>
      <c r="ET21">
        <f>1796.02575</f>
        <v>1796.02575</v>
      </c>
      <c r="EU21">
        <f>1827.60875</f>
        <v>1827.6087500000001</v>
      </c>
      <c r="EV21">
        <f>1756.9955</f>
        <v>1756.9955</v>
      </c>
      <c r="EW21">
        <f>1833.47</f>
        <v>1833.47</v>
      </c>
      <c r="EX21">
        <f>1822.14575</f>
        <v>1822.1457499999999</v>
      </c>
      <c r="EY21">
        <f>1880.7295</f>
        <v>1880.7294999999999</v>
      </c>
      <c r="EZ21">
        <f>1784.76975</f>
        <v>1784.7697499999999</v>
      </c>
      <c r="FA21">
        <f>1752.68575</f>
        <v>1752.6857500000001</v>
      </c>
      <c r="FB21">
        <f>1657.51775</f>
        <v>1657.51775</v>
      </c>
      <c r="FC21">
        <f>1686.69475</f>
        <v>1686.6947500000001</v>
      </c>
      <c r="FD21">
        <f>1743.8835</f>
        <v>1743.8834999999999</v>
      </c>
      <c r="FE21">
        <f>1714.90925</f>
        <v>1714.9092499999999</v>
      </c>
      <c r="FF21">
        <f>1667.353</f>
        <v>1667.3530000000001</v>
      </c>
      <c r="FG21">
        <f>1671.329</f>
        <v>1671.329</v>
      </c>
      <c r="FH21">
        <f>1702.03775</f>
        <v>1702.03775</v>
      </c>
      <c r="FI21">
        <f>1752.0675</f>
        <v>1752.0675000000001</v>
      </c>
      <c r="FJ21">
        <f>1661.7835</f>
        <v>1661.7835</v>
      </c>
      <c r="FK21">
        <f>1786.5755</f>
        <v>1786.5754999999999</v>
      </c>
      <c r="FL21">
        <f>1766.571</f>
        <v>1766.5709999999999</v>
      </c>
      <c r="FM21">
        <f>1741.5335</f>
        <v>1741.5335</v>
      </c>
      <c r="FN21">
        <f>1503.716</f>
        <v>1503.7159999999999</v>
      </c>
      <c r="FO21">
        <f>1645.853</f>
        <v>1645.8530000000001</v>
      </c>
      <c r="FP21">
        <f>1626.32175</f>
        <v>1626.3217500000001</v>
      </c>
      <c r="FQ21">
        <f>1635.37325</f>
        <v>1635.3732500000001</v>
      </c>
    </row>
    <row r="22" spans="1:173" x14ac:dyDescent="0.25">
      <c r="A22" t="str">
        <f>"Statistics for Major North American Ports"</f>
        <v>Statistics for Major North American Ports</v>
      </c>
      <c r="B22" t="str">
        <f>""</f>
        <v/>
      </c>
      <c r="E22" t="str">
        <f>"Sum"</f>
        <v>Sum</v>
      </c>
      <c r="F22" t="str">
        <f ca="1">IF(ISERROR(IF(SUM($F$23,$F$27,$F$31,$F$32,$F$33,$F$34,$F$35,$F$36,$F$37,$F$38,$F$39) = 0, "", SUM($F$23,$F$27,$F$31,$F$32,$F$33,$F$34,$F$35,$F$36,$F$37,$F$38,$F$39))), "", (IF(SUM($F$23,$F$27,$F$31,$F$32,$F$33,$F$34,$F$35,$F$36,$F$37,$F$38,$F$39) = 0, "", SUM($F$23,$F$27,$F$31,$F$32,$F$33,$F$34,$F$35,$F$36,$F$37,$F$38,$F$39))))</f>
        <v/>
      </c>
      <c r="G22">
        <f ca="1">IF(ISERROR(IF(SUM($G$23,$G$27,$G$31,$G$32,$G$33,$G$34,$G$35,$G$36,$G$37,$G$38,$G$39) = 0, "", SUM($G$23,$G$27,$G$31,$G$32,$G$33,$G$34,$G$35,$G$36,$G$37,$G$38,$G$39))), "", (IF(SUM($G$23,$G$27,$G$31,$G$32,$G$33,$G$34,$G$35,$G$36,$G$37,$G$38,$G$39) = 0, "", SUM($G$23,$G$27,$G$31,$G$32,$G$33,$G$34,$G$35,$G$36,$G$37,$G$38,$G$39))))</f>
        <v>3395648.1</v>
      </c>
      <c r="H22">
        <f ca="1">IF(ISERROR(IF(SUM($H$23,$H$27,$H$31,$H$32,$H$33,$H$34,$H$35,$H$36,$H$37,$H$38,$H$39) = 0, "", SUM($H$23,$H$27,$H$31,$H$32,$H$33,$H$34,$H$35,$H$36,$H$37,$H$38,$H$39))), "", (IF(SUM($H$23,$H$27,$H$31,$H$32,$H$33,$H$34,$H$35,$H$36,$H$37,$H$38,$H$39) = 0, "", SUM($H$23,$H$27,$H$31,$H$32,$H$33,$H$34,$H$35,$H$36,$H$37,$H$38,$H$39))))</f>
        <v>3899702.45</v>
      </c>
      <c r="I22">
        <f ca="1">IF(ISERROR(IF(SUM($I$23,$I$27,$I$31,$I$32,$I$33,$I$34,$I$35,$I$36,$I$37,$I$38,$I$39) = 0, "", SUM($I$23,$I$27,$I$31,$I$32,$I$33,$I$34,$I$35,$I$36,$I$37,$I$38,$I$39))), "", (IF(SUM($I$23,$I$27,$I$31,$I$32,$I$33,$I$34,$I$35,$I$36,$I$37,$I$38,$I$39) = 0, "", SUM($I$23,$I$27,$I$31,$I$32,$I$33,$I$34,$I$35,$I$36,$I$37,$I$38,$I$39))))</f>
        <v>3695401.25</v>
      </c>
      <c r="J22">
        <f ca="1">IF(ISERROR(IF(SUM($J$23,$J$27,$J$31,$J$32,$J$33,$J$34,$J$35,$J$36,$J$37,$J$38,$J$39) = 0, "", SUM($J$23,$J$27,$J$31,$J$32,$J$33,$J$34,$J$35,$J$36,$J$37,$J$38,$J$39))), "", (IF(SUM($J$23,$J$27,$J$31,$J$32,$J$33,$J$34,$J$35,$J$36,$J$37,$J$38,$J$39) = 0, "", SUM($J$23,$J$27,$J$31,$J$32,$J$33,$J$34,$J$35,$J$36,$J$37,$J$38,$J$39))))</f>
        <v>3783510.2</v>
      </c>
      <c r="K22">
        <f ca="1">IF(ISERROR(IF(SUM($K$23,$K$27,$K$31,$K$32,$K$33,$K$34,$K$35,$K$36,$K$37,$K$38,$K$39) = 0, "", SUM($K$23,$K$27,$K$31,$K$32,$K$33,$K$34,$K$35,$K$36,$K$37,$K$38,$K$39))), "", (IF(SUM($K$23,$K$27,$K$31,$K$32,$K$33,$K$34,$K$35,$K$36,$K$37,$K$38,$K$39) = 0, "", SUM($K$23,$K$27,$K$31,$K$32,$K$33,$K$34,$K$35,$K$36,$K$37,$K$38,$K$39))))</f>
        <v>3932423.75</v>
      </c>
      <c r="L22">
        <f ca="1">IF(ISERROR(IF(SUM($L$23,$L$27,$L$31,$L$32,$L$33,$L$34,$L$35,$L$36,$L$37,$L$38,$L$39) = 0, "", SUM($L$23,$L$27,$L$31,$L$32,$L$33,$L$34,$L$35,$L$36,$L$37,$L$38,$L$39))), "", (IF(SUM($L$23,$L$27,$L$31,$L$32,$L$33,$L$34,$L$35,$L$36,$L$37,$L$38,$L$39) = 0, "", SUM($L$23,$L$27,$L$31,$L$32,$L$33,$L$34,$L$35,$L$36,$L$37,$L$38,$L$39))))</f>
        <v>3701940.5</v>
      </c>
      <c r="M22">
        <f ca="1">IF(ISERROR(IF(SUM($M$23,$M$27,$M$31,$M$32,$M$33,$M$34,$M$35,$M$36,$M$37,$M$38,$M$39) = 0, "", SUM($M$23,$M$27,$M$31,$M$32,$M$33,$M$34,$M$35,$M$36,$M$37,$M$38,$M$39))), "", (IF(SUM($M$23,$M$27,$M$31,$M$32,$M$33,$M$34,$M$35,$M$36,$M$37,$M$38,$M$39) = 0, "", SUM($M$23,$M$27,$M$31,$M$32,$M$33,$M$34,$M$35,$M$36,$M$37,$M$38,$M$39))))</f>
        <v>3443046.75</v>
      </c>
      <c r="N22">
        <f ca="1">IF(ISERROR(IF(SUM($N$23,$N$27,$N$31,$N$32,$N$33,$N$34,$N$35,$N$36,$N$37,$N$38,$N$39) = 0, "", SUM($N$23,$N$27,$N$31,$N$32,$N$33,$N$34,$N$35,$N$36,$N$37,$N$38,$N$39))), "", (IF(SUM($N$23,$N$27,$N$31,$N$32,$N$33,$N$34,$N$35,$N$36,$N$37,$N$38,$N$39) = 0, "", SUM($N$23,$N$27,$N$31,$N$32,$N$33,$N$34,$N$35,$N$36,$N$37,$N$38,$N$39))))</f>
        <v>3246269.65</v>
      </c>
      <c r="O22">
        <f ca="1">IF(ISERROR(IF(SUM($O$23,$O$27,$O$31,$O$32,$O$33,$O$34,$O$35,$O$36,$O$37,$O$38,$O$39) = 0, "", SUM($O$23,$O$27,$O$31,$O$32,$O$33,$O$34,$O$35,$O$36,$O$37,$O$38,$O$39))), "", (IF(SUM($O$23,$O$27,$O$31,$O$32,$O$33,$O$34,$O$35,$O$36,$O$37,$O$38,$O$39) = 0, "", SUM($O$23,$O$27,$O$31,$O$32,$O$33,$O$34,$O$35,$O$36,$O$37,$O$38,$O$39))))</f>
        <v>3697718.2</v>
      </c>
      <c r="P22">
        <f ca="1">IF(ISERROR(IF(SUM($P$23,$P$27,$P$31,$P$32,$P$33,$P$34,$P$35,$P$36,$P$37,$P$38,$P$39) = 0, "", SUM($P$23,$P$27,$P$31,$P$32,$P$33,$P$34,$P$35,$P$36,$P$37,$P$38,$P$39))), "", (IF(SUM($P$23,$P$27,$P$31,$P$32,$P$33,$P$34,$P$35,$P$36,$P$37,$P$38,$P$39) = 0, "", SUM($P$23,$P$27,$P$31,$P$32,$P$33,$P$34,$P$35,$P$36,$P$37,$P$38,$P$39))))</f>
        <v>3686560.5</v>
      </c>
      <c r="Q22">
        <f ca="1">IF(ISERROR(IF(SUM($Q$23,$Q$27,$Q$31,$Q$32,$Q$33,$Q$34,$Q$35,$Q$36,$Q$37,$Q$38,$Q$39) = 0, "", SUM($Q$23,$Q$27,$Q$31,$Q$32,$Q$33,$Q$34,$Q$35,$Q$36,$Q$37,$Q$38,$Q$39))), "", (IF(SUM($Q$23,$Q$27,$Q$31,$Q$32,$Q$33,$Q$34,$Q$35,$Q$36,$Q$37,$Q$38,$Q$39) = 0, "", SUM($Q$23,$Q$27,$Q$31,$Q$32,$Q$33,$Q$34,$Q$35,$Q$36,$Q$37,$Q$38,$Q$39))))</f>
        <v>3780337</v>
      </c>
      <c r="R22">
        <f ca="1">IF(ISERROR(IF(SUM($R$23,$R$27,$R$31,$R$32,$R$33,$R$34,$R$35,$R$36,$R$37,$R$38,$R$39) = 0, "", SUM($R$23,$R$27,$R$31,$R$32,$R$33,$R$34,$R$35,$R$36,$R$37,$R$38,$R$39))), "", (IF(SUM($R$23,$R$27,$R$31,$R$32,$R$33,$R$34,$R$35,$R$36,$R$37,$R$38,$R$39) = 0, "", SUM($R$23,$R$27,$R$31,$R$32,$R$33,$R$34,$R$35,$R$36,$R$37,$R$38,$R$39))))</f>
        <v>4200854.7</v>
      </c>
      <c r="S22">
        <f ca="1">IF(ISERROR(IF(SUM($S$23,$S$27,$S$31,$S$32,$S$33,$S$34,$S$35,$S$36,$S$37,$S$38,$S$39) = 0, "", SUM($S$23,$S$27,$S$31,$S$32,$S$33,$S$34,$S$35,$S$36,$S$37,$S$38,$S$39))), "", (IF(SUM($S$23,$S$27,$S$31,$S$32,$S$33,$S$34,$S$35,$S$36,$S$37,$S$38,$S$39) = 0, "", SUM($S$23,$S$27,$S$31,$S$32,$S$33,$S$34,$S$35,$S$36,$S$37,$S$38,$S$39))))</f>
        <v>4191747</v>
      </c>
      <c r="T22">
        <f ca="1">IF(ISERROR(IF(SUM($T$23,$T$27,$T$31,$T$32,$T$33,$T$34,$T$35,$T$36,$T$37,$T$38,$T$39) = 0, "", SUM($T$23,$T$27,$T$31,$T$32,$T$33,$T$34,$T$35,$T$36,$T$37,$T$38,$T$39))), "", (IF(SUM($T$23,$T$27,$T$31,$T$32,$T$33,$T$34,$T$35,$T$36,$T$37,$T$38,$T$39) = 0, "", SUM($T$23,$T$27,$T$31,$T$32,$T$33,$T$34,$T$35,$T$36,$T$37,$T$38,$T$39))))</f>
        <v>4610199.7</v>
      </c>
      <c r="U22">
        <f ca="1">IF(ISERROR(IF(SUM($U$23,$U$27,$U$31,$U$32,$U$33,$U$34,$U$35,$U$36,$U$37,$U$38,$U$39) = 0, "", SUM($U$23,$U$27,$U$31,$U$32,$U$33,$U$34,$U$35,$U$36,$U$37,$U$38,$U$39))), "", (IF(SUM($U$23,$U$27,$U$31,$U$32,$U$33,$U$34,$U$35,$U$36,$U$37,$U$38,$U$39) = 0, "", SUM($U$23,$U$27,$U$31,$U$32,$U$33,$U$34,$U$35,$U$36,$U$37,$U$38,$U$39))))</f>
        <v>4405019.3</v>
      </c>
      <c r="V22">
        <f ca="1">IF(ISERROR(IF(SUM($V$23,$V$27,$V$31,$V$32,$V$33,$V$34,$V$35,$V$36,$V$37,$V$38,$V$39) = 0, "", SUM($V$23,$V$27,$V$31,$V$32,$V$33,$V$34,$V$35,$V$36,$V$37,$V$38,$V$39))), "", (IF(SUM($V$23,$V$27,$V$31,$V$32,$V$33,$V$34,$V$35,$V$36,$V$37,$V$38,$V$39) = 0, "", SUM($V$23,$V$27,$V$31,$V$32,$V$33,$V$34,$V$35,$V$36,$V$37,$V$38,$V$39))))</f>
        <v>4522571.8</v>
      </c>
      <c r="W22">
        <f ca="1">IF(ISERROR(IF(SUM($W$23,$W$27,$W$31,$W$32,$W$33,$W$34,$W$35,$W$36,$W$37,$W$38,$W$39) = 0, "", SUM($W$23,$W$27,$W$31,$W$32,$W$33,$W$34,$W$35,$W$36,$W$37,$W$38,$W$39))), "", (IF(SUM($W$23,$W$27,$W$31,$W$32,$W$33,$W$34,$W$35,$W$36,$W$37,$W$38,$W$39) = 0, "", SUM($W$23,$W$27,$W$31,$W$32,$W$33,$W$34,$W$35,$W$36,$W$37,$W$38,$W$39))))</f>
        <v>4816115.6500000004</v>
      </c>
      <c r="X22">
        <f ca="1">IF(ISERROR(IF(SUM($X$23,$X$27,$X$31,$X$32,$X$33,$X$34,$X$35,$X$36,$X$37,$X$38,$X$39) = 0, "", SUM($X$23,$X$27,$X$31,$X$32,$X$33,$X$34,$X$35,$X$36,$X$37,$X$38,$X$39))), "", (IF(SUM($X$23,$X$27,$X$31,$X$32,$X$33,$X$34,$X$35,$X$36,$X$37,$X$38,$X$39) = 0, "", SUM($X$23,$X$27,$X$31,$X$32,$X$33,$X$34,$X$35,$X$36,$X$37,$X$38,$X$39))))</f>
        <v>4542067.3499999996</v>
      </c>
      <c r="Y22">
        <f ca="1">IF(ISERROR(IF(SUM($Y$23,$Y$27,$Y$31,$Y$32,$Y$33,$Y$34,$Y$35,$Y$36,$Y$37,$Y$38,$Y$39) = 0, "", SUM($Y$23,$Y$27,$Y$31,$Y$32,$Y$33,$Y$34,$Y$35,$Y$36,$Y$37,$Y$38,$Y$39))), "", (IF(SUM($Y$23,$Y$27,$Y$31,$Y$32,$Y$33,$Y$34,$Y$35,$Y$36,$Y$37,$Y$38,$Y$39) = 0, "", SUM($Y$23,$Y$27,$Y$31,$Y$32,$Y$33,$Y$34,$Y$35,$Y$36,$Y$37,$Y$38,$Y$39))))</f>
        <v>4687585.55</v>
      </c>
      <c r="Z22">
        <f ca="1">IF(ISERROR(IF(SUM($Z$23,$Z$27,$Z$31,$Z$32,$Z$33,$Z$34,$Z$35,$Z$36,$Z$37,$Z$38,$Z$39) = 0, "", SUM($Z$23,$Z$27,$Z$31,$Z$32,$Z$33,$Z$34,$Z$35,$Z$36,$Z$37,$Z$38,$Z$39))), "", (IF(SUM($Z$23,$Z$27,$Z$31,$Z$32,$Z$33,$Z$34,$Z$35,$Z$36,$Z$37,$Z$38,$Z$39) = 0, "", SUM($Z$23,$Z$27,$Z$31,$Z$32,$Z$33,$Z$34,$Z$35,$Z$36,$Z$37,$Z$38,$Z$39))))</f>
        <v>4223221.4000000004</v>
      </c>
      <c r="AA22">
        <f ca="1">IF(ISERROR(IF(SUM($AA$23,$AA$27,$AA$31,$AA$32,$AA$33,$AA$34,$AA$35,$AA$36,$AA$37,$AA$38,$AA$39) = 0, "", SUM($AA$23,$AA$27,$AA$31,$AA$32,$AA$33,$AA$34,$AA$35,$AA$36,$AA$37,$AA$38,$AA$39))), "", (IF(SUM($AA$23,$AA$27,$AA$31,$AA$32,$AA$33,$AA$34,$AA$35,$AA$36,$AA$37,$AA$38,$AA$39) = 0, "", SUM($AA$23,$AA$27,$AA$31,$AA$32,$AA$33,$AA$34,$AA$35,$AA$36,$AA$37,$AA$38,$AA$39))))</f>
        <v>4251604.8499999996</v>
      </c>
      <c r="AB22">
        <f ca="1">IF(ISERROR(IF(SUM($AB$23,$AB$27,$AB$31,$AB$32,$AB$33,$AB$34,$AB$35,$AB$36,$AB$37,$AB$38,$AB$39) = 0, "", SUM($AB$23,$AB$27,$AB$31,$AB$32,$AB$33,$AB$34,$AB$35,$AB$36,$AB$37,$AB$38,$AB$39))), "", (IF(SUM($AB$23,$AB$27,$AB$31,$AB$32,$AB$33,$AB$34,$AB$35,$AB$36,$AB$37,$AB$38,$AB$39) = 0, "", SUM($AB$23,$AB$27,$AB$31,$AB$32,$AB$33,$AB$34,$AB$35,$AB$36,$AB$37,$AB$38,$AB$39))))</f>
        <v>4168059.75</v>
      </c>
      <c r="AC22">
        <f ca="1">IF(ISERROR(IF(SUM($AC$23,$AC$27,$AC$31,$AC$32,$AC$33,$AC$34,$AC$35,$AC$36,$AC$37,$AC$38,$AC$39) = 0, "", SUM($AC$23,$AC$27,$AC$31,$AC$32,$AC$33,$AC$34,$AC$35,$AC$36,$AC$37,$AC$38,$AC$39))), "", (IF(SUM($AC$23,$AC$27,$AC$31,$AC$32,$AC$33,$AC$34,$AC$35,$AC$36,$AC$37,$AC$38,$AC$39) = 0, "", SUM($AC$23,$AC$27,$AC$31,$AC$32,$AC$33,$AC$34,$AC$35,$AC$36,$AC$37,$AC$38,$AC$39))))</f>
        <v>4225487</v>
      </c>
      <c r="AD22">
        <f ca="1">IF(ISERROR(IF(SUM($AD$23,$AD$27,$AD$31,$AD$32,$AD$33,$AD$34,$AD$35,$AD$36,$AD$37,$AD$38,$AD$39) = 0, "", SUM($AD$23,$AD$27,$AD$31,$AD$32,$AD$33,$AD$34,$AD$35,$AD$36,$AD$37,$AD$38,$AD$39))), "", (IF(SUM($AD$23,$AD$27,$AD$31,$AD$32,$AD$33,$AD$34,$AD$35,$AD$36,$AD$37,$AD$38,$AD$39) = 0, "", SUM($AD$23,$AD$27,$AD$31,$AD$32,$AD$33,$AD$34,$AD$35,$AD$36,$AD$37,$AD$38,$AD$39))))</f>
        <v>4522769.25</v>
      </c>
      <c r="AE22">
        <f ca="1">IF(ISERROR(IF(SUM($AE$23,$AE$27,$AE$31,$AE$32,$AE$33,$AE$34,$AE$35,$AE$36,$AE$37,$AE$38,$AE$39) = 0, "", SUM($AE$23,$AE$27,$AE$31,$AE$32,$AE$33,$AE$34,$AE$35,$AE$36,$AE$37,$AE$38,$AE$39))), "", (IF(SUM($AE$23,$AE$27,$AE$31,$AE$32,$AE$33,$AE$34,$AE$35,$AE$36,$AE$37,$AE$38,$AE$39) = 0, "", SUM($AE$23,$AE$27,$AE$31,$AE$32,$AE$33,$AE$34,$AE$35,$AE$36,$AE$37,$AE$38,$AE$39))))</f>
        <v>4313633.0999999996</v>
      </c>
      <c r="AF22">
        <f ca="1">IF(ISERROR(IF(SUM($AF$23,$AF$27,$AF$31,$AF$32,$AF$33,$AF$34,$AF$35,$AF$36,$AF$37,$AF$38,$AF$39) = 0, "", SUM($AF$23,$AF$27,$AF$31,$AF$32,$AF$33,$AF$34,$AF$35,$AF$36,$AF$37,$AF$38,$AF$39))), "", (IF(SUM($AF$23,$AF$27,$AF$31,$AF$32,$AF$33,$AF$34,$AF$35,$AF$36,$AF$37,$AF$38,$AF$39) = 0, "", SUM($AF$23,$AF$27,$AF$31,$AF$32,$AF$33,$AF$34,$AF$35,$AF$36,$AF$37,$AF$38,$AF$39))))</f>
        <v>4571948.9000000004</v>
      </c>
      <c r="AG22">
        <f ca="1">IF(ISERROR(IF(SUM($AG$23,$AG$27,$AG$31,$AG$32,$AG$33,$AG$34,$AG$35,$AG$36,$AG$37,$AG$38,$AG$39) = 0, "", SUM($AG$23,$AG$27,$AG$31,$AG$32,$AG$33,$AG$34,$AG$35,$AG$36,$AG$37,$AG$38,$AG$39))), "", (IF(SUM($AG$23,$AG$27,$AG$31,$AG$32,$AG$33,$AG$34,$AG$35,$AG$36,$AG$37,$AG$38,$AG$39) = 0, "", SUM($AG$23,$AG$27,$AG$31,$AG$32,$AG$33,$AG$34,$AG$35,$AG$36,$AG$37,$AG$38,$AG$39))))</f>
        <v>4360891.4000000004</v>
      </c>
      <c r="AH22">
        <f ca="1">IF(ISERROR(IF(SUM($AH$23,$AH$27,$AH$31,$AH$32,$AH$33,$AH$34,$AH$35,$AH$36,$AH$37,$AH$38,$AH$39) = 0, "", SUM($AH$23,$AH$27,$AH$31,$AH$32,$AH$33,$AH$34,$AH$35,$AH$36,$AH$37,$AH$38,$AH$39))), "", (IF(SUM($AH$23,$AH$27,$AH$31,$AH$32,$AH$33,$AH$34,$AH$35,$AH$36,$AH$37,$AH$38,$AH$39) = 0, "", SUM($AH$23,$AH$27,$AH$31,$AH$32,$AH$33,$AH$34,$AH$35,$AH$36,$AH$37,$AH$38,$AH$39))))</f>
        <v>4279195.25</v>
      </c>
      <c r="AI22">
        <f ca="1">IF(ISERROR(IF(SUM($AI$23,$AI$27,$AI$31,$AI$32,$AI$33,$AI$34,$AI$35,$AI$36,$AI$37,$AI$38,$AI$39) = 0, "", SUM($AI$23,$AI$27,$AI$31,$AI$32,$AI$33,$AI$34,$AI$35,$AI$36,$AI$37,$AI$38,$AI$39))), "", (IF(SUM($AI$23,$AI$27,$AI$31,$AI$32,$AI$33,$AI$34,$AI$35,$AI$36,$AI$37,$AI$38,$AI$39) = 0, "", SUM($AI$23,$AI$27,$AI$31,$AI$32,$AI$33,$AI$34,$AI$35,$AI$36,$AI$37,$AI$38,$AI$39))))</f>
        <v>4801242.25</v>
      </c>
      <c r="AJ22">
        <f ca="1">IF(ISERROR(IF(SUM($AJ$23,$AJ$27,$AJ$31,$AJ$32,$AJ$33,$AJ$34,$AJ$35,$AJ$36,$AJ$37,$AJ$38,$AJ$39) = 0, "", SUM($AJ$23,$AJ$27,$AJ$31,$AJ$32,$AJ$33,$AJ$34,$AJ$35,$AJ$36,$AJ$37,$AJ$38,$AJ$39))), "", (IF(SUM($AJ$23,$AJ$27,$AJ$31,$AJ$32,$AJ$33,$AJ$34,$AJ$35,$AJ$36,$AJ$37,$AJ$38,$AJ$39) = 0, "", SUM($AJ$23,$AJ$27,$AJ$31,$AJ$32,$AJ$33,$AJ$34,$AJ$35,$AJ$36,$AJ$37,$AJ$38,$AJ$39))))</f>
        <v>4349971.0999999996</v>
      </c>
      <c r="AK22">
        <f ca="1">IF(ISERROR(IF(SUM($AK$23,$AK$27,$AK$31,$AK$32,$AK$33,$AK$34,$AK$35,$AK$36,$AK$37,$AK$38,$AK$39) = 0, "", SUM($AK$23,$AK$27,$AK$31,$AK$32,$AK$33,$AK$34,$AK$35,$AK$36,$AK$37,$AK$38,$AK$39))), "", (IF(SUM($AK$23,$AK$27,$AK$31,$AK$32,$AK$33,$AK$34,$AK$35,$AK$36,$AK$37,$AK$38,$AK$39) = 0, "", SUM($AK$23,$AK$27,$AK$31,$AK$32,$AK$33,$AK$34,$AK$35,$AK$36,$AK$37,$AK$38,$AK$39))))</f>
        <v>4655106.4000000004</v>
      </c>
      <c r="AL22">
        <f ca="1">IF(ISERROR(IF(SUM($AL$23,$AL$27,$AL$31,$AL$32,$AL$33,$AL$34,$AL$35,$AL$36,$AL$37,$AL$38,$AL$39) = 0, "", SUM($AL$23,$AL$27,$AL$31,$AL$32,$AL$33,$AL$34,$AL$35,$AL$36,$AL$37,$AL$38,$AL$39))), "", (IF(SUM($AL$23,$AL$27,$AL$31,$AL$32,$AL$33,$AL$34,$AL$35,$AL$36,$AL$37,$AL$38,$AL$39) = 0, "", SUM($AL$23,$AL$27,$AL$31,$AL$32,$AL$33,$AL$34,$AL$35,$AL$36,$AL$37,$AL$38,$AL$39))))</f>
        <v>3831778.4</v>
      </c>
      <c r="AM22">
        <f ca="1">IF(ISERROR(IF(SUM($AM$23,$AM$27,$AM$31,$AM$32,$AM$33,$AM$34,$AM$35,$AM$36,$AM$37,$AM$38,$AM$39) = 0, "", SUM($AM$23,$AM$27,$AM$31,$AM$32,$AM$33,$AM$34,$AM$35,$AM$36,$AM$37,$AM$38,$AM$39))), "", (IF(SUM($AM$23,$AM$27,$AM$31,$AM$32,$AM$33,$AM$34,$AM$35,$AM$36,$AM$37,$AM$38,$AM$39) = 0, "", SUM($AM$23,$AM$27,$AM$31,$AM$32,$AM$33,$AM$34,$AM$35,$AM$36,$AM$37,$AM$38,$AM$39))))</f>
        <v>4188856.6500000004</v>
      </c>
      <c r="AN22">
        <f ca="1">IF(ISERROR(IF(SUM($AN$23,$AN$27,$AN$31,$AN$32,$AN$33,$AN$34,$AN$35,$AN$36,$AN$37,$AN$38,$AN$39) = 0, "", SUM($AN$23,$AN$27,$AN$31,$AN$32,$AN$33,$AN$34,$AN$35,$AN$36,$AN$37,$AN$38,$AN$39))), "", (IF(SUM($AN$23,$AN$27,$AN$31,$AN$32,$AN$33,$AN$34,$AN$35,$AN$36,$AN$37,$AN$38,$AN$39) = 0, "", SUM($AN$23,$AN$27,$AN$31,$AN$32,$AN$33,$AN$34,$AN$35,$AN$36,$AN$37,$AN$38,$AN$39))))</f>
        <v>4280972.3</v>
      </c>
      <c r="AO22">
        <f ca="1">IF(ISERROR(IF(SUM($AO$23,$AO$27,$AO$31,$AO$32,$AO$33,$AO$34,$AO$35,$AO$36,$AO$37,$AO$38,$AO$39) = 0, "", SUM($AO$23,$AO$27,$AO$31,$AO$32,$AO$33,$AO$34,$AO$35,$AO$36,$AO$37,$AO$38,$AO$39))), "", (IF(SUM($AO$23,$AO$27,$AO$31,$AO$32,$AO$33,$AO$34,$AO$35,$AO$36,$AO$37,$AO$38,$AO$39) = 0, "", SUM($AO$23,$AO$27,$AO$31,$AO$32,$AO$33,$AO$34,$AO$35,$AO$36,$AO$37,$AO$38,$AO$39))))</f>
        <v>4300730.0999999996</v>
      </c>
      <c r="AP22">
        <f ca="1">IF(ISERROR(IF(SUM($AP$23,$AP$27,$AP$31,$AP$32,$AP$33,$AP$34,$AP$35,$AP$36,$AP$37,$AP$38,$AP$39) = 0, "", SUM($AP$23,$AP$27,$AP$31,$AP$32,$AP$33,$AP$34,$AP$35,$AP$36,$AP$37,$AP$38,$AP$39))), "", (IF(SUM($AP$23,$AP$27,$AP$31,$AP$32,$AP$33,$AP$34,$AP$35,$AP$36,$AP$37,$AP$38,$AP$39) = 0, "", SUM($AP$23,$AP$27,$AP$31,$AP$32,$AP$33,$AP$34,$AP$35,$AP$36,$AP$37,$AP$38,$AP$39))))</f>
        <v>4553359.55</v>
      </c>
      <c r="AQ22">
        <f ca="1">IF(ISERROR(IF(SUM($AQ$23,$AQ$27,$AQ$31,$AQ$32,$AQ$33,$AQ$34,$AQ$35,$AQ$36,$AQ$37,$AQ$38,$AQ$39) = 0, "", SUM($AQ$23,$AQ$27,$AQ$31,$AQ$32,$AQ$33,$AQ$34,$AQ$35,$AQ$36,$AQ$37,$AQ$38,$AQ$39))), "", (IF(SUM($AQ$23,$AQ$27,$AQ$31,$AQ$32,$AQ$33,$AQ$34,$AQ$35,$AQ$36,$AQ$37,$AQ$38,$AQ$39) = 0, "", SUM($AQ$23,$AQ$27,$AQ$31,$AQ$32,$AQ$33,$AQ$34,$AQ$35,$AQ$36,$AQ$37,$AQ$38,$AQ$39))))</f>
        <v>4233934.8</v>
      </c>
      <c r="AR22">
        <f ca="1">IF(ISERROR(IF(SUM($AR$23,$AR$27,$AR$31,$AR$32,$AR$33,$AR$34,$AR$35,$AR$36,$AR$37,$AR$38,$AR$39) = 0, "", SUM($AR$23,$AR$27,$AR$31,$AR$32,$AR$33,$AR$34,$AR$35,$AR$36,$AR$37,$AR$38,$AR$39))), "", (IF(SUM($AR$23,$AR$27,$AR$31,$AR$32,$AR$33,$AR$34,$AR$35,$AR$36,$AR$37,$AR$38,$AR$39) = 0, "", SUM($AR$23,$AR$27,$AR$31,$AR$32,$AR$33,$AR$34,$AR$35,$AR$36,$AR$37,$AR$38,$AR$39))))</f>
        <v>4224982.4000000004</v>
      </c>
      <c r="AS22">
        <f ca="1">IF(ISERROR(IF(SUM($AS$23,$AS$27,$AS$31,$AS$32,$AS$33,$AS$34,$AS$35,$AS$36,$AS$37,$AS$38,$AS$39) = 0, "", SUM($AS$23,$AS$27,$AS$31,$AS$32,$AS$33,$AS$34,$AS$35,$AS$36,$AS$37,$AS$38,$AS$39))), "", (IF(SUM($AS$23,$AS$27,$AS$31,$AS$32,$AS$33,$AS$34,$AS$35,$AS$36,$AS$37,$AS$38,$AS$39) = 0, "", SUM($AS$23,$AS$27,$AS$31,$AS$32,$AS$33,$AS$34,$AS$35,$AS$36,$AS$37,$AS$38,$AS$39))))</f>
        <v>3929856.4499999997</v>
      </c>
      <c r="AT22">
        <f ca="1">IF(ISERROR(IF(SUM($AT$23,$AT$27,$AT$31,$AT$32,$AT$33,$AT$34,$AT$35,$AT$36,$AT$37,$AT$38,$AT$39) = 0, "", SUM($AT$23,$AT$27,$AT$31,$AT$32,$AT$33,$AT$34,$AT$35,$AT$36,$AT$37,$AT$38,$AT$39))), "", (IF(SUM($AT$23,$AT$27,$AT$31,$AT$32,$AT$33,$AT$34,$AT$35,$AT$36,$AT$37,$AT$38,$AT$39) = 0, "", SUM($AT$23,$AT$27,$AT$31,$AT$32,$AT$33,$AT$34,$AT$35,$AT$36,$AT$37,$AT$38,$AT$39))))</f>
        <v>3414994.1</v>
      </c>
      <c r="AU22">
        <f ca="1">IF(ISERROR(IF(SUM($AU$23,$AU$27,$AU$31,$AU$32,$AU$33,$AU$34,$AU$35,$AU$36,$AU$37,$AU$38,$AU$39) = 0, "", SUM($AU$23,$AU$27,$AU$31,$AU$32,$AU$33,$AU$34,$AU$35,$AU$36,$AU$37,$AU$38,$AU$39))), "", (IF(SUM($AU$23,$AU$27,$AU$31,$AU$32,$AU$33,$AU$34,$AU$35,$AU$36,$AU$37,$AU$38,$AU$39) = 0, "", SUM($AU$23,$AU$27,$AU$31,$AU$32,$AU$33,$AU$34,$AU$35,$AU$36,$AU$37,$AU$38,$AU$39))))</f>
        <v>3273455.7</v>
      </c>
      <c r="AV22">
        <f ca="1">IF(ISERROR(IF(SUM($AV$23,$AV$27,$AV$31,$AV$32,$AV$33,$AV$34,$AV$35,$AV$36,$AV$37,$AV$38,$AV$39) = 0, "", SUM($AV$23,$AV$27,$AV$31,$AV$32,$AV$33,$AV$34,$AV$35,$AV$36,$AV$37,$AV$38,$AV$39))), "", (IF(SUM($AV$23,$AV$27,$AV$31,$AV$32,$AV$33,$AV$34,$AV$35,$AV$36,$AV$37,$AV$38,$AV$39) = 0, "", SUM($AV$23,$AV$27,$AV$31,$AV$32,$AV$33,$AV$34,$AV$35,$AV$36,$AV$37,$AV$38,$AV$39))))</f>
        <v>3352805.65</v>
      </c>
      <c r="AW22">
        <f ca="1">IF(ISERROR(IF(SUM($AW$23,$AW$27,$AW$31,$AW$32,$AW$33,$AW$34,$AW$35,$AW$36,$AW$37,$AW$38,$AW$39) = 0, "", SUM($AW$23,$AW$27,$AW$31,$AW$32,$AW$33,$AW$34,$AW$35,$AW$36,$AW$37,$AW$38,$AW$39))), "", (IF(SUM($AW$23,$AW$27,$AW$31,$AW$32,$AW$33,$AW$34,$AW$35,$AW$36,$AW$37,$AW$38,$AW$39) = 0, "", SUM($AW$23,$AW$27,$AW$31,$AW$32,$AW$33,$AW$34,$AW$35,$AW$36,$AW$37,$AW$38,$AW$39))))</f>
        <v>3113277.25</v>
      </c>
      <c r="AX22">
        <f ca="1">IF(ISERROR(IF(SUM($AX$23,$AX$27,$AX$31,$AX$32,$AX$33,$AX$34,$AX$35,$AX$36,$AX$37,$AX$38,$AX$39) = 0, "", SUM($AX$23,$AX$27,$AX$31,$AX$32,$AX$33,$AX$34,$AX$35,$AX$36,$AX$37,$AX$38,$AX$39))), "", (IF(SUM($AX$23,$AX$27,$AX$31,$AX$32,$AX$33,$AX$34,$AX$35,$AX$36,$AX$37,$AX$38,$AX$39) = 0, "", SUM($AX$23,$AX$27,$AX$31,$AX$32,$AX$33,$AX$34,$AX$35,$AX$36,$AX$37,$AX$38,$AX$39))))</f>
        <v>3295326.9499999997</v>
      </c>
      <c r="AY22">
        <f ca="1">IF(ISERROR(IF(SUM($AY$23,$AY$27,$AY$31,$AY$32,$AY$33,$AY$34,$AY$35,$AY$36,$AY$37,$AY$38,$AY$39) = 0, "", SUM($AY$23,$AY$27,$AY$31,$AY$32,$AY$33,$AY$34,$AY$35,$AY$36,$AY$37,$AY$38,$AY$39))), "", (IF(SUM($AY$23,$AY$27,$AY$31,$AY$32,$AY$33,$AY$34,$AY$35,$AY$36,$AY$37,$AY$38,$AY$39) = 0, "", SUM($AY$23,$AY$27,$AY$31,$AY$32,$AY$33,$AY$34,$AY$35,$AY$36,$AY$37,$AY$38,$AY$39))))</f>
        <v>3780931.2</v>
      </c>
      <c r="AZ22">
        <f ca="1">IF(ISERROR(IF(SUM($AZ$23,$AZ$27,$AZ$31,$AZ$32,$AZ$33,$AZ$34,$AZ$35,$AZ$36,$AZ$37,$AZ$38,$AZ$39) = 0, "", SUM($AZ$23,$AZ$27,$AZ$31,$AZ$32,$AZ$33,$AZ$34,$AZ$35,$AZ$36,$AZ$37,$AZ$38,$AZ$39))), "", (IF(SUM($AZ$23,$AZ$27,$AZ$31,$AZ$32,$AZ$33,$AZ$34,$AZ$35,$AZ$36,$AZ$37,$AZ$38,$AZ$39) = 0, "", SUM($AZ$23,$AZ$27,$AZ$31,$AZ$32,$AZ$33,$AZ$34,$AZ$35,$AZ$36,$AZ$37,$AZ$38,$AZ$39))))</f>
        <v>3693677.8</v>
      </c>
      <c r="BA22">
        <f ca="1">IF(ISERROR(IF(SUM($BA$23,$BA$27,$BA$31,$BA$32,$BA$33,$BA$34,$BA$35,$BA$36,$BA$37,$BA$38,$BA$39) = 0, "", SUM($BA$23,$BA$27,$BA$31,$BA$32,$BA$33,$BA$34,$BA$35,$BA$36,$BA$37,$BA$38,$BA$39))), "", (IF(SUM($BA$23,$BA$27,$BA$31,$BA$32,$BA$33,$BA$34,$BA$35,$BA$36,$BA$37,$BA$38,$BA$39) = 0, "", SUM($BA$23,$BA$27,$BA$31,$BA$32,$BA$33,$BA$34,$BA$35,$BA$36,$BA$37,$BA$38,$BA$39))))</f>
        <v>3602084.75</v>
      </c>
      <c r="BB22">
        <f ca="1">IF(ISERROR(IF(SUM($BB$23,$BB$27,$BB$31,$BB$32,$BB$33,$BB$34,$BB$35,$BB$36,$BB$37,$BB$38,$BB$39) = 0, "", SUM($BB$23,$BB$27,$BB$31,$BB$32,$BB$33,$BB$34,$BB$35,$BB$36,$BB$37,$BB$38,$BB$39))), "", (IF(SUM($BB$23,$BB$27,$BB$31,$BB$32,$BB$33,$BB$34,$BB$35,$BB$36,$BB$37,$BB$38,$BB$39) = 0, "", SUM($BB$23,$BB$27,$BB$31,$BB$32,$BB$33,$BB$34,$BB$35,$BB$36,$BB$37,$BB$38,$BB$39))))</f>
        <v>3986119.3</v>
      </c>
      <c r="BC22">
        <f ca="1">IF(ISERROR(IF(SUM($BC$23,$BC$27,$BC$31,$BC$32,$BC$33,$BC$34,$BC$35,$BC$36,$BC$37,$BC$38,$BC$39) = 0, "", SUM($BC$23,$BC$27,$BC$31,$BC$32,$BC$33,$BC$34,$BC$35,$BC$36,$BC$37,$BC$38,$BC$39))), "", (IF(SUM($BC$23,$BC$27,$BC$31,$BC$32,$BC$33,$BC$34,$BC$35,$BC$36,$BC$37,$BC$38,$BC$39) = 0, "", SUM($BC$23,$BC$27,$BC$31,$BC$32,$BC$33,$BC$34,$BC$35,$BC$36,$BC$37,$BC$38,$BC$39))))</f>
        <v>3948298.45</v>
      </c>
      <c r="BD22">
        <f ca="1">IF(ISERROR(IF(SUM($BD$23,$BD$27,$BD$31,$BD$32,$BD$33,$BD$34,$BD$35,$BD$36,$BD$37,$BD$38,$BD$39) = 0, "", SUM($BD$23,$BD$27,$BD$31,$BD$32,$BD$33,$BD$34,$BD$35,$BD$36,$BD$37,$BD$38,$BD$39))), "", (IF(SUM($BD$23,$BD$27,$BD$31,$BD$32,$BD$33,$BD$34,$BD$35,$BD$36,$BD$37,$BD$38,$BD$39) = 0, "", SUM($BD$23,$BD$27,$BD$31,$BD$32,$BD$33,$BD$34,$BD$35,$BD$36,$BD$37,$BD$38,$BD$39))))</f>
        <v>4146621.05</v>
      </c>
      <c r="BE22">
        <f ca="1">IF(ISERROR(IF(SUM($BE$23,$BE$27,$BE$31,$BE$32,$BE$33,$BE$34,$BE$35,$BE$36,$BE$37,$BE$38,$BE$39) = 0, "", SUM($BE$23,$BE$27,$BE$31,$BE$32,$BE$33,$BE$34,$BE$35,$BE$36,$BE$37,$BE$38,$BE$39))), "", (IF(SUM($BE$23,$BE$27,$BE$31,$BE$32,$BE$33,$BE$34,$BE$35,$BE$36,$BE$37,$BE$38,$BE$39) = 0, "", SUM($BE$23,$BE$27,$BE$31,$BE$32,$BE$33,$BE$34,$BE$35,$BE$36,$BE$37,$BE$38,$BE$39))))</f>
        <v>4067233.85</v>
      </c>
      <c r="BF22">
        <f ca="1">IF(ISERROR(IF(SUM($BF$23,$BF$27,$BF$31,$BF$32,$BF$33,$BF$34,$BF$35,$BF$36,$BF$37,$BF$38,$BF$39) = 0, "", SUM($BF$23,$BF$27,$BF$31,$BF$32,$BF$33,$BF$34,$BF$35,$BF$36,$BF$37,$BF$38,$BF$39))), "", (IF(SUM($BF$23,$BF$27,$BF$31,$BF$32,$BF$33,$BF$34,$BF$35,$BF$36,$BF$37,$BF$38,$BF$39) = 0, "", SUM($BF$23,$BF$27,$BF$31,$BF$32,$BF$33,$BF$34,$BF$35,$BF$36,$BF$37,$BF$38,$BF$39))))</f>
        <v>3847666.4</v>
      </c>
      <c r="BG22">
        <f ca="1">IF(ISERROR(IF(SUM($BG$23,$BG$27,$BG$31,$BG$32,$BG$33,$BG$34,$BG$35,$BG$36,$BG$37,$BG$38,$BG$39) = 0, "", SUM($BG$23,$BG$27,$BG$31,$BG$32,$BG$33,$BG$34,$BG$35,$BG$36,$BG$37,$BG$38,$BG$39))), "", (IF(SUM($BG$23,$BG$27,$BG$31,$BG$32,$BG$33,$BG$34,$BG$35,$BG$36,$BG$37,$BG$38,$BG$39) = 0, "", SUM($BG$23,$BG$27,$BG$31,$BG$32,$BG$33,$BG$34,$BG$35,$BG$36,$BG$37,$BG$38,$BG$39))))</f>
        <v>3900445.8</v>
      </c>
      <c r="BH22">
        <f ca="1">IF(ISERROR(IF(SUM($BH$23,$BH$27,$BH$31,$BH$32,$BH$33,$BH$34,$BH$35,$BH$36,$BH$37,$BH$38,$BH$39) = 0, "", SUM($BH$23,$BH$27,$BH$31,$BH$32,$BH$33,$BH$34,$BH$35,$BH$36,$BH$37,$BH$38,$BH$39))), "", (IF(SUM($BH$23,$BH$27,$BH$31,$BH$32,$BH$33,$BH$34,$BH$35,$BH$36,$BH$37,$BH$38,$BH$39) = 0, "", SUM($BH$23,$BH$27,$BH$31,$BH$32,$BH$33,$BH$34,$BH$35,$BH$36,$BH$37,$BH$38,$BH$39))))</f>
        <v>3789837</v>
      </c>
      <c r="BI22">
        <f ca="1">IF(ISERROR(IF(SUM($BI$23,$BI$27,$BI$31,$BI$32,$BI$33,$BI$34,$BI$35,$BI$36,$BI$37,$BI$38,$BI$39) = 0, "", SUM($BI$23,$BI$27,$BI$31,$BI$32,$BI$33,$BI$34,$BI$35,$BI$36,$BI$37,$BI$38,$BI$39))), "", (IF(SUM($BI$23,$BI$27,$BI$31,$BI$32,$BI$33,$BI$34,$BI$35,$BI$36,$BI$37,$BI$38,$BI$39) = 0, "", SUM($BI$23,$BI$27,$BI$31,$BI$32,$BI$33,$BI$34,$BI$35,$BI$36,$BI$37,$BI$38,$BI$39))))</f>
        <v>3668896.85</v>
      </c>
      <c r="BJ22">
        <f ca="1">IF(ISERROR(IF(SUM($BJ$23,$BJ$27,$BJ$31,$BJ$32,$BJ$33,$BJ$34,$BJ$35,$BJ$36,$BJ$37,$BJ$38,$BJ$39) = 0, "", SUM($BJ$23,$BJ$27,$BJ$31,$BJ$32,$BJ$33,$BJ$34,$BJ$35,$BJ$36,$BJ$37,$BJ$38,$BJ$39))), "", (IF(SUM($BJ$23,$BJ$27,$BJ$31,$BJ$32,$BJ$33,$BJ$34,$BJ$35,$BJ$36,$BJ$37,$BJ$38,$BJ$39) = 0, "", SUM($BJ$23,$BJ$27,$BJ$31,$BJ$32,$BJ$33,$BJ$34,$BJ$35,$BJ$36,$BJ$37,$BJ$38,$BJ$39))))</f>
        <v>3403351.55</v>
      </c>
      <c r="BK22">
        <f ca="1">IF(ISERROR(IF(SUM($BK$23,$BK$27,$BK$31,$BK$32,$BK$33,$BK$34,$BK$35,$BK$36,$BK$37,$BK$38,$BK$39) = 0, "", SUM($BK$23,$BK$27,$BK$31,$BK$32,$BK$33,$BK$34,$BK$35,$BK$36,$BK$37,$BK$38,$BK$39))), "", (IF(SUM($BK$23,$BK$27,$BK$31,$BK$32,$BK$33,$BK$34,$BK$35,$BK$36,$BK$37,$BK$38,$BK$39) = 0, "", SUM($BK$23,$BK$27,$BK$31,$BK$32,$BK$33,$BK$34,$BK$35,$BK$36,$BK$37,$BK$38,$BK$39))))</f>
        <v>3992860.3</v>
      </c>
      <c r="BL22">
        <f ca="1">IF(ISERROR(IF(SUM($BL$23,$BL$27,$BL$31,$BL$32,$BL$33,$BL$34,$BL$35,$BL$36,$BL$37,$BL$38,$BL$39) = 0, "", SUM($BL$23,$BL$27,$BL$31,$BL$32,$BL$33,$BL$34,$BL$35,$BL$36,$BL$37,$BL$38,$BL$39))), "", (IF(SUM($BL$23,$BL$27,$BL$31,$BL$32,$BL$33,$BL$34,$BL$35,$BL$36,$BL$37,$BL$38,$BL$39) = 0, "", SUM($BL$23,$BL$27,$BL$31,$BL$32,$BL$33,$BL$34,$BL$35,$BL$36,$BL$37,$BL$38,$BL$39))))</f>
        <v>4024231.9499999997</v>
      </c>
      <c r="BM22">
        <f ca="1">IF(ISERROR(IF(SUM($BM$23,$BM$27,$BM$31,$BM$32,$BM$33,$BM$34,$BM$35,$BM$36,$BM$37,$BM$38,$BM$39) = 0, "", SUM($BM$23,$BM$27,$BM$31,$BM$32,$BM$33,$BM$34,$BM$35,$BM$36,$BM$37,$BM$38,$BM$39))), "", (IF(SUM($BM$23,$BM$27,$BM$31,$BM$32,$BM$33,$BM$34,$BM$35,$BM$36,$BM$37,$BM$38,$BM$39) = 0, "", SUM($BM$23,$BM$27,$BM$31,$BM$32,$BM$33,$BM$34,$BM$35,$BM$36,$BM$37,$BM$38,$BM$39))))</f>
        <v>3796085.5</v>
      </c>
      <c r="BN22">
        <f ca="1">IF(ISERROR(IF(SUM($BN$23,$BN$27,$BN$31,$BN$32,$BN$33,$BN$34,$BN$35,$BN$36,$BN$37,$BN$38,$BN$39) = 0, "", SUM($BN$23,$BN$27,$BN$31,$BN$32,$BN$33,$BN$34,$BN$35,$BN$36,$BN$37,$BN$38,$BN$39))), "", (IF(SUM($BN$23,$BN$27,$BN$31,$BN$32,$BN$33,$BN$34,$BN$35,$BN$36,$BN$37,$BN$38,$BN$39) = 0, "", SUM($BN$23,$BN$27,$BN$31,$BN$32,$BN$33,$BN$34,$BN$35,$BN$36,$BN$37,$BN$38,$BN$39))))</f>
        <v>4222300.1500000004</v>
      </c>
      <c r="BO22">
        <f ca="1">IF(ISERROR(IF(SUM($BO$23,$BO$27,$BO$31,$BO$32,$BO$33,$BO$34,$BO$35,$BO$36,$BO$37,$BO$38,$BO$39) = 0, "", SUM($BO$23,$BO$27,$BO$31,$BO$32,$BO$33,$BO$34,$BO$35,$BO$36,$BO$37,$BO$38,$BO$39))), "", (IF(SUM($BO$23,$BO$27,$BO$31,$BO$32,$BO$33,$BO$34,$BO$35,$BO$36,$BO$37,$BO$38,$BO$39) = 0, "", SUM($BO$23,$BO$27,$BO$31,$BO$32,$BO$33,$BO$34,$BO$35,$BO$36,$BO$37,$BO$38,$BO$39))))</f>
        <v>3922321.85</v>
      </c>
      <c r="BP22">
        <f ca="1">IF(ISERROR(IF(SUM($BP$23,$BP$27,$BP$31,$BP$32,$BP$33,$BP$34,$BP$35,$BP$36,$BP$37,$BP$38,$BP$39) = 0, "", SUM($BP$23,$BP$27,$BP$31,$BP$32,$BP$33,$BP$34,$BP$35,$BP$36,$BP$37,$BP$38,$BP$39))), "", (IF(SUM($BP$23,$BP$27,$BP$31,$BP$32,$BP$33,$BP$34,$BP$35,$BP$36,$BP$37,$BP$38,$BP$39) = 0, "", SUM($BP$23,$BP$27,$BP$31,$BP$32,$BP$33,$BP$34,$BP$35,$BP$36,$BP$37,$BP$38,$BP$39))))</f>
        <v>3938682.1999999997</v>
      </c>
      <c r="BQ22">
        <f ca="1">IF(ISERROR(IF(SUM($BQ$23,$BQ$27,$BQ$31,$BQ$32,$BQ$33,$BQ$34,$BQ$35,$BQ$36,$BQ$37,$BQ$38,$BQ$39) = 0, "", SUM($BQ$23,$BQ$27,$BQ$31,$BQ$32,$BQ$33,$BQ$34,$BQ$35,$BQ$36,$BQ$37,$BQ$38,$BQ$39))), "", (IF(SUM($BQ$23,$BQ$27,$BQ$31,$BQ$32,$BQ$33,$BQ$34,$BQ$35,$BQ$36,$BQ$37,$BQ$38,$BQ$39) = 0, "", SUM($BQ$23,$BQ$27,$BQ$31,$BQ$32,$BQ$33,$BQ$34,$BQ$35,$BQ$36,$BQ$37,$BQ$38,$BQ$39))))</f>
        <v>3960084.2</v>
      </c>
      <c r="BR22">
        <f ca="1">IF(ISERROR(IF(SUM($BR$23,$BR$27,$BR$31,$BR$32,$BR$33,$BR$34,$BR$35,$BR$36,$BR$37,$BR$38,$BR$39) = 0, "", SUM($BR$23,$BR$27,$BR$31,$BR$32,$BR$33,$BR$34,$BR$35,$BR$36,$BR$37,$BR$38,$BR$39))), "", (IF(SUM($BR$23,$BR$27,$BR$31,$BR$32,$BR$33,$BR$34,$BR$35,$BR$36,$BR$37,$BR$38,$BR$39) = 0, "", SUM($BR$23,$BR$27,$BR$31,$BR$32,$BR$33,$BR$34,$BR$35,$BR$36,$BR$37,$BR$38,$BR$39))))</f>
        <v>3878718.65</v>
      </c>
      <c r="BS22">
        <f ca="1">IF(ISERROR(IF(SUM($BS$23,$BS$27,$BS$31,$BS$32,$BS$33,$BS$34,$BS$35,$BS$36,$BS$37,$BS$38,$BS$39) = 0, "", SUM($BS$23,$BS$27,$BS$31,$BS$32,$BS$33,$BS$34,$BS$35,$BS$36,$BS$37,$BS$38,$BS$39))), "", (IF(SUM($BS$23,$BS$27,$BS$31,$BS$32,$BS$33,$BS$34,$BS$35,$BS$36,$BS$37,$BS$38,$BS$39) = 0, "", SUM($BS$23,$BS$27,$BS$31,$BS$32,$BS$33,$BS$34,$BS$35,$BS$36,$BS$37,$BS$38,$BS$39))))</f>
        <v>3826238.45</v>
      </c>
      <c r="BT22">
        <f ca="1">IF(ISERROR(IF(SUM($BT$23,$BT$27,$BT$31,$BT$32,$BT$33,$BT$34,$BT$35,$BT$36,$BT$37,$BT$38,$BT$39) = 0, "", SUM($BT$23,$BT$27,$BT$31,$BT$32,$BT$33,$BT$34,$BT$35,$BT$36,$BT$37,$BT$38,$BT$39))), "", (IF(SUM($BT$23,$BT$27,$BT$31,$BT$32,$BT$33,$BT$34,$BT$35,$BT$36,$BT$37,$BT$38,$BT$39) = 0, "", SUM($BT$23,$BT$27,$BT$31,$BT$32,$BT$33,$BT$34,$BT$35,$BT$36,$BT$37,$BT$38,$BT$39))))</f>
        <v>3547039</v>
      </c>
      <c r="BU22">
        <f ca="1">IF(ISERROR(IF(SUM($BU$23,$BU$27,$BU$31,$BU$32,$BU$33,$BU$34,$BU$35,$BU$36,$BU$37,$BU$38,$BU$39) = 0, "", SUM($BU$23,$BU$27,$BU$31,$BU$32,$BU$33,$BU$34,$BU$35,$BU$36,$BU$37,$BU$38,$BU$39))), "", (IF(SUM($BU$23,$BU$27,$BU$31,$BU$32,$BU$33,$BU$34,$BU$35,$BU$36,$BU$37,$BU$38,$BU$39) = 0, "", SUM($BU$23,$BU$27,$BU$31,$BU$32,$BU$33,$BU$34,$BU$35,$BU$36,$BU$37,$BU$38,$BU$39))))</f>
        <v>3471319.05</v>
      </c>
      <c r="BV22">
        <f ca="1">IF(ISERROR(IF(SUM($BV$23,$BV$27,$BV$31,$BV$32,$BV$33,$BV$34,$BV$35,$BV$36,$BV$37,$BV$38,$BV$39) = 0, "", SUM($BV$23,$BV$27,$BV$31,$BV$32,$BV$33,$BV$34,$BV$35,$BV$36,$BV$37,$BV$38,$BV$39))), "", (IF(SUM($BV$23,$BV$27,$BV$31,$BV$32,$BV$33,$BV$34,$BV$35,$BV$36,$BV$37,$BV$38,$BV$39) = 0, "", SUM($BV$23,$BV$27,$BV$31,$BV$32,$BV$33,$BV$34,$BV$35,$BV$36,$BV$37,$BV$38,$BV$39))))</f>
        <v>3499360.6500000004</v>
      </c>
      <c r="BW22">
        <f ca="1">IF(ISERROR(IF(SUM($BW$23,$BW$27,$BW$31,$BW$32,$BW$33,$BW$34,$BW$35,$BW$36,$BW$37,$BW$38,$BW$39) = 0, "", SUM($BW$23,$BW$27,$BW$31,$BW$32,$BW$33,$BW$34,$BW$35,$BW$36,$BW$37,$BW$38,$BW$39))), "", (IF(SUM($BW$23,$BW$27,$BW$31,$BW$32,$BW$33,$BW$34,$BW$35,$BW$36,$BW$37,$BW$38,$BW$39) = 0, "", SUM($BW$23,$BW$27,$BW$31,$BW$32,$BW$33,$BW$34,$BW$35,$BW$36,$BW$37,$BW$38,$BW$39))))</f>
        <v>3616776.5</v>
      </c>
      <c r="BX22">
        <f ca="1">IF(ISERROR(IF(SUM($BX$23,$BX$27,$BX$31,$BX$32,$BX$33,$BX$34,$BX$35,$BX$36,$BX$37,$BX$38,$BX$39) = 0, "", SUM($BX$23,$BX$27,$BX$31,$BX$32,$BX$33,$BX$34,$BX$35,$BX$36,$BX$37,$BX$38,$BX$39))), "", (IF(SUM($BX$23,$BX$27,$BX$31,$BX$32,$BX$33,$BX$34,$BX$35,$BX$36,$BX$37,$BX$38,$BX$39) = 0, "", SUM($BX$23,$BX$27,$BX$31,$BX$32,$BX$33,$BX$34,$BX$35,$BX$36,$BX$37,$BX$38,$BX$39))))</f>
        <v>3691122.2</v>
      </c>
      <c r="BY22">
        <f ca="1">IF(ISERROR(IF(SUM($BY$23,$BY$27,$BY$31,$BY$32,$BY$33,$BY$34,$BY$35,$BY$36,$BY$37,$BY$38,$BY$39) = 0, "", SUM($BY$23,$BY$27,$BY$31,$BY$32,$BY$33,$BY$34,$BY$35,$BY$36,$BY$37,$BY$38,$BY$39))), "", (IF(SUM($BY$23,$BY$27,$BY$31,$BY$32,$BY$33,$BY$34,$BY$35,$BY$36,$BY$37,$BY$38,$BY$39) = 0, "", SUM($BY$23,$BY$27,$BY$31,$BY$32,$BY$33,$BY$34,$BY$35,$BY$36,$BY$37,$BY$38,$BY$39))))</f>
        <v>3719812.6</v>
      </c>
      <c r="BZ22">
        <f ca="1">IF(ISERROR(IF(SUM($BZ$23,$BZ$27,$BZ$31,$BZ$32,$BZ$33,$BZ$34,$BZ$35,$BZ$36,$BZ$37,$BZ$38,$BZ$39) = 0, "", SUM($BZ$23,$BZ$27,$BZ$31,$BZ$32,$BZ$33,$BZ$34,$BZ$35,$BZ$36,$BZ$37,$BZ$38,$BZ$39))), "", (IF(SUM($BZ$23,$BZ$27,$BZ$31,$BZ$32,$BZ$33,$BZ$34,$BZ$35,$BZ$36,$BZ$37,$BZ$38,$BZ$39) = 0, "", SUM($BZ$23,$BZ$27,$BZ$31,$BZ$32,$BZ$33,$BZ$34,$BZ$35,$BZ$36,$BZ$37,$BZ$38,$BZ$39))))</f>
        <v>3809121</v>
      </c>
      <c r="CA22">
        <f ca="1">IF(ISERROR(IF(SUM($CA$23,$CA$27,$CA$31,$CA$32,$CA$33,$CA$34,$CA$35,$CA$36,$CA$37,$CA$38,$CA$39) = 0, "", SUM($CA$23,$CA$27,$CA$31,$CA$32,$CA$33,$CA$34,$CA$35,$CA$36,$CA$37,$CA$38,$CA$39))), "", (IF(SUM($CA$23,$CA$27,$CA$31,$CA$32,$CA$33,$CA$34,$CA$35,$CA$36,$CA$37,$CA$38,$CA$39) = 0, "", SUM($CA$23,$CA$27,$CA$31,$CA$32,$CA$33,$CA$34,$CA$35,$CA$36,$CA$37,$CA$38,$CA$39))))</f>
        <v>3731875.4</v>
      </c>
      <c r="CB22">
        <f ca="1">IF(ISERROR(IF(SUM($CB$23,$CB$27,$CB$31,$CB$32,$CB$33,$CB$34,$CB$35,$CB$36,$CB$37,$CB$38,$CB$39) = 0, "", SUM($CB$23,$CB$27,$CB$31,$CB$32,$CB$33,$CB$34,$CB$35,$CB$36,$CB$37,$CB$38,$CB$39))), "", (IF(SUM($CB$23,$CB$27,$CB$31,$CB$32,$CB$33,$CB$34,$CB$35,$CB$36,$CB$37,$CB$38,$CB$39) = 0, "", SUM($CB$23,$CB$27,$CB$31,$CB$32,$CB$33,$CB$34,$CB$35,$CB$36,$CB$37,$CB$38,$CB$39))))</f>
        <v>3835807.65</v>
      </c>
      <c r="CC22">
        <f ca="1">IF(ISERROR(IF(SUM($CC$23,$CC$27,$CC$31,$CC$32,$CC$33,$CC$34,$CC$35,$CC$36,$CC$37,$CC$38,$CC$39) = 0, "", SUM($CC$23,$CC$27,$CC$31,$CC$32,$CC$33,$CC$34,$CC$35,$CC$36,$CC$37,$CC$38,$CC$39))), "", (IF(SUM($CC$23,$CC$27,$CC$31,$CC$32,$CC$33,$CC$34,$CC$35,$CC$36,$CC$37,$CC$38,$CC$39) = 0, "", SUM($CC$23,$CC$27,$CC$31,$CC$32,$CC$33,$CC$34,$CC$35,$CC$36,$CC$37,$CC$38,$CC$39))))</f>
        <v>3761829.25</v>
      </c>
      <c r="CD22">
        <f ca="1">IF(ISERROR(IF(SUM($CD$23,$CD$27,$CD$31,$CD$32,$CD$33,$CD$34,$CD$35,$CD$36,$CD$37,$CD$38,$CD$39) = 0, "", SUM($CD$23,$CD$27,$CD$31,$CD$32,$CD$33,$CD$34,$CD$35,$CD$36,$CD$37,$CD$38,$CD$39))), "", (IF(SUM($CD$23,$CD$27,$CD$31,$CD$32,$CD$33,$CD$34,$CD$35,$CD$36,$CD$37,$CD$38,$CD$39) = 0, "", SUM($CD$23,$CD$27,$CD$31,$CD$32,$CD$33,$CD$34,$CD$35,$CD$36,$CD$37,$CD$38,$CD$39))))</f>
        <v>3659150.45</v>
      </c>
      <c r="CE22">
        <f ca="1">IF(ISERROR(IF(SUM($CE$23,$CE$27,$CE$31,$CE$32,$CE$33,$CE$34,$CE$35,$CE$36,$CE$37,$CE$38,$CE$39) = 0, "", SUM($CE$23,$CE$27,$CE$31,$CE$32,$CE$33,$CE$34,$CE$35,$CE$36,$CE$37,$CE$38,$CE$39))), "", (IF(SUM($CE$23,$CE$27,$CE$31,$CE$32,$CE$33,$CE$34,$CE$35,$CE$36,$CE$37,$CE$38,$CE$39) = 0, "", SUM($CE$23,$CE$27,$CE$31,$CE$32,$CE$33,$CE$34,$CE$35,$CE$36,$CE$37,$CE$38,$CE$39))))</f>
        <v>3739241.4000000004</v>
      </c>
      <c r="CF22">
        <f ca="1">IF(ISERROR(IF(SUM($CF$23,$CF$27,$CF$31,$CF$32,$CF$33,$CF$34,$CF$35,$CF$36,$CF$37,$CF$38,$CF$39) = 0, "", SUM($CF$23,$CF$27,$CF$31,$CF$32,$CF$33,$CF$34,$CF$35,$CF$36,$CF$37,$CF$38,$CF$39))), "", (IF(SUM($CF$23,$CF$27,$CF$31,$CF$32,$CF$33,$CF$34,$CF$35,$CF$36,$CF$37,$CF$38,$CF$39) = 0, "", SUM($CF$23,$CF$27,$CF$31,$CF$32,$CF$33,$CF$34,$CF$35,$CF$36,$CF$37,$CF$38,$CF$39))))</f>
        <v>3428068.8</v>
      </c>
      <c r="CG22">
        <f ca="1">IF(ISERROR(IF(SUM($CG$23,$CG$27,$CG$31,$CG$32,$CG$33,$CG$34,$CG$35,$CG$36,$CG$37,$CG$38,$CG$39) = 0, "", SUM($CG$23,$CG$27,$CG$31,$CG$32,$CG$33,$CG$34,$CG$35,$CG$36,$CG$37,$CG$38,$CG$39))), "", (IF(SUM($CG$23,$CG$27,$CG$31,$CG$32,$CG$33,$CG$34,$CG$35,$CG$36,$CG$37,$CG$38,$CG$39) = 0, "", SUM($CG$23,$CG$27,$CG$31,$CG$32,$CG$33,$CG$34,$CG$35,$CG$36,$CG$37,$CG$38,$CG$39))))</f>
        <v>3464736.5</v>
      </c>
      <c r="CH22">
        <f ca="1">IF(ISERROR(IF(SUM($CH$23,$CH$27,$CH$31,$CH$32,$CH$33,$CH$34,$CH$35,$CH$36,$CH$37,$CH$38,$CH$39) = 0, "", SUM($CH$23,$CH$27,$CH$31,$CH$32,$CH$33,$CH$34,$CH$35,$CH$36,$CH$37,$CH$38,$CH$39))), "", (IF(SUM($CH$23,$CH$27,$CH$31,$CH$32,$CH$33,$CH$34,$CH$35,$CH$36,$CH$37,$CH$38,$CH$39) = 0, "", SUM($CH$23,$CH$27,$CH$31,$CH$32,$CH$33,$CH$34,$CH$35,$CH$36,$CH$37,$CH$38,$CH$39))))</f>
        <v>3153583.35</v>
      </c>
      <c r="CI22">
        <f ca="1">IF(ISERROR(IF(SUM($CI$23,$CI$27,$CI$31,$CI$32,$CI$33,$CI$34,$CI$35,$CI$36,$CI$37,$CI$38,$CI$39) = 0, "", SUM($CI$23,$CI$27,$CI$31,$CI$32,$CI$33,$CI$34,$CI$35,$CI$36,$CI$37,$CI$38,$CI$39))), "", (IF(SUM($CI$23,$CI$27,$CI$31,$CI$32,$CI$33,$CI$34,$CI$35,$CI$36,$CI$37,$CI$38,$CI$39) = 0, "", SUM($CI$23,$CI$27,$CI$31,$CI$32,$CI$33,$CI$34,$CI$35,$CI$36,$CI$37,$CI$38,$CI$39))))</f>
        <v>3577207.15</v>
      </c>
      <c r="CJ22">
        <f ca="1">IF(ISERROR(IF(SUM($CJ$23,$CJ$27,$CJ$31,$CJ$32,$CJ$33,$CJ$34,$CJ$35,$CJ$36,$CJ$37,$CJ$38,$CJ$39) = 0, "", SUM($CJ$23,$CJ$27,$CJ$31,$CJ$32,$CJ$33,$CJ$34,$CJ$35,$CJ$36,$CJ$37,$CJ$38,$CJ$39))), "", (IF(SUM($CJ$23,$CJ$27,$CJ$31,$CJ$32,$CJ$33,$CJ$34,$CJ$35,$CJ$36,$CJ$37,$CJ$38,$CJ$39) = 0, "", SUM($CJ$23,$CJ$27,$CJ$31,$CJ$32,$CJ$33,$CJ$34,$CJ$35,$CJ$36,$CJ$37,$CJ$38,$CJ$39))))</f>
        <v>3394612.85</v>
      </c>
      <c r="CK22">
        <f ca="1">IF(ISERROR(IF(SUM($CK$23,$CK$27,$CK$31,$CK$32,$CK$33,$CK$34,$CK$35,$CK$36,$CK$37,$CK$38,$CK$39) = 0, "", SUM($CK$23,$CK$27,$CK$31,$CK$32,$CK$33,$CK$34,$CK$35,$CK$36,$CK$37,$CK$38,$CK$39))), "", (IF(SUM($CK$23,$CK$27,$CK$31,$CK$32,$CK$33,$CK$34,$CK$35,$CK$36,$CK$37,$CK$38,$CK$39) = 0, "", SUM($CK$23,$CK$27,$CK$31,$CK$32,$CK$33,$CK$34,$CK$35,$CK$36,$CK$37,$CK$38,$CK$39))))</f>
        <v>3518010.45</v>
      </c>
      <c r="CL22" t="str">
        <f>""</f>
        <v/>
      </c>
      <c r="CM22">
        <f>3395648.1</f>
        <v>3395648.1</v>
      </c>
      <c r="CN22">
        <f>3899702.45</f>
        <v>3899702.45</v>
      </c>
      <c r="CO22">
        <f>3695401.25</f>
        <v>3695401.25</v>
      </c>
      <c r="CP22">
        <f>3783510.2</f>
        <v>3783510.2</v>
      </c>
      <c r="CQ22">
        <f>3932423.75</f>
        <v>3932423.75</v>
      </c>
      <c r="CR22">
        <f>3701940.5</f>
        <v>3701940.5</v>
      </c>
      <c r="CS22">
        <f>3443046.75</f>
        <v>3443046.75</v>
      </c>
      <c r="CT22">
        <f>3246269.65</f>
        <v>3246269.65</v>
      </c>
      <c r="CU22">
        <f>3697718.2</f>
        <v>3697718.2</v>
      </c>
      <c r="CV22">
        <f>3686560.5</f>
        <v>3686560.5</v>
      </c>
      <c r="CW22">
        <f>3780337</f>
        <v>3780337</v>
      </c>
      <c r="CX22">
        <f>4200854.7</f>
        <v>4200854.7</v>
      </c>
      <c r="CY22">
        <f>4191747</f>
        <v>4191747</v>
      </c>
      <c r="CZ22">
        <f>4610199.7</f>
        <v>4610199.7</v>
      </c>
      <c r="DA22">
        <f>4405019.3</f>
        <v>4405019.3</v>
      </c>
      <c r="DB22">
        <f>4522571.8</f>
        <v>4522571.8</v>
      </c>
      <c r="DC22">
        <f>4816115.65</f>
        <v>4816115.6500000004</v>
      </c>
      <c r="DD22">
        <f>4542067.35</f>
        <v>4542067.3499999996</v>
      </c>
      <c r="DE22">
        <f>4687585.55</f>
        <v>4687585.55</v>
      </c>
      <c r="DF22">
        <f>4223221.4</f>
        <v>4223221.4000000004</v>
      </c>
      <c r="DG22">
        <f>4251604.85</f>
        <v>4251604.8499999996</v>
      </c>
      <c r="DH22">
        <f>4168059.75</f>
        <v>4168059.75</v>
      </c>
      <c r="DI22">
        <f>4225487</f>
        <v>4225487</v>
      </c>
      <c r="DJ22">
        <f>4522769.25</f>
        <v>4522769.25</v>
      </c>
      <c r="DK22">
        <f>4313633.1</f>
        <v>4313633.0999999996</v>
      </c>
      <c r="DL22">
        <f>4571948.9</f>
        <v>4571948.9000000004</v>
      </c>
      <c r="DM22">
        <f>4360891.4</f>
        <v>4360891.4000000004</v>
      </c>
      <c r="DN22">
        <f>4279195.25</f>
        <v>4279195.25</v>
      </c>
      <c r="DO22">
        <f>4801242.25</f>
        <v>4801242.25</v>
      </c>
      <c r="DP22">
        <f>4349971.1</f>
        <v>4349971.0999999996</v>
      </c>
      <c r="DQ22">
        <f>4655106.4</f>
        <v>4655106.4000000004</v>
      </c>
      <c r="DR22">
        <f>3831778.4</f>
        <v>3831778.4</v>
      </c>
      <c r="DS22">
        <f>4188856.65</f>
        <v>4188856.65</v>
      </c>
      <c r="DT22">
        <f>4280972.3</f>
        <v>4280972.3</v>
      </c>
      <c r="DU22">
        <f>4300730.1</f>
        <v>4300730.0999999996</v>
      </c>
      <c r="DV22">
        <f>4553359.55</f>
        <v>4553359.55</v>
      </c>
      <c r="DW22">
        <f>4233934.8</f>
        <v>4233934.8</v>
      </c>
      <c r="DX22">
        <f>4224982.4</f>
        <v>4224982.4000000004</v>
      </c>
      <c r="DY22">
        <f>3929856.45</f>
        <v>3929856.45</v>
      </c>
      <c r="DZ22">
        <f>3414994.1</f>
        <v>3414994.1</v>
      </c>
      <c r="EA22">
        <f>3273455.7</f>
        <v>3273455.7</v>
      </c>
      <c r="EB22">
        <f>3352805.65</f>
        <v>3352805.65</v>
      </c>
      <c r="EC22">
        <f>3113277.25</f>
        <v>3113277.25</v>
      </c>
      <c r="ED22">
        <f>3295326.95</f>
        <v>3295326.95</v>
      </c>
      <c r="EE22">
        <f>3780931.2</f>
        <v>3780931.2</v>
      </c>
      <c r="EF22">
        <f>3693677.8</f>
        <v>3693677.8</v>
      </c>
      <c r="EG22">
        <f>3602084.75</f>
        <v>3602084.75</v>
      </c>
      <c r="EH22">
        <f>3986119.3</f>
        <v>3986119.3</v>
      </c>
      <c r="EI22">
        <f>3948298.45</f>
        <v>3948298.45</v>
      </c>
      <c r="EJ22">
        <f>4146621.05</f>
        <v>4146621.05</v>
      </c>
      <c r="EK22">
        <f>4067233.85</f>
        <v>4067233.85</v>
      </c>
      <c r="EL22">
        <f>3847666.4</f>
        <v>3847666.4</v>
      </c>
      <c r="EM22">
        <f>3900445.8</f>
        <v>3900445.8</v>
      </c>
      <c r="EN22">
        <f>3789837</f>
        <v>3789837</v>
      </c>
      <c r="EO22">
        <f>3668896.85</f>
        <v>3668896.85</v>
      </c>
      <c r="EP22">
        <f>3403351.55</f>
        <v>3403351.55</v>
      </c>
      <c r="EQ22">
        <f>3992860.3</f>
        <v>3992860.3</v>
      </c>
      <c r="ER22">
        <f>4024231.95</f>
        <v>4024231.95</v>
      </c>
      <c r="ES22">
        <f>3796085.5</f>
        <v>3796085.5</v>
      </c>
      <c r="ET22">
        <f>4222300.15</f>
        <v>4222300.1500000004</v>
      </c>
      <c r="EU22">
        <f>3922321.85</f>
        <v>3922321.85</v>
      </c>
      <c r="EV22">
        <f>3938682.2</f>
        <v>3938682.2</v>
      </c>
      <c r="EW22">
        <f>3960084.2</f>
        <v>3960084.2</v>
      </c>
      <c r="EX22">
        <f>3878718.65</f>
        <v>3878718.65</v>
      </c>
      <c r="EY22">
        <f>3826238.45</f>
        <v>3826238.45</v>
      </c>
      <c r="EZ22">
        <f>3547039</f>
        <v>3547039</v>
      </c>
      <c r="FA22">
        <f>3471319.05</f>
        <v>3471319.05</v>
      </c>
      <c r="FB22">
        <f>3499360.65</f>
        <v>3499360.65</v>
      </c>
      <c r="FC22">
        <f>3616776.5</f>
        <v>3616776.5</v>
      </c>
      <c r="FD22">
        <f>3691122.2</f>
        <v>3691122.2</v>
      </c>
      <c r="FE22">
        <f>3719812.6</f>
        <v>3719812.6</v>
      </c>
      <c r="FF22">
        <f>3809121</f>
        <v>3809121</v>
      </c>
      <c r="FG22">
        <f>3731875.4</f>
        <v>3731875.4</v>
      </c>
      <c r="FH22">
        <f>3835807.65</f>
        <v>3835807.65</v>
      </c>
      <c r="FI22">
        <f>3761829.25</f>
        <v>3761829.25</v>
      </c>
      <c r="FJ22">
        <f>3659150.45</f>
        <v>3659150.45</v>
      </c>
      <c r="FK22">
        <f>3739241.4</f>
        <v>3739241.4</v>
      </c>
      <c r="FL22">
        <f>3428068.8</f>
        <v>3428068.8</v>
      </c>
      <c r="FM22">
        <f>3464736.5</f>
        <v>3464736.5</v>
      </c>
      <c r="FN22">
        <f>3153583.35</f>
        <v>3153583.35</v>
      </c>
      <c r="FO22">
        <f>3577207.15</f>
        <v>3577207.15</v>
      </c>
      <c r="FP22">
        <f>3394612.85</f>
        <v>3394612.85</v>
      </c>
      <c r="FQ22">
        <f>3518010.45</f>
        <v>3518010.45</v>
      </c>
    </row>
    <row r="23" spans="1:173" x14ac:dyDescent="0.25">
      <c r="A23" t="str">
        <f>"    Port of Los Angeles (TEU)"</f>
        <v xml:space="preserve">    Port of Los Angeles (TEU)</v>
      </c>
      <c r="B23" t="str">
        <f>""</f>
        <v/>
      </c>
      <c r="E23" t="str">
        <f>"Sum"</f>
        <v>Sum</v>
      </c>
      <c r="F23" t="str">
        <f ca="1">IF(ISERROR(IF(SUM($F$24:$F$26) = 0, "", SUM($F$24:$F$26))), "", (IF(SUM($F$24:$F$26) = 0, "", SUM($F$24:$F$26))))</f>
        <v/>
      </c>
      <c r="G23">
        <f ca="1">IF(ISERROR(IF(SUM($G$24:$G$26) = 0, "", SUM($G$24:$G$26))), "", (IF(SUM($G$24:$G$26) = 0, "", SUM($G$24:$G$26))))</f>
        <v>748440.1</v>
      </c>
      <c r="H23">
        <f ca="1">IF(ISERROR(IF(SUM($H$24:$H$26) = 0, "", SUM($H$24:$H$26))), "", (IF(SUM($H$24:$H$26) = 0, "", SUM($H$24:$H$26))))</f>
        <v>828015.7</v>
      </c>
      <c r="I23">
        <f ca="1">IF(ISERROR(IF(SUM($I$24:$I$26) = 0, "", SUM($I$24:$I$26))), "", (IF(SUM($I$24:$I$26) = 0, "", SUM($I$24:$I$26))))</f>
        <v>684290.75</v>
      </c>
      <c r="J23">
        <f ca="1">IF(ISERROR(IF(SUM($J$24:$J$26) = 0, "", SUM($J$24:$J$26))), "", (IF(SUM($J$24:$J$26) = 0, "", SUM($J$24:$J$26))))</f>
        <v>833035.45</v>
      </c>
      <c r="K23">
        <f ca="1">IF(ISERROR(IF(SUM($K$24:$K$26) = 0, "", SUM($K$24:$K$26))), "", (IF(SUM($K$24:$K$26) = 0, "", SUM($K$24:$K$26))))</f>
        <v>779140</v>
      </c>
      <c r="L23">
        <f ca="1">IF(ISERROR(IF(SUM($L$24:$L$26) = 0, "", SUM($L$24:$L$26))), "", (IF(SUM($L$24:$L$26) = 0, "", SUM($L$24:$L$26))))</f>
        <v>688109.75</v>
      </c>
      <c r="M23">
        <f ca="1">IF(ISERROR(IF(SUM($M$24:$M$26) = 0, "", SUM($M$24:$M$26))), "", (IF(SUM($M$24:$M$26) = 0, "", SUM($M$24:$M$26))))</f>
        <v>623233.75</v>
      </c>
      <c r="N23">
        <f ca="1">IF(ISERROR(IF(SUM($N$24:$N$26) = 0, "", SUM($N$24:$N$26))), "", (IF(SUM($N$24:$N$26) = 0, "", SUM($N$24:$N$26))))</f>
        <v>487846.15</v>
      </c>
      <c r="O23">
        <f ca="1">IF(ISERROR(IF(SUM($O$24:$O$26) = 0, "", SUM($O$24:$O$26))), "", (IF(SUM($O$24:$O$26) = 0, "", SUM($O$24:$O$26))))</f>
        <v>726013.95</v>
      </c>
      <c r="P23">
        <f ca="1">IF(ISERROR(IF(SUM($P$24:$P$26) = 0, "", SUM($P$24:$P$26))), "", (IF(SUM($P$24:$P$26) = 0, "", SUM($P$24:$P$26))))</f>
        <v>728871.5</v>
      </c>
      <c r="Q23">
        <f ca="1">IF(ISERROR(IF(SUM($Q$24:$Q$26) = 0, "", SUM($Q$24:$Q$26))), "", (IF(SUM($Q$24:$Q$26) = 0, "", SUM($Q$24:$Q$26))))</f>
        <v>639343.5</v>
      </c>
      <c r="R23">
        <f ca="1">IF(ISERROR(IF(SUM($R$24:$R$26) = 0, "", SUM($R$24:$R$26))), "", (IF(SUM($R$24:$R$26) = 0, "", SUM($R$24:$R$26))))</f>
        <v>678429.45</v>
      </c>
      <c r="S23">
        <f ca="1">IF(ISERROR(IF(SUM($S$24:$S$26) = 0, "", SUM($S$24:$S$26))), "", (IF(SUM($S$24:$S$26) = 0, "", SUM($S$24:$S$26))))</f>
        <v>709873.3</v>
      </c>
      <c r="T23">
        <f ca="1">IF(ISERROR(IF(SUM($T$24:$T$26) = 0, "", SUM($T$24:$T$26))), "", (IF(SUM($T$24:$T$26) = 0, "", SUM($T$24:$T$26))))</f>
        <v>805314.7</v>
      </c>
      <c r="U23">
        <f ca="1">IF(ISERROR(IF(SUM($U$24:$U$26) = 0, "", SUM($U$24:$U$26))), "", (IF(SUM($U$24:$U$26) = 0, "", SUM($U$24:$U$26))))</f>
        <v>935423.8</v>
      </c>
      <c r="V23">
        <f ca="1">IF(ISERROR(IF(SUM($V$24:$V$26) = 0, "", SUM($V$24:$V$26))), "", (IF(SUM($V$24:$V$26) = 0, "", SUM($V$24:$V$26))))</f>
        <v>876611.3</v>
      </c>
      <c r="W23">
        <f ca="1">IF(ISERROR(IF(SUM($W$24:$W$26) = 0, "", SUM($W$24:$W$26))), "", (IF(SUM($W$24:$W$26) = 0, "", SUM($W$24:$W$26))))</f>
        <v>967900.15</v>
      </c>
      <c r="X23">
        <f ca="1">IF(ISERROR(IF(SUM($X$24:$X$26) = 0, "", SUM($X$24:$X$26))), "", (IF(SUM($X$24:$X$26) = 0, "", SUM($X$24:$X$26))))</f>
        <v>887357.35000000009</v>
      </c>
      <c r="Y23">
        <f ca="1">IF(ISERROR(IF(SUM($Y$24:$Y$26) = 0, "", SUM($Y$24:$Y$26))), "", (IF(SUM($Y$24:$Y$26) = 0, "", SUM($Y$24:$Y$26))))</f>
        <v>958674.05</v>
      </c>
      <c r="Z23">
        <f ca="1">IF(ISERROR(IF(SUM($Z$24:$Z$26) = 0, "", SUM($Z$24:$Z$26))), "", (IF(SUM($Z$24:$Z$26) = 0, "", SUM($Z$24:$Z$26))))</f>
        <v>857764.39999999991</v>
      </c>
      <c r="AA23">
        <f ca="1">IF(ISERROR(IF(SUM($AA$24:$AA$26) = 0, "", SUM($AA$24:$AA$26))), "", (IF(SUM($AA$24:$AA$26) = 0, "", SUM($AA$24:$AA$26))))</f>
        <v>865595.35</v>
      </c>
      <c r="AB23">
        <f ca="1">IF(ISERROR(IF(SUM($AB$24:$AB$26) = 0, "", SUM($AB$24:$AB$26))), "", (IF(SUM($AB$24:$AB$26) = 0, "", SUM($AB$24:$AB$26))))</f>
        <v>786588.75</v>
      </c>
      <c r="AC23">
        <f ca="1">IF(ISERROR(IF(SUM($AC$24:$AC$26) = 0, "", SUM($AC$24:$AC$26))), "", (IF(SUM($AC$24:$AC$26) = 0, "", SUM($AC$24:$AC$26))))</f>
        <v>811459.9</v>
      </c>
      <c r="AD23">
        <f ca="1">IF(ISERROR(IF(SUM($AD$24:$AD$26) = 0, "", SUM($AD$24:$AD$26))), "", (IF(SUM($AD$24:$AD$26) = 0, "", SUM($AD$24:$AD$26))))</f>
        <v>902643.9</v>
      </c>
      <c r="AE23">
        <f ca="1">IF(ISERROR(IF(SUM($AE$24:$AE$26) = 0, "", SUM($AE$24:$AE$26))), "", (IF(SUM($AE$24:$AE$26) = 0, "", SUM($AE$24:$AE$26))))</f>
        <v>903864.60000000009</v>
      </c>
      <c r="AF23">
        <f ca="1">IF(ISERROR(IF(SUM($AF$24:$AF$26) = 0, "", SUM($AF$24:$AF$26))), "", (IF(SUM($AF$24:$AF$26) = 0, "", SUM($AF$24:$AF$26))))</f>
        <v>954377.35000000009</v>
      </c>
      <c r="AG23">
        <f ca="1">IF(ISERROR(IF(SUM($AG$24:$AG$26) = 0, "", SUM($AG$24:$AG$26))), "", (IF(SUM($AG$24:$AG$26) = 0, "", SUM($AG$24:$AG$26))))</f>
        <v>890799.8</v>
      </c>
      <c r="AH23">
        <f ca="1">IF(ISERROR(IF(SUM($AH$24:$AH$26) = 0, "", SUM($AH$24:$AH$26))), "", (IF(SUM($AH$24:$AH$26) = 0, "", SUM($AH$24:$AH$26))))</f>
        <v>876430.35</v>
      </c>
      <c r="AI23">
        <f ca="1">IF(ISERROR(IF(SUM($AI$24:$AI$26) = 0, "", SUM($AI$24:$AI$26))), "", (IF(SUM($AI$24:$AI$26) = 0, "", SUM($AI$24:$AI$26))))</f>
        <v>1012047.85</v>
      </c>
      <c r="AJ23">
        <f ca="1">IF(ISERROR(IF(SUM($AJ$24:$AJ$26) = 0, "", SUM($AJ$24:$AJ$26))), "", (IF(SUM($AJ$24:$AJ$26) = 0, "", SUM($AJ$24:$AJ$26))))</f>
        <v>946966.35</v>
      </c>
      <c r="AK23">
        <f ca="1">IF(ISERROR(IF(SUM($AK$24:$AK$26) = 0, "", SUM($AK$24:$AK$26))), "", (IF(SUM($AK$24:$AK$26) = 0, "", SUM($AK$24:$AK$26))))</f>
        <v>957599.25</v>
      </c>
      <c r="AL23">
        <f ca="1">IF(ISERROR(IF(SUM($AL$24:$AL$26) = 0, "", SUM($AL$24:$AL$26))), "", (IF(SUM($AL$24:$AL$26) = 0, "", SUM($AL$24:$AL$26))))</f>
        <v>799315.4</v>
      </c>
      <c r="AM23">
        <f ca="1">IF(ISERROR(IF(SUM($AM$24:$AM$26) = 0, "", SUM($AM$24:$AM$26))), "", (IF(SUM($AM$24:$AM$26) = 0, "", SUM($AM$24:$AM$26))))</f>
        <v>835516.2</v>
      </c>
      <c r="AN23">
        <f ca="1">IF(ISERROR(IF(SUM($AN$24:$AN$26) = 0, "", SUM($AN$24:$AN$26))), "", (IF(SUM($AN$24:$AN$26) = 0, "", SUM($AN$24:$AN$26))))</f>
        <v>879186.05</v>
      </c>
      <c r="AO23">
        <f ca="1">IF(ISERROR(IF(SUM($AO$24:$AO$26) = 0, "", SUM($AO$24:$AO$26))), "", (IF(SUM($AO$24:$AO$26) = 0, "", SUM($AO$24:$AO$26))))</f>
        <v>889746.14999999991</v>
      </c>
      <c r="AP23">
        <f ca="1">IF(ISERROR(IF(SUM($AP$24:$AP$26) = 0, "", SUM($AP$24:$AP$26))), "", (IF(SUM($AP$24:$AP$26) = 0, "", SUM($AP$24:$AP$26))))</f>
        <v>980728.54999999993</v>
      </c>
      <c r="AQ23">
        <f ca="1">IF(ISERROR(IF(SUM($AQ$24:$AQ$26) = 0, "", SUM($AQ$24:$AQ$26))), "", (IF(SUM($AQ$24:$AQ$26) = 0, "", SUM($AQ$24:$AQ$26))))</f>
        <v>883624.8</v>
      </c>
      <c r="AR23">
        <f ca="1">IF(ISERROR(IF(SUM($AR$24:$AR$26) = 0, "", SUM($AR$24:$AR$26))), "", (IF(SUM($AR$24:$AR$26) = 0, "", SUM($AR$24:$AR$26))))</f>
        <v>961832.75</v>
      </c>
      <c r="AS23">
        <f ca="1">IF(ISERROR(IF(SUM($AS$24:$AS$26) = 0, "", SUM($AS$24:$AS$26))), "", (IF(SUM($AS$24:$AS$26) = 0, "", SUM($AS$24:$AS$26))))</f>
        <v>856389.15</v>
      </c>
      <c r="AT23">
        <f ca="1">IF(ISERROR(IF(SUM($AT$24:$AT$26) = 0, "", SUM($AT$24:$AT$26))), "", (IF(SUM($AT$24:$AT$26) = 0, "", SUM($AT$24:$AT$26))))</f>
        <v>691475.4</v>
      </c>
      <c r="AU23">
        <f ca="1">IF(ISERROR(IF(SUM($AU$24:$AU$26) = 0, "", SUM($AU$24:$AU$26))), "", (IF(SUM($AU$24:$AU$26) = 0, "", SUM($AU$24:$AU$26))))</f>
        <v>581664.75</v>
      </c>
      <c r="AV23">
        <f ca="1">IF(ISERROR(IF(SUM($AV$24:$AV$26) = 0, "", SUM($AV$24:$AV$26))), "", (IF(SUM($AV$24:$AV$26) = 0, "", SUM($AV$24:$AV$26))))</f>
        <v>688999</v>
      </c>
      <c r="AW23">
        <f ca="1">IF(ISERROR(IF(SUM($AW$24:$AW$26) = 0, "", SUM($AW$24:$AW$26))), "", (IF(SUM($AW$24:$AW$26) = 0, "", SUM($AW$24:$AW$26))))</f>
        <v>449568.3</v>
      </c>
      <c r="AX23">
        <f ca="1">IF(ISERROR(IF(SUM($AX$24:$AX$26) = 0, "", SUM($AX$24:$AX$26))), "", (IF(SUM($AX$24:$AX$26) = 0, "", SUM($AX$24:$AX$26))))</f>
        <v>544037.30000000005</v>
      </c>
      <c r="AY23">
        <f ca="1">IF(ISERROR(IF(SUM($AY$24:$AY$26) = 0, "", SUM($AY$24:$AY$26))), "", (IF(SUM($AY$24:$AY$26) = 0, "", SUM($AY$24:$AY$26))))</f>
        <v>806143.75</v>
      </c>
      <c r="AZ23">
        <f ca="1">IF(ISERROR(IF(SUM($AZ$24:$AZ$26) = 0, "", SUM($AZ$24:$AZ$26))), "", (IF(SUM($AZ$24:$AZ$26) = 0, "", SUM($AZ$24:$AZ$26))))</f>
        <v>746749.75</v>
      </c>
      <c r="BA23">
        <f ca="1">IF(ISERROR(IF(SUM($BA$24:$BA$26) = 0, "", SUM($BA$24:$BA$26))), "", (IF(SUM($BA$24:$BA$26) = 0, "", SUM($BA$24:$BA$26))))</f>
        <v>728917.9</v>
      </c>
      <c r="BB23">
        <f ca="1">IF(ISERROR(IF(SUM($BB$24:$BB$26) = 0, "", SUM($BB$24:$BB$26))), "", (IF(SUM($BB$24:$BB$26) = 0, "", SUM($BB$24:$BB$26))))</f>
        <v>770188.5</v>
      </c>
      <c r="BC23">
        <f ca="1">IF(ISERROR(IF(SUM($BC$24:$BC$26) = 0, "", SUM($BC$24:$BC$26))), "", (IF(SUM($BC$24:$BC$26) = 0, "", SUM($BC$24:$BC$26))))</f>
        <v>779902.75</v>
      </c>
      <c r="BD23">
        <f ca="1">IF(ISERROR(IF(SUM($BD$24:$BD$26) = 0, "", SUM($BD$24:$BD$26))), "", (IF(SUM($BD$24:$BD$26) = 0, "", SUM($BD$24:$BD$26))))</f>
        <v>861080.8</v>
      </c>
      <c r="BE23">
        <f ca="1">IF(ISERROR(IF(SUM($BE$24:$BE$26) = 0, "", SUM($BE$24:$BE$26))), "", (IF(SUM($BE$24:$BE$26) = 0, "", SUM($BE$24:$BE$26))))</f>
        <v>912154.14999999991</v>
      </c>
      <c r="BF23">
        <f ca="1">IF(ISERROR(IF(SUM($BF$24:$BF$26) = 0, "", SUM($BF$24:$BF$26))), "", (IF(SUM($BF$24:$BF$26) = 0, "", SUM($BF$24:$BF$26))))</f>
        <v>764777.25</v>
      </c>
      <c r="BG23">
        <f ca="1">IF(ISERROR(IF(SUM($BG$24:$BG$26) = 0, "", SUM($BG$24:$BG$26))), "", (IF(SUM($BG$24:$BG$26) = 0, "", SUM($BG$24:$BG$26))))</f>
        <v>828662.15</v>
      </c>
      <c r="BH23">
        <f ca="1">IF(ISERROR(IF(SUM($BH$24:$BH$26) = 0, "", SUM($BH$24:$BH$26))), "", (IF(SUM($BH$24:$BH$26) = 0, "", SUM($BH$24:$BH$26))))</f>
        <v>736465.95</v>
      </c>
      <c r="BI23">
        <f ca="1">IF(ISERROR(IF(SUM($BI$24:$BI$26) = 0, "", SUM($BI$24:$BI$26))), "", (IF(SUM($BI$24:$BI$26) = 0, "", SUM($BI$24:$BI$26))))</f>
        <v>650977.15</v>
      </c>
      <c r="BJ23">
        <f ca="1">IF(ISERROR(IF(SUM($BJ$24:$BJ$26) = 0, "", SUM($BJ$24:$BJ$26))), "", (IF(SUM($BJ$24:$BJ$26) = 0, "", SUM($BJ$24:$BJ$26))))</f>
        <v>705306.55</v>
      </c>
      <c r="BK23">
        <f ca="1">IF(ISERROR(IF(SUM($BK$24:$BK$26) = 0, "", SUM($BK$24:$BK$26))), "", (IF(SUM($BK$24:$BK$26) = 0, "", SUM($BK$24:$BK$26))))</f>
        <v>852449.5</v>
      </c>
      <c r="BL23">
        <f ca="1">IF(ISERROR(IF(SUM($BL$24:$BL$26) = 0, "", SUM($BL$24:$BL$26))), "", (IF(SUM($BL$24:$BL$26) = 0, "", SUM($BL$24:$BL$26))))</f>
        <v>903258.15</v>
      </c>
      <c r="BM23">
        <f ca="1">IF(ISERROR(IF(SUM($BM$24:$BM$26) = 0, "", SUM($BM$24:$BM$26))), "", (IF(SUM($BM$24:$BM$26) = 0, "", SUM($BM$24:$BM$26))))</f>
        <v>832330.9</v>
      </c>
      <c r="BN23">
        <f ca="1">IF(ISERROR(IF(SUM($BN$24:$BN$26) = 0, "", SUM($BN$24:$BN$26))), "", (IF(SUM($BN$24:$BN$26) = 0, "", SUM($BN$24:$BN$26))))</f>
        <v>952553.75</v>
      </c>
      <c r="BO23">
        <f ca="1">IF(ISERROR(IF(SUM($BO$24:$BO$26) = 0, "", SUM($BO$24:$BO$26))), "", (IF(SUM($BO$24:$BO$26) = 0, "", SUM($BO$24:$BO$26))))</f>
        <v>801264.15</v>
      </c>
      <c r="BP23">
        <f ca="1">IF(ISERROR(IF(SUM($BP$24:$BP$26) = 0, "", SUM($BP$24:$BP$26))), "", (IF(SUM($BP$24:$BP$26) = 0, "", SUM($BP$24:$BP$26))))</f>
        <v>826638.4</v>
      </c>
      <c r="BQ23">
        <f ca="1">IF(ISERROR(IF(SUM($BQ$24:$BQ$26) = 0, "", SUM($BQ$24:$BQ$26))), "", (IF(SUM($BQ$24:$BQ$26) = 0, "", SUM($BQ$24:$BQ$26))))</f>
        <v>833567.85000000009</v>
      </c>
      <c r="BR23">
        <f ca="1">IF(ISERROR(IF(SUM($BR$24:$BR$26) = 0, "", SUM($BR$24:$BR$26))), "", (IF(SUM($BR$24:$BR$26) = 0, "", SUM($BR$24:$BR$26))))</f>
        <v>723141.15</v>
      </c>
      <c r="BS23">
        <f ca="1">IF(ISERROR(IF(SUM($BS$24:$BS$26) = 0, "", SUM($BS$24:$BS$26))), "", (IF(SUM($BS$24:$BS$26) = 0, "", SUM($BS$24:$BS$26))))</f>
        <v>768804.35000000009</v>
      </c>
      <c r="BT23">
        <f ca="1">IF(ISERROR(IF(SUM($BT$24:$BT$26) = 0, "", SUM($BT$24:$BT$26))), "", (IF(SUM($BT$24:$BT$26) = 0, "", SUM($BT$24:$BT$26))))</f>
        <v>705535.95</v>
      </c>
      <c r="BU23">
        <f ca="1">IF(ISERROR(IF(SUM($BU$24:$BU$26) = 0, "", SUM($BU$24:$BU$26))), "", (IF(SUM($BU$24:$BU$26) = 0, "", SUM($BU$24:$BU$26))))</f>
        <v>577865.89999999991</v>
      </c>
      <c r="BV23">
        <f ca="1">IF(ISERROR(IF(SUM($BV$24:$BV$26) = 0, "", SUM($BV$24:$BV$26))), "", (IF(SUM($BV$24:$BV$26) = 0, "", SUM($BV$24:$BV$26))))</f>
        <v>725059.45000000007</v>
      </c>
      <c r="BW23">
        <f ca="1">IF(ISERROR(IF(SUM($BW$24:$BW$26) = 0, "", SUM($BW$24:$BW$26))), "", (IF(SUM($BW$24:$BW$26) = 0, "", SUM($BW$24:$BW$26))))</f>
        <v>808728.5</v>
      </c>
      <c r="BX23">
        <f ca="1">IF(ISERROR(IF(SUM($BX$24:$BX$26) = 0, "", SUM($BX$24:$BX$26))), "", (IF(SUM($BX$24:$BX$26) = 0, "", SUM($BX$24:$BX$26))))</f>
        <v>779210.95000000007</v>
      </c>
      <c r="BY23">
        <f ca="1">IF(ISERROR(IF(SUM($BY$24:$BY$26) = 0, "", SUM($BY$24:$BY$26))), "", (IF(SUM($BY$24:$BY$26) = 0, "", SUM($BY$24:$BY$26))))</f>
        <v>924225.75</v>
      </c>
      <c r="BZ23">
        <f ca="1">IF(ISERROR(IF(SUM($BZ$24:$BZ$26) = 0, "", SUM($BZ$24:$BZ$26))), "", (IF(SUM($BZ$24:$BZ$26) = 0, "", SUM($BZ$24:$BZ$26))))</f>
        <v>748762.2</v>
      </c>
      <c r="CA23">
        <f ca="1">IF(ISERROR(IF(SUM($CA$24:$CA$26) = 0, "", SUM($CA$24:$CA$26))), "", (IF(SUM($CA$24:$CA$26) = 0, "", SUM($CA$24:$CA$26))))</f>
        <v>763784.5</v>
      </c>
      <c r="CB23">
        <f ca="1">IF(ISERROR(IF(SUM($CB$24:$CB$26) = 0, "", SUM($CB$24:$CB$26))), "", (IF(SUM($CB$24:$CB$26) = 0, "", SUM($CB$24:$CB$26))))</f>
        <v>847857.05</v>
      </c>
      <c r="CC23">
        <f ca="1">IF(ISERROR(IF(SUM($CC$24:$CC$26) = 0, "", SUM($CC$24:$CC$26))), "", (IF(SUM($CC$24:$CC$26) = 0, "", SUM($CC$24:$CC$26))))</f>
        <v>796804</v>
      </c>
      <c r="CD23">
        <f ca="1">IF(ISERROR(IF(SUM($CD$24:$CD$26) = 0, "", SUM($CD$24:$CD$26))), "", (IF(SUM($CD$24:$CD$26) = 0, "", SUM($CD$24:$CD$26))))</f>
        <v>731032.35</v>
      </c>
      <c r="CE23">
        <f ca="1">IF(ISERROR(IF(SUM($CE$24:$CE$26) = 0, "", SUM($CE$24:$CE$26))), "", (IF(SUM($CE$24:$CE$26) = 0, "", SUM($CE$24:$CE$26))))</f>
        <v>796216.70000000007</v>
      </c>
      <c r="CF23">
        <f ca="1">IF(ISERROR(IF(SUM($CF$24:$CF$26) = 0, "", SUM($CF$24:$CF$26))), "", (IF(SUM($CF$24:$CF$26) = 0, "", SUM($CF$24:$CF$26))))</f>
        <v>714755.05</v>
      </c>
      <c r="CG23">
        <f ca="1">IF(ISERROR(IF(SUM($CG$24:$CG$26) = 0, "", SUM($CG$24:$CG$26))), "", (IF(SUM($CG$24:$CG$26) = 0, "", SUM($CG$24:$CG$26))))</f>
        <v>788523.7</v>
      </c>
      <c r="CH23">
        <f ca="1">IF(ISERROR(IF(SUM($CH$24:$CH$26) = 0, "", SUM($CH$24:$CH$26))), "", (IF(SUM($CH$24:$CH$26) = 0, "", SUM($CH$24:$CH$26))))</f>
        <v>625381.14999999991</v>
      </c>
      <c r="CI23">
        <f ca="1">IF(ISERROR(IF(SUM($CI$24:$CI$26) = 0, "", SUM($CI$24:$CI$26))), "", (IF(SUM($CI$24:$CI$26) = 0, "", SUM($CI$24:$CI$26))))</f>
        <v>826639.54999999993</v>
      </c>
      <c r="CJ23">
        <f ca="1">IF(ISERROR(IF(SUM($CJ$24:$CJ$26) = 0, "", SUM($CJ$24:$CJ$26))), "", (IF(SUM($CJ$24:$CJ$26) = 0, "", SUM($CJ$24:$CJ$26))))</f>
        <v>796536.6</v>
      </c>
      <c r="CK23">
        <f ca="1">IF(ISERROR(IF(SUM($CK$24:$CK$26) = 0, "", SUM($CK$24:$CK$26))), "", (IF(SUM($CK$24:$CK$26) = 0, "", SUM($CK$24:$CK$26))))</f>
        <v>877564.2</v>
      </c>
      <c r="CL23" t="str">
        <f>""</f>
        <v/>
      </c>
      <c r="CM23">
        <f>748440.1</f>
        <v>748440.1</v>
      </c>
      <c r="CN23">
        <f>828015.7</f>
        <v>828015.7</v>
      </c>
      <c r="CO23">
        <f>684290.75</f>
        <v>684290.75</v>
      </c>
      <c r="CP23">
        <f>833035.45</f>
        <v>833035.45</v>
      </c>
      <c r="CQ23">
        <f>779140</f>
        <v>779140</v>
      </c>
      <c r="CR23">
        <f>688109.75</f>
        <v>688109.75</v>
      </c>
      <c r="CS23">
        <f>623233.75</f>
        <v>623233.75</v>
      </c>
      <c r="CT23">
        <f>487846.15</f>
        <v>487846.15</v>
      </c>
      <c r="CU23">
        <f>726013.95</f>
        <v>726013.95</v>
      </c>
      <c r="CV23">
        <f>728871.5</f>
        <v>728871.5</v>
      </c>
      <c r="CW23">
        <f>639343.5</f>
        <v>639343.5</v>
      </c>
      <c r="CX23">
        <f>678429.45</f>
        <v>678429.45</v>
      </c>
      <c r="CY23">
        <f>709873.3</f>
        <v>709873.3</v>
      </c>
      <c r="CZ23">
        <f>805314.7</f>
        <v>805314.7</v>
      </c>
      <c r="DA23">
        <f>935423.8</f>
        <v>935423.8</v>
      </c>
      <c r="DB23">
        <f>876611.3</f>
        <v>876611.3</v>
      </c>
      <c r="DC23">
        <f>967900.15</f>
        <v>967900.15</v>
      </c>
      <c r="DD23">
        <f>887357.35</f>
        <v>887357.35</v>
      </c>
      <c r="DE23">
        <f>958674.05</f>
        <v>958674.05</v>
      </c>
      <c r="DF23">
        <f>857764.4</f>
        <v>857764.4</v>
      </c>
      <c r="DG23">
        <f>865595.35</f>
        <v>865595.35</v>
      </c>
      <c r="DH23">
        <f>786588.75</f>
        <v>786588.75</v>
      </c>
      <c r="DI23">
        <f>811459.9</f>
        <v>811459.9</v>
      </c>
      <c r="DJ23">
        <f>902643.9</f>
        <v>902643.9</v>
      </c>
      <c r="DK23">
        <f>903864.6</f>
        <v>903864.6</v>
      </c>
      <c r="DL23">
        <f>954377.35</f>
        <v>954377.35</v>
      </c>
      <c r="DM23">
        <f>890799.8</f>
        <v>890799.8</v>
      </c>
      <c r="DN23">
        <f>876430.35</f>
        <v>876430.35</v>
      </c>
      <c r="DO23">
        <f>1012047.85</f>
        <v>1012047.85</v>
      </c>
      <c r="DP23">
        <f>946966.35</f>
        <v>946966.35</v>
      </c>
      <c r="DQ23">
        <f>957599.25</f>
        <v>957599.25</v>
      </c>
      <c r="DR23">
        <f>799315.4</f>
        <v>799315.4</v>
      </c>
      <c r="DS23">
        <f>835516.2</f>
        <v>835516.2</v>
      </c>
      <c r="DT23">
        <f>879186.05</f>
        <v>879186.05</v>
      </c>
      <c r="DU23">
        <f>889746.15</f>
        <v>889746.15</v>
      </c>
      <c r="DV23">
        <f>980728.55</f>
        <v>980728.55</v>
      </c>
      <c r="DW23">
        <f>883624.8</f>
        <v>883624.8</v>
      </c>
      <c r="DX23">
        <f>961832.75</f>
        <v>961832.75</v>
      </c>
      <c r="DY23">
        <f>856389.15</f>
        <v>856389.15</v>
      </c>
      <c r="DZ23">
        <f>691475.4</f>
        <v>691475.4</v>
      </c>
      <c r="EA23">
        <f>581664.75</f>
        <v>581664.75</v>
      </c>
      <c r="EB23">
        <f>688999</f>
        <v>688999</v>
      </c>
      <c r="EC23">
        <f>449568.3</f>
        <v>449568.3</v>
      </c>
      <c r="ED23">
        <f>544037.3</f>
        <v>544037.30000000005</v>
      </c>
      <c r="EE23">
        <f>806143.75</f>
        <v>806143.75</v>
      </c>
      <c r="EF23">
        <f>746749.75</f>
        <v>746749.75</v>
      </c>
      <c r="EG23">
        <f>728917.9</f>
        <v>728917.9</v>
      </c>
      <c r="EH23">
        <f>770188.5</f>
        <v>770188.5</v>
      </c>
      <c r="EI23">
        <f>779902.75</f>
        <v>779902.75</v>
      </c>
      <c r="EJ23">
        <f>861080.8</f>
        <v>861080.8</v>
      </c>
      <c r="EK23">
        <f>912154.15</f>
        <v>912154.15</v>
      </c>
      <c r="EL23">
        <f>764777.25</f>
        <v>764777.25</v>
      </c>
      <c r="EM23">
        <f>828662.15</f>
        <v>828662.15</v>
      </c>
      <c r="EN23">
        <f>736465.95</f>
        <v>736465.95</v>
      </c>
      <c r="EO23">
        <f>650977.15</f>
        <v>650977.15</v>
      </c>
      <c r="EP23">
        <f>705306.55</f>
        <v>705306.55</v>
      </c>
      <c r="EQ23">
        <f>852449.5</f>
        <v>852449.5</v>
      </c>
      <c r="ER23">
        <f>903258.15</f>
        <v>903258.15</v>
      </c>
      <c r="ES23">
        <f>832330.9</f>
        <v>832330.9</v>
      </c>
      <c r="ET23">
        <f>952553.75</f>
        <v>952553.75</v>
      </c>
      <c r="EU23">
        <f>801264.15</f>
        <v>801264.15</v>
      </c>
      <c r="EV23">
        <f>826638.4</f>
        <v>826638.4</v>
      </c>
      <c r="EW23">
        <f>833567.85</f>
        <v>833567.85</v>
      </c>
      <c r="EX23">
        <f>723141.15</f>
        <v>723141.15</v>
      </c>
      <c r="EY23">
        <f>768804.35</f>
        <v>768804.35</v>
      </c>
      <c r="EZ23">
        <f>705535.95</f>
        <v>705535.95</v>
      </c>
      <c r="FA23">
        <f>577865.9</f>
        <v>577865.9</v>
      </c>
      <c r="FB23">
        <f>725059.45</f>
        <v>725059.45</v>
      </c>
      <c r="FC23">
        <f>808728.5</f>
        <v>808728.5</v>
      </c>
      <c r="FD23">
        <f>779210.95</f>
        <v>779210.95</v>
      </c>
      <c r="FE23">
        <f>924225.75</f>
        <v>924225.75</v>
      </c>
      <c r="FF23">
        <f>748762.2</f>
        <v>748762.2</v>
      </c>
      <c r="FG23">
        <f>763784.5</f>
        <v>763784.5</v>
      </c>
      <c r="FH23">
        <f>847857.05</f>
        <v>847857.05</v>
      </c>
      <c r="FI23">
        <f>796804</f>
        <v>796804</v>
      </c>
      <c r="FJ23">
        <f>731032.35</f>
        <v>731032.35</v>
      </c>
      <c r="FK23">
        <f>796216.7</f>
        <v>796216.7</v>
      </c>
      <c r="FL23">
        <f>714755.05</f>
        <v>714755.05</v>
      </c>
      <c r="FM23">
        <f>788523.7</f>
        <v>788523.7</v>
      </c>
      <c r="FN23">
        <f>625381.15</f>
        <v>625381.15</v>
      </c>
      <c r="FO23">
        <f>826639.55</f>
        <v>826639.55</v>
      </c>
      <c r="FP23">
        <f>796536.6</f>
        <v>796536.6</v>
      </c>
      <c r="FQ23">
        <f>877564.2</f>
        <v>877564.2</v>
      </c>
    </row>
    <row r="24" spans="1:173" x14ac:dyDescent="0.25">
      <c r="A24" t="str">
        <f>"        Loaded Container Imports (TEU)"</f>
        <v xml:space="preserve">        Loaded Container Imports (TEU)</v>
      </c>
      <c r="B24" t="str">
        <f>"LALBLAIM Index"</f>
        <v>LALBLAIM Index</v>
      </c>
      <c r="C24" t="str">
        <f>"PX385"</f>
        <v>PX385</v>
      </c>
      <c r="D24" t="str">
        <f>"INTERVAL_SUM"</f>
        <v>INTERVAL_SUM</v>
      </c>
      <c r="E24" t="str">
        <f>"Dynamic"</f>
        <v>Dynamic</v>
      </c>
      <c r="F24" t="str">
        <f ca="1">IF(AND(ISNUMBER($F$87),$B$69=1),$F$87,HLOOKUP(INDIRECT(ADDRESS(2,COLUMN())),OFFSET($CL$2,0,0,ROW()-1,84),ROW()-1,FALSE))</f>
        <v/>
      </c>
      <c r="G24">
        <f ca="1">IF(AND(ISNUMBER($G$87),$B$69=1),$G$87,HLOOKUP(INDIRECT(ADDRESS(2,COLUMN())),OFFSET($CL$2,0,0,ROW()-1,84),ROW()-1,FALSE))</f>
        <v>392608.35</v>
      </c>
      <c r="H24">
        <f ca="1">IF(AND(ISNUMBER($H$87),$B$69=1),$H$87,HLOOKUP(INDIRECT(ADDRESS(2,COLUMN())),OFFSET($CL$2,0,0,ROW()-1,84),ROW()-1,FALSE))</f>
        <v>433224.25</v>
      </c>
      <c r="I24">
        <f ca="1">IF(AND(ISNUMBER($I$87),$B$69=1),$I$87,HLOOKUP(INDIRECT(ADDRESS(2,COLUMN())),OFFSET($CL$2,0,0,ROW()-1,84),ROW()-1,FALSE))</f>
        <v>364208.3</v>
      </c>
      <c r="J24">
        <f ca="1">IF(AND(ISNUMBER($J$87),$B$69=1),$J$87,HLOOKUP(INDIRECT(ADDRESS(2,COLUMN())),OFFSET($CL$2,0,0,ROW()-1,84),ROW()-1,FALSE))</f>
        <v>435306.65</v>
      </c>
      <c r="K24">
        <f ca="1">IF(AND(ISNUMBER($K$87),$B$69=1),$K$87,HLOOKUP(INDIRECT(ADDRESS(2,COLUMN())),OFFSET($CL$2,0,0,ROW()-1,84),ROW()-1,FALSE))</f>
        <v>409150</v>
      </c>
      <c r="L24">
        <f ca="1">IF(AND(ISNUMBER($L$87),$B$69=1),$L$87,HLOOKUP(INDIRECT(ADDRESS(2,COLUMN())),OFFSET($CL$2,0,0,ROW()-1,84),ROW()-1,FALSE))</f>
        <v>343688.5</v>
      </c>
      <c r="M24">
        <f ca="1">IF(AND(ISNUMBER($M$87),$B$69=1),$M$87,HLOOKUP(INDIRECT(ADDRESS(2,COLUMN())),OFFSET($CL$2,0,0,ROW()-1,84),ROW()-1,FALSE))</f>
        <v>319961.95</v>
      </c>
      <c r="N24">
        <f ca="1">IF(AND(ISNUMBER($N$87),$B$69=1),$N$87,HLOOKUP(INDIRECT(ADDRESS(2,COLUMN())),OFFSET($CL$2,0,0,ROW()-1,84),ROW()-1,FALSE))</f>
        <v>249407.45</v>
      </c>
      <c r="O24">
        <f ca="1">IF(AND(ISNUMBER($O$87),$B$69=1),$O$87,HLOOKUP(INDIRECT(ADDRESS(2,COLUMN())),OFFSET($CL$2,0,0,ROW()-1,84),ROW()-1,FALSE))</f>
        <v>372040</v>
      </c>
      <c r="P24">
        <f ca="1">IF(AND(ISNUMBER($P$87),$B$69=1),$P$87,HLOOKUP(INDIRECT(ADDRESS(2,COLUMN())),OFFSET($CL$2,0,0,ROW()-1,84),ROW()-1,FALSE))</f>
        <v>352046.35</v>
      </c>
      <c r="Q24">
        <f ca="1">IF(AND(ISNUMBER($Q$87),$B$69=1),$Q$87,HLOOKUP(INDIRECT(ADDRESS(2,COLUMN())),OFFSET($CL$2,0,0,ROW()-1,84),ROW()-1,FALSE))</f>
        <v>307079.8</v>
      </c>
      <c r="R24">
        <f ca="1">IF(AND(ISNUMBER($R$87),$B$69=1),$R$87,HLOOKUP(INDIRECT(ADDRESS(2,COLUMN())),OFFSET($CL$2,0,0,ROW()-1,84),ROW()-1,FALSE))</f>
        <v>336306.9</v>
      </c>
      <c r="S24">
        <f ca="1">IF(AND(ISNUMBER($S$87),$B$69=1),$S$87,HLOOKUP(INDIRECT(ADDRESS(2,COLUMN())),OFFSET($CL$2,0,0,ROW()-1,84),ROW()-1,FALSE))</f>
        <v>343461.65</v>
      </c>
      <c r="T24">
        <f ca="1">IF(AND(ISNUMBER($T$87),$B$69=1),$T$87,HLOOKUP(INDIRECT(ADDRESS(2,COLUMN())),OFFSET($CL$2,0,0,ROW()-1,84),ROW()-1,FALSE))</f>
        <v>403601.95</v>
      </c>
      <c r="U24">
        <f ca="1">IF(AND(ISNUMBER($U$87),$B$69=1),$U$87,HLOOKUP(INDIRECT(ADDRESS(2,COLUMN())),OFFSET($CL$2,0,0,ROW()-1,84),ROW()-1,FALSE))</f>
        <v>485452.25</v>
      </c>
      <c r="V24">
        <f ca="1">IF(AND(ISNUMBER($V$87),$B$69=1),$V$87,HLOOKUP(INDIRECT(ADDRESS(2,COLUMN())),OFFSET($CL$2,0,0,ROW()-1,84),ROW()-1,FALSE))</f>
        <v>444680.4</v>
      </c>
      <c r="W24">
        <f ca="1">IF(AND(ISNUMBER($W$87),$B$69=1),$W$87,HLOOKUP(INDIRECT(ADDRESS(2,COLUMN())),OFFSET($CL$2,0,0,ROW()-1,84),ROW()-1,FALSE))</f>
        <v>499960.15</v>
      </c>
      <c r="X24">
        <f ca="1">IF(AND(ISNUMBER($X$87),$B$69=1),$X$87,HLOOKUP(INDIRECT(ADDRESS(2,COLUMN())),OFFSET($CL$2,0,0,ROW()-1,84),ROW()-1,FALSE))</f>
        <v>456669.55</v>
      </c>
      <c r="Y24">
        <f ca="1">IF(AND(ISNUMBER($Y$87),$B$69=1),$Y$87,HLOOKUP(INDIRECT(ADDRESS(2,COLUMN())),OFFSET($CL$2,0,0,ROW()-1,84),ROW()-1,FALSE))</f>
        <v>495195.8</v>
      </c>
      <c r="Z24">
        <f ca="1">IF(AND(ISNUMBER($Z$87),$B$69=1),$Z$87,HLOOKUP(INDIRECT(ADDRESS(2,COLUMN())),OFFSET($CL$2,0,0,ROW()-1,84),ROW()-1,FALSE))</f>
        <v>424072.85</v>
      </c>
      <c r="AA24">
        <f ca="1">IF(AND(ISNUMBER($AA$87),$B$69=1),$AA$87,HLOOKUP(INDIRECT(ADDRESS(2,COLUMN())),OFFSET($CL$2,0,0,ROW()-1,84),ROW()-1,FALSE))</f>
        <v>427207.7</v>
      </c>
      <c r="AB24">
        <f ca="1">IF(AND(ISNUMBER($AB$87),$B$69=1),$AB$87,HLOOKUP(INDIRECT(ADDRESS(2,COLUMN())),OFFSET($CL$2,0,0,ROW()-1,84),ROW()-1,FALSE))</f>
        <v>385250.7</v>
      </c>
      <c r="AC24">
        <f ca="1">IF(AND(ISNUMBER($AC$87),$B$69=1),$AC$87,HLOOKUP(INDIRECT(ADDRESS(2,COLUMN())),OFFSET($CL$2,0,0,ROW()-1,84),ROW()-1,FALSE))</f>
        <v>403443.9</v>
      </c>
      <c r="AD24">
        <f ca="1">IF(AND(ISNUMBER($AD$87),$B$69=1),$AD$87,HLOOKUP(INDIRECT(ADDRESS(2,COLUMN())),OFFSET($CL$2,0,0,ROW()-1,84),ROW()-1,FALSE))</f>
        <v>467286.65</v>
      </c>
      <c r="AE24">
        <f ca="1">IF(AND(ISNUMBER($AE$87),$B$69=1),$AE$87,HLOOKUP(INDIRECT(ADDRESS(2,COLUMN())),OFFSET($CL$2,0,0,ROW()-1,84),ROW()-1,FALSE))</f>
        <v>468059.15</v>
      </c>
      <c r="AF24">
        <f ca="1">IF(AND(ISNUMBER($AF$87),$B$69=1),$AF$87,HLOOKUP(INDIRECT(ADDRESS(2,COLUMN())),OFFSET($CL$2,0,0,ROW()-1,84),ROW()-1,FALSE))</f>
        <v>485672.15</v>
      </c>
      <c r="AG24">
        <f ca="1">IF(AND(ISNUMBER($AG$87),$B$69=1),$AG$87,HLOOKUP(INDIRECT(ADDRESS(2,COLUMN())),OFFSET($CL$2,0,0,ROW()-1,84),ROW()-1,FALSE))</f>
        <v>469360.85</v>
      </c>
      <c r="AH24">
        <f ca="1">IF(AND(ISNUMBER($AH$87),$B$69=1),$AH$87,HLOOKUP(INDIRECT(ADDRESS(2,COLUMN())),OFFSET($CL$2,0,0,ROW()-1,84),ROW()-1,FALSE))</f>
        <v>467763.25</v>
      </c>
      <c r="AI24">
        <f ca="1">IF(AND(ISNUMBER($AI$87),$B$69=1),$AI$87,HLOOKUP(INDIRECT(ADDRESS(2,COLUMN())),OFFSET($CL$2,0,0,ROW()-1,84),ROW()-1,FALSE))</f>
        <v>535714.19999999995</v>
      </c>
      <c r="AJ24">
        <f ca="1">IF(AND(ISNUMBER($AJ$87),$B$69=1),$AJ$87,HLOOKUP(INDIRECT(ADDRESS(2,COLUMN())),OFFSET($CL$2,0,0,ROW()-1,84),ROW()-1,FALSE))</f>
        <v>490126.85</v>
      </c>
      <c r="AK24">
        <f ca="1">IF(AND(ISNUMBER($AK$87),$B$69=1),$AK$87,HLOOKUP(INDIRECT(ADDRESS(2,COLUMN())),OFFSET($CL$2,0,0,ROW()-1,84),ROW()-1,FALSE))</f>
        <v>490115</v>
      </c>
      <c r="AL24">
        <f ca="1">IF(AND(ISNUMBER($AL$87),$B$69=1),$AL$87,HLOOKUP(INDIRECT(ADDRESS(2,COLUMN())),OFFSET($CL$2,0,0,ROW()-1,84),ROW()-1,FALSE))</f>
        <v>412884.25</v>
      </c>
      <c r="AM24">
        <f ca="1">IF(AND(ISNUMBER($AM$87),$B$69=1),$AM$87,HLOOKUP(INDIRECT(ADDRESS(2,COLUMN())),OFFSET($CL$2,0,0,ROW()-1,84),ROW()-1,FALSE))</f>
        <v>437609.2</v>
      </c>
      <c r="AN24">
        <f ca="1">IF(AND(ISNUMBER($AN$87),$B$69=1),$AN$87,HLOOKUP(INDIRECT(ADDRESS(2,COLUMN())),OFFSET($CL$2,0,0,ROW()-1,84),ROW()-1,FALSE))</f>
        <v>460865</v>
      </c>
      <c r="AO24">
        <f ca="1">IF(AND(ISNUMBER($AO$87),$B$69=1),$AO$87,HLOOKUP(INDIRECT(ADDRESS(2,COLUMN())),OFFSET($CL$2,0,0,ROW()-1,84),ROW()-1,FALSE))</f>
        <v>464819.7</v>
      </c>
      <c r="AP24">
        <f ca="1">IF(AND(ISNUMBER($AP$87),$B$69=1),$AP$87,HLOOKUP(INDIRECT(ADDRESS(2,COLUMN())),OFFSET($CL$2,0,0,ROW()-1,84),ROW()-1,FALSE))</f>
        <v>506613.2</v>
      </c>
      <c r="AQ24">
        <f ca="1">IF(AND(ISNUMBER($AQ$87),$B$69=1),$AQ$87,HLOOKUP(INDIRECT(ADDRESS(2,COLUMN())),OFFSET($CL$2,0,0,ROW()-1,84),ROW()-1,FALSE))</f>
        <v>471794.5</v>
      </c>
      <c r="AR24">
        <f ca="1">IF(AND(ISNUMBER($AR$87),$B$69=1),$AR$87,HLOOKUP(INDIRECT(ADDRESS(2,COLUMN())),OFFSET($CL$2,0,0,ROW()-1,84),ROW()-1,FALSE))</f>
        <v>516285.95</v>
      </c>
      <c r="AS24">
        <f ca="1">IF(AND(ISNUMBER($AS$87),$B$69=1),$AS$87,HLOOKUP(INDIRECT(ADDRESS(2,COLUMN())),OFFSET($CL$2,0,0,ROW()-1,84),ROW()-1,FALSE))</f>
        <v>456028.7</v>
      </c>
      <c r="AT24">
        <f ca="1">IF(AND(ISNUMBER($AT$87),$B$69=1),$AT$87,HLOOKUP(INDIRECT(ADDRESS(2,COLUMN())),OFFSET($CL$2,0,0,ROW()-1,84),ROW()-1,FALSE))</f>
        <v>369188.9</v>
      </c>
      <c r="AU24">
        <f ca="1">IF(AND(ISNUMBER($AU$87),$B$69=1),$AU$87,HLOOKUP(INDIRECT(ADDRESS(2,COLUMN())),OFFSET($CL$2,0,0,ROW()-1,84),ROW()-1,FALSE))</f>
        <v>306323</v>
      </c>
      <c r="AV24">
        <f ca="1">IF(AND(ISNUMBER($AV$87),$B$69=1),$AV$87,HLOOKUP(INDIRECT(ADDRESS(2,COLUMN())),OFFSET($CL$2,0,0,ROW()-1,84),ROW()-1,FALSE))</f>
        <v>370111</v>
      </c>
      <c r="AW24">
        <f ca="1">IF(AND(ISNUMBER($AW$87),$B$69=1),$AW$87,HLOOKUP(INDIRECT(ADDRESS(2,COLUMN())),OFFSET($CL$2,0,0,ROW()-1,84),ROW()-1,FALSE))</f>
        <v>220254.55</v>
      </c>
      <c r="AX24">
        <f ca="1">IF(AND(ISNUMBER($AX$87),$B$69=1),$AX$87,HLOOKUP(INDIRECT(ADDRESS(2,COLUMN())),OFFSET($CL$2,0,0,ROW()-1,84),ROW()-1,FALSE))</f>
        <v>270025.05</v>
      </c>
      <c r="AY24">
        <f ca="1">IF(AND(ISNUMBER($AY$87),$B$69=1),$AY$87,HLOOKUP(INDIRECT(ADDRESS(2,COLUMN())),OFFSET($CL$2,0,0,ROW()-1,84),ROW()-1,FALSE))</f>
        <v>414730.85</v>
      </c>
      <c r="AZ24">
        <f ca="1">IF(AND(ISNUMBER($AZ$87),$B$69=1),$AZ$87,HLOOKUP(INDIRECT(ADDRESS(2,COLUMN())),OFFSET($CL$2,0,0,ROW()-1,84),ROW()-1,FALSE))</f>
        <v>373511</v>
      </c>
      <c r="BA24">
        <f ca="1">IF(AND(ISNUMBER($BA$87),$B$69=1),$BA$87,HLOOKUP(INDIRECT(ADDRESS(2,COLUMN())),OFFSET($CL$2,0,0,ROW()-1,84),ROW()-1,FALSE))</f>
        <v>371349.7</v>
      </c>
      <c r="BB24">
        <f ca="1">IF(AND(ISNUMBER($BB$87),$B$69=1),$BB$87,HLOOKUP(INDIRECT(ADDRESS(2,COLUMN())),OFFSET($CL$2,0,0,ROW()-1,84),ROW()-1,FALSE))</f>
        <v>392768.6</v>
      </c>
      <c r="BC24">
        <f ca="1">IF(AND(ISNUMBER($BC$87),$B$69=1),$BC$87,HLOOKUP(INDIRECT(ADDRESS(2,COLUMN())),OFFSET($CL$2,0,0,ROW()-1,84),ROW()-1,FALSE))</f>
        <v>402319.85</v>
      </c>
      <c r="BD24">
        <f ca="1">IF(AND(ISNUMBER($BD$87),$B$69=1),$BD$87,HLOOKUP(INDIRECT(ADDRESS(2,COLUMN())),OFFSET($CL$2,0,0,ROW()-1,84),ROW()-1,FALSE))</f>
        <v>437613.25</v>
      </c>
      <c r="BE24">
        <f ca="1">IF(AND(ISNUMBER($BE$87),$B$69=1),$BE$87,HLOOKUP(INDIRECT(ADDRESS(2,COLUMN())),OFFSET($CL$2,0,0,ROW()-1,84),ROW()-1,FALSE))</f>
        <v>476438.2</v>
      </c>
      <c r="BF24">
        <f ca="1">IF(AND(ISNUMBER($BF$87),$B$69=1),$BF$87,HLOOKUP(INDIRECT(ADDRESS(2,COLUMN())),OFFSET($CL$2,0,0,ROW()-1,84),ROW()-1,FALSE))</f>
        <v>396306.5</v>
      </c>
      <c r="BG24">
        <f ca="1">IF(AND(ISNUMBER($BG$87),$B$69=1),$BG$87,HLOOKUP(INDIRECT(ADDRESS(2,COLUMN())),OFFSET($CL$2,0,0,ROW()-1,84),ROW()-1,FALSE))</f>
        <v>427789</v>
      </c>
      <c r="BH24">
        <f ca="1">IF(AND(ISNUMBER($BH$87),$B$69=1),$BH$87,HLOOKUP(INDIRECT(ADDRESS(2,COLUMN())),OFFSET($CL$2,0,0,ROW()-1,84),ROW()-1,FALSE))</f>
        <v>360744.65</v>
      </c>
      <c r="BI24">
        <f ca="1">IF(AND(ISNUMBER($BI$87),$B$69=1),$BI$87,HLOOKUP(INDIRECT(ADDRESS(2,COLUMN())),OFFSET($CL$2,0,0,ROW()-1,84),ROW()-1,FALSE))</f>
        <v>297186.95</v>
      </c>
      <c r="BJ24">
        <f ca="1">IF(AND(ISNUMBER($BJ$87),$B$69=1),$BJ$87,HLOOKUP(INDIRECT(ADDRESS(2,COLUMN())),OFFSET($CL$2,0,0,ROW()-1,84),ROW()-1,FALSE))</f>
        <v>348315.75</v>
      </c>
      <c r="BK24">
        <f ca="1">IF(AND(ISNUMBER($BK$87),$B$69=1),$BK$87,HLOOKUP(INDIRECT(ADDRESS(2,COLUMN())),OFFSET($CL$2,0,0,ROW()-1,84),ROW()-1,FALSE))</f>
        <v>429922.75</v>
      </c>
      <c r="BL24">
        <f ca="1">IF(AND(ISNUMBER($BL$87),$B$69=1),$BL$87,HLOOKUP(INDIRECT(ADDRESS(2,COLUMN())),OFFSET($CL$2,0,0,ROW()-1,84),ROW()-1,FALSE))</f>
        <v>468905.85</v>
      </c>
      <c r="BM24">
        <f ca="1">IF(AND(ISNUMBER($BM$87),$B$69=1),$BM$87,HLOOKUP(INDIRECT(ADDRESS(2,COLUMN())),OFFSET($CL$2,0,0,ROW()-1,84),ROW()-1,FALSE))</f>
        <v>422792.65</v>
      </c>
      <c r="BN24">
        <f ca="1">IF(AND(ISNUMBER($BN$87),$B$69=1),$BN$87,HLOOKUP(INDIRECT(ADDRESS(2,COLUMN())),OFFSET($CL$2,0,0,ROW()-1,84),ROW()-1,FALSE))</f>
        <v>485823.55</v>
      </c>
      <c r="BO24">
        <f ca="1">IF(AND(ISNUMBER($BO$87),$B$69=1),$BO$87,HLOOKUP(INDIRECT(ADDRESS(2,COLUMN())),OFFSET($CL$2,0,0,ROW()-1,84),ROW()-1,FALSE))</f>
        <v>414281.5</v>
      </c>
      <c r="BP24">
        <f ca="1">IF(AND(ISNUMBER($BP$87),$B$69=1),$BP$87,HLOOKUP(INDIRECT(ADDRESS(2,COLUMN())),OFFSET($CL$2,0,0,ROW()-1,84),ROW()-1,FALSE))</f>
        <v>420573.25</v>
      </c>
      <c r="BQ24">
        <f ca="1">IF(AND(ISNUMBER($BQ$87),$B$69=1),$BQ$87,HLOOKUP(INDIRECT(ADDRESS(2,COLUMN())),OFFSET($CL$2,0,0,ROW()-1,84),ROW()-1,FALSE))</f>
        <v>438164.55</v>
      </c>
      <c r="BR24">
        <f ca="1">IF(AND(ISNUMBER($BR$87),$B$69=1),$BR$87,HLOOKUP(INDIRECT(ADDRESS(2,COLUMN())),OFFSET($CL$2,0,0,ROW()-1,84),ROW()-1,FALSE))</f>
        <v>382964</v>
      </c>
      <c r="BS24">
        <f ca="1">IF(AND(ISNUMBER($BS$87),$B$69=1),$BS$87,HLOOKUP(INDIRECT(ADDRESS(2,COLUMN())),OFFSET($CL$2,0,0,ROW()-1,84),ROW()-1,FALSE))</f>
        <v>405586.8</v>
      </c>
      <c r="BT24">
        <f ca="1">IF(AND(ISNUMBER($BT$87),$B$69=1),$BT$87,HLOOKUP(INDIRECT(ADDRESS(2,COLUMN())),OFFSET($CL$2,0,0,ROW()-1,84),ROW()-1,FALSE))</f>
        <v>361108.3</v>
      </c>
      <c r="BU24">
        <f ca="1">IF(AND(ISNUMBER($BU$87),$B$69=1),$BU$87,HLOOKUP(INDIRECT(ADDRESS(2,COLUMN())),OFFSET($CL$2,0,0,ROW()-1,84),ROW()-1,FALSE))</f>
        <v>264460.05</v>
      </c>
      <c r="BV24">
        <f ca="1">IF(AND(ISNUMBER($BV$87),$B$69=1),$BV$87,HLOOKUP(INDIRECT(ADDRESS(2,COLUMN())),OFFSET($CL$2,0,0,ROW()-1,84),ROW()-1,FALSE))</f>
        <v>383089.55</v>
      </c>
      <c r="BW24">
        <f ca="1">IF(AND(ISNUMBER($BW$87),$B$69=1),$BW$87,HLOOKUP(INDIRECT(ADDRESS(2,COLUMN())),OFFSET($CL$2,0,0,ROW()-1,84),ROW()-1,FALSE))</f>
        <v>422831.95</v>
      </c>
      <c r="BX24">
        <f ca="1">IF(AND(ISNUMBER($BX$87),$B$69=1),$BX$87,HLOOKUP(INDIRECT(ADDRESS(2,COLUMN())),OFFSET($CL$2,0,0,ROW()-1,84),ROW()-1,FALSE))</f>
        <v>385492.05</v>
      </c>
      <c r="BY24">
        <f ca="1">IF(AND(ISNUMBER($BY$87),$B$69=1),$BY$87,HLOOKUP(INDIRECT(ADDRESS(2,COLUMN())),OFFSET($CL$2,0,0,ROW()-1,84),ROW()-1,FALSE))</f>
        <v>463690.9</v>
      </c>
      <c r="BZ24">
        <f ca="1">IF(AND(ISNUMBER($BZ$87),$B$69=1),$BZ$87,HLOOKUP(INDIRECT(ADDRESS(2,COLUMN())),OFFSET($CL$2,0,0,ROW()-1,84),ROW()-1,FALSE))</f>
        <v>383385</v>
      </c>
      <c r="CA24">
        <f ca="1">IF(AND(ISNUMBER($CA$87),$B$69=1),$CA$87,HLOOKUP(INDIRECT(ADDRESS(2,COLUMN())),OFFSET($CL$2,0,0,ROW()-1,84),ROW()-1,FALSE))</f>
        <v>388670.05</v>
      </c>
      <c r="CB24">
        <f ca="1">IF(AND(ISNUMBER($CB$87),$B$69=1),$CB$87,HLOOKUP(INDIRECT(ADDRESS(2,COLUMN())),OFFSET($CL$2,0,0,ROW()-1,84),ROW()-1,FALSE))</f>
        <v>432479.15</v>
      </c>
      <c r="CC24">
        <f ca="1">IF(AND(ISNUMBER($CC$87),$B$69=1),$CC$87,HLOOKUP(INDIRECT(ADDRESS(2,COLUMN())),OFFSET($CL$2,0,0,ROW()-1,84),ROW()-1,FALSE))</f>
        <v>417090.75</v>
      </c>
      <c r="CD24">
        <f ca="1">IF(AND(ISNUMBER($CD$87),$B$69=1),$CD$87,HLOOKUP(INDIRECT(ADDRESS(2,COLUMN())),OFFSET($CL$2,0,0,ROW()-1,84),ROW()-1,FALSE))</f>
        <v>372272.1</v>
      </c>
      <c r="CE24">
        <f ca="1">IF(AND(ISNUMBER($CE$87),$B$69=1),$CE$87,HLOOKUP(INDIRECT(ADDRESS(2,COLUMN())),OFFSET($CL$2,0,0,ROW()-1,84),ROW()-1,FALSE))</f>
        <v>413021.3</v>
      </c>
      <c r="CF24">
        <f ca="1">IF(AND(ISNUMBER($CF$87),$B$69=1),$CF$87,HLOOKUP(INDIRECT(ADDRESS(2,COLUMN())),OFFSET($CL$2,0,0,ROW()-1,84),ROW()-1,FALSE))</f>
        <v>372040.9</v>
      </c>
      <c r="CG24">
        <f ca="1">IF(AND(ISNUMBER($CG$87),$B$69=1),$CG$87,HLOOKUP(INDIRECT(ADDRESS(2,COLUMN())),OFFSET($CL$2,0,0,ROW()-1,84),ROW()-1,FALSE))</f>
        <v>373548.95</v>
      </c>
      <c r="CH24">
        <f ca="1">IF(AND(ISNUMBER($CH$87),$B$69=1),$CH$87,HLOOKUP(INDIRECT(ADDRESS(2,COLUMN())),OFFSET($CL$2,0,0,ROW()-1,84),ROW()-1,FALSE))</f>
        <v>298974.95</v>
      </c>
      <c r="CI24">
        <f ca="1">IF(AND(ISNUMBER($CI$87),$B$69=1),$CI$87,HLOOKUP(INDIRECT(ADDRESS(2,COLUMN())),OFFSET($CL$2,0,0,ROW()-1,84),ROW()-1,FALSE))</f>
        <v>415422.7</v>
      </c>
      <c r="CJ24">
        <f ca="1">IF(AND(ISNUMBER($CJ$87),$B$69=1),$CJ$87,HLOOKUP(INDIRECT(ADDRESS(2,COLUMN())),OFFSET($CL$2,0,0,ROW()-1,84),ROW()-1,FALSE))</f>
        <v>394217.5</v>
      </c>
      <c r="CK24">
        <f ca="1">IF(AND(ISNUMBER($CK$87),$B$69=1),$CK$87,HLOOKUP(INDIRECT(ADDRESS(2,COLUMN())),OFFSET($CL$2,0,0,ROW()-1,84),ROW()-1,FALSE))</f>
        <v>437050.2</v>
      </c>
      <c r="CL24" t="str">
        <f>""</f>
        <v/>
      </c>
      <c r="CM24">
        <f>392608.35</f>
        <v>392608.35</v>
      </c>
      <c r="CN24">
        <f>433224.25</f>
        <v>433224.25</v>
      </c>
      <c r="CO24">
        <f>364208.3</f>
        <v>364208.3</v>
      </c>
      <c r="CP24">
        <f>435306.65</f>
        <v>435306.65</v>
      </c>
      <c r="CQ24">
        <f>409150</f>
        <v>409150</v>
      </c>
      <c r="CR24">
        <f>343688.5</f>
        <v>343688.5</v>
      </c>
      <c r="CS24">
        <f>319961.95</f>
        <v>319961.95</v>
      </c>
      <c r="CT24">
        <f>249407.45</f>
        <v>249407.45</v>
      </c>
      <c r="CU24">
        <f>372040</f>
        <v>372040</v>
      </c>
      <c r="CV24">
        <f>352046.35</f>
        <v>352046.35</v>
      </c>
      <c r="CW24">
        <f>307079.8</f>
        <v>307079.8</v>
      </c>
      <c r="CX24">
        <f>336306.9</f>
        <v>336306.9</v>
      </c>
      <c r="CY24">
        <f>343461.65</f>
        <v>343461.65</v>
      </c>
      <c r="CZ24">
        <f>403601.95</f>
        <v>403601.95</v>
      </c>
      <c r="DA24">
        <f>485452.25</f>
        <v>485452.25</v>
      </c>
      <c r="DB24">
        <f>444680.4</f>
        <v>444680.4</v>
      </c>
      <c r="DC24">
        <f>499960.15</f>
        <v>499960.15</v>
      </c>
      <c r="DD24">
        <f>456669.55</f>
        <v>456669.55</v>
      </c>
      <c r="DE24">
        <f>495195.8</f>
        <v>495195.8</v>
      </c>
      <c r="DF24">
        <f>424072.85</f>
        <v>424072.85</v>
      </c>
      <c r="DG24">
        <f>427207.7</f>
        <v>427207.7</v>
      </c>
      <c r="DH24">
        <f>385250.7</f>
        <v>385250.7</v>
      </c>
      <c r="DI24">
        <f>403443.9</f>
        <v>403443.9</v>
      </c>
      <c r="DJ24">
        <f>467286.65</f>
        <v>467286.65</v>
      </c>
      <c r="DK24">
        <f>468059.15</f>
        <v>468059.15</v>
      </c>
      <c r="DL24">
        <f>485672.15</f>
        <v>485672.15</v>
      </c>
      <c r="DM24">
        <f>469360.85</f>
        <v>469360.85</v>
      </c>
      <c r="DN24">
        <f>467763.25</f>
        <v>467763.25</v>
      </c>
      <c r="DO24">
        <f>535714.2</f>
        <v>535714.19999999995</v>
      </c>
      <c r="DP24">
        <f>490126.85</f>
        <v>490126.85</v>
      </c>
      <c r="DQ24">
        <f>490115</f>
        <v>490115</v>
      </c>
      <c r="DR24">
        <f>412884.25</f>
        <v>412884.25</v>
      </c>
      <c r="DS24">
        <f>437609.2</f>
        <v>437609.2</v>
      </c>
      <c r="DT24">
        <f>460865</f>
        <v>460865</v>
      </c>
      <c r="DU24">
        <f>464819.7</f>
        <v>464819.7</v>
      </c>
      <c r="DV24">
        <f>506613.2</f>
        <v>506613.2</v>
      </c>
      <c r="DW24">
        <f>471794.5</f>
        <v>471794.5</v>
      </c>
      <c r="DX24">
        <f>516285.95</f>
        <v>516285.95</v>
      </c>
      <c r="DY24">
        <f>456028.7</f>
        <v>456028.7</v>
      </c>
      <c r="DZ24">
        <f>369188.9</f>
        <v>369188.9</v>
      </c>
      <c r="EA24">
        <f>306323</f>
        <v>306323</v>
      </c>
      <c r="EB24">
        <f>370111</f>
        <v>370111</v>
      </c>
      <c r="EC24">
        <f>220254.55</f>
        <v>220254.55</v>
      </c>
      <c r="ED24">
        <f>270025.05</f>
        <v>270025.05</v>
      </c>
      <c r="EE24">
        <f>414730.85</f>
        <v>414730.85</v>
      </c>
      <c r="EF24">
        <f>373511</f>
        <v>373511</v>
      </c>
      <c r="EG24">
        <f>371349.7</f>
        <v>371349.7</v>
      </c>
      <c r="EH24">
        <f>392768.6</f>
        <v>392768.6</v>
      </c>
      <c r="EI24">
        <f>402319.85</f>
        <v>402319.85</v>
      </c>
      <c r="EJ24">
        <f>437613.25</f>
        <v>437613.25</v>
      </c>
      <c r="EK24">
        <f>476438.2</f>
        <v>476438.2</v>
      </c>
      <c r="EL24">
        <f>396306.5</f>
        <v>396306.5</v>
      </c>
      <c r="EM24">
        <f>427789</f>
        <v>427789</v>
      </c>
      <c r="EN24">
        <f>360744.65</f>
        <v>360744.65</v>
      </c>
      <c r="EO24">
        <f>297186.95</f>
        <v>297186.95</v>
      </c>
      <c r="EP24">
        <f>348315.75</f>
        <v>348315.75</v>
      </c>
      <c r="EQ24">
        <f>429922.75</f>
        <v>429922.75</v>
      </c>
      <c r="ER24">
        <f>468905.85</f>
        <v>468905.85</v>
      </c>
      <c r="ES24">
        <f>422792.65</f>
        <v>422792.65</v>
      </c>
      <c r="ET24">
        <f>485823.55</f>
        <v>485823.55</v>
      </c>
      <c r="EU24">
        <f>414281.5</f>
        <v>414281.5</v>
      </c>
      <c r="EV24">
        <f>420573.25</f>
        <v>420573.25</v>
      </c>
      <c r="EW24">
        <f>438164.55</f>
        <v>438164.55</v>
      </c>
      <c r="EX24">
        <f>382964</f>
        <v>382964</v>
      </c>
      <c r="EY24">
        <f>405586.8</f>
        <v>405586.8</v>
      </c>
      <c r="EZ24">
        <f>361108.3</f>
        <v>361108.3</v>
      </c>
      <c r="FA24">
        <f>264460.05</f>
        <v>264460.05</v>
      </c>
      <c r="FB24">
        <f>383089.55</f>
        <v>383089.55</v>
      </c>
      <c r="FC24">
        <f>422831.95</f>
        <v>422831.95</v>
      </c>
      <c r="FD24">
        <f>385492.05</f>
        <v>385492.05</v>
      </c>
      <c r="FE24">
        <f>463690.9</f>
        <v>463690.9</v>
      </c>
      <c r="FF24">
        <f>383385</f>
        <v>383385</v>
      </c>
      <c r="FG24">
        <f>388670.05</f>
        <v>388670.05</v>
      </c>
      <c r="FH24">
        <f>432479.15</f>
        <v>432479.15</v>
      </c>
      <c r="FI24">
        <f>417090.75</f>
        <v>417090.75</v>
      </c>
      <c r="FJ24">
        <f>372272.1</f>
        <v>372272.1</v>
      </c>
      <c r="FK24">
        <f>413021.3</f>
        <v>413021.3</v>
      </c>
      <c r="FL24">
        <f>372040.9</f>
        <v>372040.9</v>
      </c>
      <c r="FM24">
        <f>373548.95</f>
        <v>373548.95</v>
      </c>
      <c r="FN24">
        <f>298974.95</f>
        <v>298974.95</v>
      </c>
      <c r="FO24">
        <f>415422.7</f>
        <v>415422.7</v>
      </c>
      <c r="FP24">
        <f>394217.5</f>
        <v>394217.5</v>
      </c>
      <c r="FQ24">
        <f>437050.2</f>
        <v>437050.2</v>
      </c>
    </row>
    <row r="25" spans="1:173" x14ac:dyDescent="0.25">
      <c r="A25" t="str">
        <f>"        Loaded Container Exports (TEU)"</f>
        <v xml:space="preserve">        Loaded Container Exports (TEU)</v>
      </c>
      <c r="B25" t="str">
        <f>"LALBLAEX Index"</f>
        <v>LALBLAEX Index</v>
      </c>
      <c r="C25" t="str">
        <f>"PX385"</f>
        <v>PX385</v>
      </c>
      <c r="D25" t="str">
        <f>"INTERVAL_SUM"</f>
        <v>INTERVAL_SUM</v>
      </c>
      <c r="E25" t="str">
        <f>"Dynamic"</f>
        <v>Dynamic</v>
      </c>
      <c r="F25" t="str">
        <f ca="1">IF(AND(ISNUMBER($F$88),$B$69=1),$F$88,HLOOKUP(INDIRECT(ADDRESS(2,COLUMN())),OFFSET($CL$2,0,0,ROW()-1,84),ROW()-1,FALSE))</f>
        <v/>
      </c>
      <c r="G25">
        <f ca="1">IF(AND(ISNUMBER($G$88),$B$69=1),$G$88,HLOOKUP(INDIRECT(ADDRESS(2,COLUMN())),OFFSET($CL$2,0,0,ROW()-1,84),ROW()-1,FALSE))</f>
        <v>120635.25</v>
      </c>
      <c r="H25">
        <f ca="1">IF(AND(ISNUMBER($H$88),$B$69=1),$H$88,HLOOKUP(INDIRECT(ADDRESS(2,COLUMN())),OFFSET($CL$2,0,0,ROW()-1,84),ROW()-1,FALSE))</f>
        <v>124987.5</v>
      </c>
      <c r="I25">
        <f ca="1">IF(AND(ISNUMBER($I$88),$B$69=1),$I$88,HLOOKUP(INDIRECT(ADDRESS(2,COLUMN())),OFFSET($CL$2,0,0,ROW()-1,84),ROW()-1,FALSE))</f>
        <v>110372.25</v>
      </c>
      <c r="J25">
        <f ca="1">IF(AND(ISNUMBER($J$88),$B$69=1),$J$88,HLOOKUP(INDIRECT(ADDRESS(2,COLUMN())),OFFSET($CL$2,0,0,ROW()-1,84),ROW()-1,FALSE))</f>
        <v>108049.5</v>
      </c>
      <c r="K25">
        <f ca="1">IF(AND(ISNUMBER($K$88),$B$69=1),$K$88,HLOOKUP(INDIRECT(ADDRESS(2,COLUMN())),OFFSET($CL$2,0,0,ROW()-1,84),ROW()-1,FALSE))</f>
        <v>101741</v>
      </c>
      <c r="L25">
        <f ca="1">IF(AND(ISNUMBER($L$88),$B$69=1),$L$88,HLOOKUP(INDIRECT(ADDRESS(2,COLUMN())),OFFSET($CL$2,0,0,ROW()-1,84),ROW()-1,FALSE))</f>
        <v>88201.75</v>
      </c>
      <c r="M25">
        <f ca="1">IF(AND(ISNUMBER($M$88),$B$69=1),$M$88,HLOOKUP(INDIRECT(ADDRESS(2,COLUMN())),OFFSET($CL$2,0,0,ROW()-1,84),ROW()-1,FALSE))</f>
        <v>98276.25</v>
      </c>
      <c r="N25">
        <f ca="1">IF(AND(ISNUMBER($N$88),$B$69=1),$N$88,HLOOKUP(INDIRECT(ADDRESS(2,COLUMN())),OFFSET($CL$2,0,0,ROW()-1,84),ROW()-1,FALSE))</f>
        <v>82404</v>
      </c>
      <c r="O25">
        <f ca="1">IF(AND(ISNUMBER($O$88),$B$69=1),$O$88,HLOOKUP(INDIRECT(ADDRESS(2,COLUMN())),OFFSET($CL$2,0,0,ROW()-1,84),ROW()-1,FALSE))</f>
        <v>102723.25</v>
      </c>
      <c r="P25">
        <f ca="1">IF(AND(ISNUMBER($P$88),$B$69=1),$P$88,HLOOKUP(INDIRECT(ADDRESS(2,COLUMN())),OFFSET($CL$2,0,0,ROW()-1,84),ROW()-1,FALSE))</f>
        <v>96518</v>
      </c>
      <c r="Q25">
        <f ca="1">IF(AND(ISNUMBER($Q$88),$B$69=1),$Q$88,HLOOKUP(INDIRECT(ADDRESS(2,COLUMN())),OFFSET($CL$2,0,0,ROW()-1,84),ROW()-1,FALSE))</f>
        <v>90115.75</v>
      </c>
      <c r="R25">
        <f ca="1">IF(AND(ISNUMBER($R$88),$B$69=1),$R$88,HLOOKUP(INDIRECT(ADDRESS(2,COLUMN())),OFFSET($CL$2,0,0,ROW()-1,84),ROW()-1,FALSE))</f>
        <v>89721.75</v>
      </c>
      <c r="S25">
        <f ca="1">IF(AND(ISNUMBER($S$88),$B$69=1),$S$88,HLOOKUP(INDIRECT(ADDRESS(2,COLUMN())),OFFSET($CL$2,0,0,ROW()-1,84),ROW()-1,FALSE))</f>
        <v>77680.25</v>
      </c>
      <c r="T25">
        <f ca="1">IF(AND(ISNUMBER($T$88),$B$69=1),$T$88,HLOOKUP(INDIRECT(ADDRESS(2,COLUMN())),OFFSET($CL$2,0,0,ROW()-1,84),ROW()-1,FALSE))</f>
        <v>102319.25</v>
      </c>
      <c r="U25">
        <f ca="1">IF(AND(ISNUMBER($U$88),$B$69=1),$U$88,HLOOKUP(INDIRECT(ADDRESS(2,COLUMN())),OFFSET($CL$2,0,0,ROW()-1,84),ROW()-1,FALSE))</f>
        <v>103899</v>
      </c>
      <c r="V25">
        <f ca="1">IF(AND(ISNUMBER($V$88),$B$69=1),$V$88,HLOOKUP(INDIRECT(ADDRESS(2,COLUMN())),OFFSET($CL$2,0,0,ROW()-1,84),ROW()-1,FALSE))</f>
        <v>93889.5</v>
      </c>
      <c r="W25">
        <f ca="1">IF(AND(ISNUMBER($W$88),$B$69=1),$W$88,HLOOKUP(INDIRECT(ADDRESS(2,COLUMN())),OFFSET($CL$2,0,0,ROW()-1,84),ROW()-1,FALSE))</f>
        <v>125655.5</v>
      </c>
      <c r="X25">
        <f ca="1">IF(AND(ISNUMBER($X$88),$B$69=1),$X$88,HLOOKUP(INDIRECT(ADDRESS(2,COLUMN())),OFFSET($CL$2,0,0,ROW()-1,84),ROW()-1,FALSE))</f>
        <v>99878</v>
      </c>
      <c r="Y25">
        <f ca="1">IF(AND(ISNUMBER($Y$88),$B$69=1),$Y$88,HLOOKUP(INDIRECT(ADDRESS(2,COLUMN())),OFFSET($CL$2,0,0,ROW()-1,84),ROW()-1,FALSE))</f>
        <v>111781.25</v>
      </c>
      <c r="Z25">
        <f ca="1">IF(AND(ISNUMBER($Z$88),$B$69=1),$Z$88,HLOOKUP(INDIRECT(ADDRESS(2,COLUMN())),OFFSET($CL$2,0,0,ROW()-1,84),ROW()-1,FALSE))</f>
        <v>95441</v>
      </c>
      <c r="AA25">
        <f ca="1">IF(AND(ISNUMBER($AA$88),$B$69=1),$AA$88,HLOOKUP(INDIRECT(ADDRESS(2,COLUMN())),OFFSET($CL$2,0,0,ROW()-1,84),ROW()-1,FALSE))</f>
        <v>100185.25</v>
      </c>
      <c r="AB25">
        <f ca="1">IF(AND(ISNUMBER($AB$88),$B$69=1),$AB$88,HLOOKUP(INDIRECT(ADDRESS(2,COLUMN())),OFFSET($CL$2,0,0,ROW()-1,84),ROW()-1,FALSE))</f>
        <v>70871.75</v>
      </c>
      <c r="AC25">
        <f ca="1">IF(AND(ISNUMBER($AC$88),$B$69=1),$AC$88,HLOOKUP(INDIRECT(ADDRESS(2,COLUMN())),OFFSET($CL$2,0,0,ROW()-1,84),ROW()-1,FALSE))</f>
        <v>82741.350000000006</v>
      </c>
      <c r="AD25">
        <f ca="1">IF(AND(ISNUMBER($AD$88),$B$69=1),$AD$88,HLOOKUP(INDIRECT(ADDRESS(2,COLUMN())),OFFSET($CL$2,0,0,ROW()-1,84),ROW()-1,FALSE))</f>
        <v>98251.25</v>
      </c>
      <c r="AE25">
        <f ca="1">IF(AND(ISNUMBER($AE$88),$B$69=1),$AE$88,HLOOKUP(INDIRECT(ADDRESS(2,COLUMN())),OFFSET($CL$2,0,0,ROW()-1,84),ROW()-1,FALSE))</f>
        <v>75713.5</v>
      </c>
      <c r="AF25">
        <f ca="1">IF(AND(ISNUMBER($AF$88),$B$69=1),$AF$88,HLOOKUP(INDIRECT(ADDRESS(2,COLUMN())),OFFSET($CL$2,0,0,ROW()-1,84),ROW()-1,FALSE))</f>
        <v>101292</v>
      </c>
      <c r="AG25">
        <f ca="1">IF(AND(ISNUMBER($AG$88),$B$69=1),$AG$88,HLOOKUP(INDIRECT(ADDRESS(2,COLUMN())),OFFSET($CL$2,0,0,ROW()-1,84),ROW()-1,FALSE))</f>
        <v>91439.5</v>
      </c>
      <c r="AH25">
        <f ca="1">IF(AND(ISNUMBER($AH$88),$B$69=1),$AH$88,HLOOKUP(INDIRECT(ADDRESS(2,COLUMN())),OFFSET($CL$2,0,0,ROW()-1,84),ROW()-1,FALSE))</f>
        <v>96066.75</v>
      </c>
      <c r="AI25">
        <f ca="1">IF(AND(ISNUMBER($AI$88),$B$69=1),$AI$88,HLOOKUP(INDIRECT(ADDRESS(2,COLUMN())),OFFSET($CL$2,0,0,ROW()-1,84),ROW()-1,FALSE))</f>
        <v>109886</v>
      </c>
      <c r="AJ25">
        <f ca="1">IF(AND(ISNUMBER($AJ$88),$B$69=1),$AJ$88,HLOOKUP(INDIRECT(ADDRESS(2,COLUMN())),OFFSET($CL$2,0,0,ROW()-1,84),ROW()-1,FALSE))</f>
        <v>114448.5</v>
      </c>
      <c r="AK25">
        <f ca="1">IF(AND(ISNUMBER($AK$88),$B$69=1),$AK$88,HLOOKUP(INDIRECT(ADDRESS(2,COLUMN())),OFFSET($CL$2,0,0,ROW()-1,84),ROW()-1,FALSE))</f>
        <v>122899</v>
      </c>
      <c r="AL25">
        <f ca="1">IF(AND(ISNUMBER($AL$88),$B$69=1),$AL$88,HLOOKUP(INDIRECT(ADDRESS(2,COLUMN())),OFFSET($CL$2,0,0,ROW()-1,84),ROW()-1,FALSE))</f>
        <v>101208.15</v>
      </c>
      <c r="AM25">
        <f ca="1">IF(AND(ISNUMBER($AM$88),$B$69=1),$AM$88,HLOOKUP(INDIRECT(ADDRESS(2,COLUMN())),OFFSET($CL$2,0,0,ROW()-1,84),ROW()-1,FALSE))</f>
        <v>119326.75</v>
      </c>
      <c r="AN25">
        <f ca="1">IF(AND(ISNUMBER($AN$88),$B$69=1),$AN$88,HLOOKUP(INDIRECT(ADDRESS(2,COLUMN())),OFFSET($CL$2,0,0,ROW()-1,84),ROW()-1,FALSE))</f>
        <v>120265</v>
      </c>
      <c r="AO25">
        <f ca="1">IF(AND(ISNUMBER($AO$88),$B$69=1),$AO$88,HLOOKUP(INDIRECT(ADDRESS(2,COLUMN())),OFFSET($CL$2,0,0,ROW()-1,84),ROW()-1,FALSE))</f>
        <v>130916.5</v>
      </c>
      <c r="AP25">
        <f ca="1">IF(AND(ISNUMBER($AP$88),$B$69=1),$AP$88,HLOOKUP(INDIRECT(ADDRESS(2,COLUMN())),OFFSET($CL$2,0,0,ROW()-1,84),ROW()-1,FALSE))</f>
        <v>143935.75</v>
      </c>
      <c r="AQ25">
        <f ca="1">IF(AND(ISNUMBER($AQ$88),$B$69=1),$AQ$88,HLOOKUP(INDIRECT(ADDRESS(2,COLUMN())),OFFSET($CL$2,0,0,ROW()-1,84),ROW()-1,FALSE))</f>
        <v>130396.75</v>
      </c>
      <c r="AR25">
        <f ca="1">IF(AND(ISNUMBER($AR$88),$B$69=1),$AR$88,HLOOKUP(INDIRECT(ADDRESS(2,COLUMN())),OFFSET($CL$2,0,0,ROW()-1,84),ROW()-1,FALSE))</f>
        <v>131428.75</v>
      </c>
      <c r="AS25">
        <f ca="1">IF(AND(ISNUMBER($AS$88),$B$69=1),$AS$88,HLOOKUP(INDIRECT(ADDRESS(2,COLUMN())),OFFSET($CL$2,0,0,ROW()-1,84),ROW()-1,FALSE))</f>
        <v>126353.7</v>
      </c>
      <c r="AT25">
        <f ca="1">IF(AND(ISNUMBER($AT$88),$B$69=1),$AT$88,HLOOKUP(INDIRECT(ADDRESS(2,COLUMN())),OFFSET($CL$2,0,0,ROW()-1,84),ROW()-1,FALSE))</f>
        <v>109585.75</v>
      </c>
      <c r="AU25">
        <f ca="1">IF(AND(ISNUMBER($AU$88),$B$69=1),$AU$88,HLOOKUP(INDIRECT(ADDRESS(2,COLUMN())),OFFSET($CL$2,0,0,ROW()-1,84),ROW()-1,FALSE))</f>
        <v>104382</v>
      </c>
      <c r="AV25">
        <f ca="1">IF(AND(ISNUMBER($AV$88),$B$69=1),$AV$88,HLOOKUP(INDIRECT(ADDRESS(2,COLUMN())),OFFSET($CL$2,0,0,ROW()-1,84),ROW()-1,FALSE))</f>
        <v>130321.25</v>
      </c>
      <c r="AW25">
        <f ca="1">IF(AND(ISNUMBER($AW$88),$B$69=1),$AW$88,HLOOKUP(INDIRECT(ADDRESS(2,COLUMN())),OFFSET($CL$2,0,0,ROW()-1,84),ROW()-1,FALSE))</f>
        <v>121146</v>
      </c>
      <c r="AX25">
        <f ca="1">IF(AND(ISNUMBER($AX$88),$B$69=1),$AX$88,HLOOKUP(INDIRECT(ADDRESS(2,COLUMN())),OFFSET($CL$2,0,0,ROW()-1,84),ROW()-1,FALSE))</f>
        <v>134468.5</v>
      </c>
      <c r="AY25">
        <f ca="1">IF(AND(ISNUMBER($AY$88),$B$69=1),$AY$88,HLOOKUP(INDIRECT(ADDRESS(2,COLUMN())),OFFSET($CL$2,0,0,ROW()-1,84),ROW()-1,FALSE))</f>
        <v>148206</v>
      </c>
      <c r="AZ25">
        <f ca="1">IF(AND(ISNUMBER($AZ$88),$B$69=1),$AZ$88,HLOOKUP(INDIRECT(ADDRESS(2,COLUMN())),OFFSET($CL$2,0,0,ROW()-1,84),ROW()-1,FALSE))</f>
        <v>130228.5</v>
      </c>
      <c r="BA25">
        <f ca="1">IF(AND(ISNUMBER($BA$88),$B$69=1),$BA$88,HLOOKUP(INDIRECT(ADDRESS(2,COLUMN())),OFFSET($CL$2,0,0,ROW()-1,84),ROW()-1,FALSE))</f>
        <v>138544.5</v>
      </c>
      <c r="BB25">
        <f ca="1">IF(AND(ISNUMBER($BB$88),$B$69=1),$BB$88,HLOOKUP(INDIRECT(ADDRESS(2,COLUMN())),OFFSET($CL$2,0,0,ROW()-1,84),ROW()-1,FALSE))</f>
        <v>140331.5</v>
      </c>
      <c r="BC25">
        <f ca="1">IF(AND(ISNUMBER($BC$88),$B$69=1),$BC$88,HLOOKUP(INDIRECT(ADDRESS(2,COLUMN())),OFFSET($CL$2,0,0,ROW()-1,84),ROW()-1,FALSE))</f>
        <v>130768.5</v>
      </c>
      <c r="BD25">
        <f ca="1">IF(AND(ISNUMBER($BD$88),$B$69=1),$BD$88,HLOOKUP(INDIRECT(ADDRESS(2,COLUMN())),OFFSET($CL$2,0,0,ROW()-1,84),ROW()-1,FALSE))</f>
        <v>146284</v>
      </c>
      <c r="BE25">
        <f ca="1">IF(AND(ISNUMBER($BE$88),$B$69=1),$BE$88,HLOOKUP(INDIRECT(ADDRESS(2,COLUMN())),OFFSET($CL$2,0,0,ROW()-1,84),ROW()-1,FALSE))</f>
        <v>161340.25</v>
      </c>
      <c r="BF25">
        <f ca="1">IF(AND(ISNUMBER($BF$88),$B$69=1),$BF$88,HLOOKUP(INDIRECT(ADDRESS(2,COLUMN())),OFFSET($CL$2,0,0,ROW()-1,84),ROW()-1,FALSE))</f>
        <v>139318</v>
      </c>
      <c r="BG25">
        <f ca="1">IF(AND(ISNUMBER($BG$88),$B$69=1),$BG$88,HLOOKUP(INDIRECT(ADDRESS(2,COLUMN())),OFFSET($CL$2,0,0,ROW()-1,84),ROW()-1,FALSE))</f>
        <v>167357.25</v>
      </c>
      <c r="BH25">
        <f ca="1">IF(AND(ISNUMBER($BH$88),$B$69=1),$BH$88,HLOOKUP(INDIRECT(ADDRESS(2,COLUMN())),OFFSET($CL$2,0,0,ROW()-1,84),ROW()-1,FALSE))</f>
        <v>155532.75</v>
      </c>
      <c r="BI25">
        <f ca="1">IF(AND(ISNUMBER($BI$88),$B$69=1),$BI$88,HLOOKUP(INDIRECT(ADDRESS(2,COLUMN())),OFFSET($CL$2,0,0,ROW()-1,84),ROW()-1,FALSE))</f>
        <v>158923.75</v>
      </c>
      <c r="BJ25">
        <f ca="1">IF(AND(ISNUMBER($BJ$88),$B$69=1),$BJ$88,HLOOKUP(INDIRECT(ADDRESS(2,COLUMN())),OFFSET($CL$2,0,0,ROW()-1,84),ROW()-1,FALSE))</f>
        <v>142554.5</v>
      </c>
      <c r="BK25">
        <f ca="1">IF(AND(ISNUMBER($BK$88),$B$69=1),$BK$88,HLOOKUP(INDIRECT(ADDRESS(2,COLUMN())),OFFSET($CL$2,0,0,ROW()-1,84),ROW()-1,FALSE))</f>
        <v>144993</v>
      </c>
      <c r="BL25">
        <f ca="1">IF(AND(ISNUMBER($BL$88),$B$69=1),$BL$88,HLOOKUP(INDIRECT(ADDRESS(2,COLUMN())),OFFSET($CL$2,0,0,ROW()-1,84),ROW()-1,FALSE))</f>
        <v>147965.4</v>
      </c>
      <c r="BM25">
        <f ca="1">IF(AND(ISNUMBER($BM$88),$B$69=1),$BM$88,HLOOKUP(INDIRECT(ADDRESS(2,COLUMN())),OFFSET($CL$2,0,0,ROW()-1,84),ROW()-1,FALSE))</f>
        <v>152527</v>
      </c>
      <c r="BN25">
        <f ca="1">IF(AND(ISNUMBER($BN$88),$B$69=1),$BN$88,HLOOKUP(INDIRECT(ADDRESS(2,COLUMN())),OFFSET($CL$2,0,0,ROW()-1,84),ROW()-1,FALSE))</f>
        <v>173823.9</v>
      </c>
      <c r="BO25">
        <f ca="1">IF(AND(ISNUMBER($BO$88),$B$69=1),$BO$88,HLOOKUP(INDIRECT(ADDRESS(2,COLUMN())),OFFSET($CL$2,0,0,ROW()-1,84),ROW()-1,FALSE))</f>
        <v>146999.5</v>
      </c>
      <c r="BP25">
        <f ca="1">IF(AND(ISNUMBER($BP$88),$B$69=1),$BP$88,HLOOKUP(INDIRECT(ADDRESS(2,COLUMN())),OFFSET($CL$2,0,0,ROW()-1,84),ROW()-1,FALSE))</f>
        <v>162465.5</v>
      </c>
      <c r="BQ25">
        <f ca="1">IF(AND(ISNUMBER($BQ$88),$B$69=1),$BQ$88,HLOOKUP(INDIRECT(ADDRESS(2,COLUMN())),OFFSET($CL$2,0,0,ROW()-1,84),ROW()-1,FALSE))</f>
        <v>167991.75</v>
      </c>
      <c r="BR25">
        <f ca="1">IF(AND(ISNUMBER($BR$88),$B$69=1),$BR$88,HLOOKUP(INDIRECT(ADDRESS(2,COLUMN())),OFFSET($CL$2,0,0,ROW()-1,84),ROW()-1,FALSE))</f>
        <v>147563.25</v>
      </c>
      <c r="BS25">
        <f ca="1">IF(AND(ISNUMBER($BS$88),$B$69=1),$BS$88,HLOOKUP(INDIRECT(ADDRESS(2,COLUMN())),OFFSET($CL$2,0,0,ROW()-1,84),ROW()-1,FALSE))</f>
        <v>168680.75</v>
      </c>
      <c r="BT25">
        <f ca="1">IF(AND(ISNUMBER($BT$88),$B$69=1),$BT$88,HLOOKUP(INDIRECT(ADDRESS(2,COLUMN())),OFFSET($CL$2,0,0,ROW()-1,84),ROW()-1,FALSE))</f>
        <v>164703.65</v>
      </c>
      <c r="BU25">
        <f ca="1">IF(AND(ISNUMBER($BU$88),$B$69=1),$BU$88,HLOOKUP(INDIRECT(ADDRESS(2,COLUMN())),OFFSET($CL$2,0,0,ROW()-1,84),ROW()-1,FALSE))</f>
        <v>163706.65</v>
      </c>
      <c r="BV25">
        <f ca="1">IF(AND(ISNUMBER($BV$88),$B$69=1),$BV$88,HLOOKUP(INDIRECT(ADDRESS(2,COLUMN())),OFFSET($CL$2,0,0,ROW()-1,84),ROW()-1,FALSE))</f>
        <v>157591.25</v>
      </c>
      <c r="BW25">
        <f ca="1">IF(AND(ISNUMBER($BW$88),$B$69=1),$BW$88,HLOOKUP(INDIRECT(ADDRESS(2,COLUMN())),OFFSET($CL$2,0,0,ROW()-1,84),ROW()-1,FALSE))</f>
        <v>150035.25</v>
      </c>
      <c r="BX25">
        <f ca="1">IF(AND(ISNUMBER($BX$88),$B$69=1),$BX$88,HLOOKUP(INDIRECT(ADDRESS(2,COLUMN())),OFFSET($CL$2,0,0,ROW()-1,84),ROW()-1,FALSE))</f>
        <v>152865.5</v>
      </c>
      <c r="BY25">
        <f ca="1">IF(AND(ISNUMBER($BY$88),$B$69=1),$BY$88,HLOOKUP(INDIRECT(ADDRESS(2,COLUMN())),OFFSET($CL$2,0,0,ROW()-1,84),ROW()-1,FALSE))</f>
        <v>177913</v>
      </c>
      <c r="BZ25">
        <f ca="1">IF(AND(ISNUMBER($BZ$88),$B$69=1),$BZ$88,HLOOKUP(INDIRECT(ADDRESS(2,COLUMN())),OFFSET($CL$2,0,0,ROW()-1,84),ROW()-1,FALSE))</f>
        <v>144209.75</v>
      </c>
      <c r="CA25">
        <f ca="1">IF(AND(ISNUMBER($CA$88),$B$69=1),$CA$88,HLOOKUP(INDIRECT(ADDRESS(2,COLUMN())),OFFSET($CL$2,0,0,ROW()-1,84),ROW()-1,FALSE))</f>
        <v>128445.5</v>
      </c>
      <c r="CB25">
        <f ca="1">IF(AND(ISNUMBER($CB$88),$B$69=1),$CB$88,HLOOKUP(INDIRECT(ADDRESS(2,COLUMN())),OFFSET($CL$2,0,0,ROW()-1,84),ROW()-1,FALSE))</f>
        <v>159197</v>
      </c>
      <c r="CC25">
        <f ca="1">IF(AND(ISNUMBER($CC$88),$B$69=1),$CC$88,HLOOKUP(INDIRECT(ADDRESS(2,COLUMN())),OFFSET($CL$2,0,0,ROW()-1,84),ROW()-1,FALSE))</f>
        <v>154925.75</v>
      </c>
      <c r="CD25">
        <f ca="1">IF(AND(ISNUMBER($CD$88),$B$69=1),$CD$88,HLOOKUP(INDIRECT(ADDRESS(2,COLUMN())),OFFSET($CL$2,0,0,ROW()-1,84),ROW()-1,FALSE))</f>
        <v>145527.5</v>
      </c>
      <c r="CE25">
        <f ca="1">IF(AND(ISNUMBER($CE$88),$B$69=1),$CE$88,HLOOKUP(INDIRECT(ADDRESS(2,COLUMN())),OFFSET($CL$2,0,0,ROW()-1,84),ROW()-1,FALSE))</f>
        <v>169639</v>
      </c>
      <c r="CF25">
        <f ca="1">IF(AND(ISNUMBER($CF$88),$B$69=1),$CF$88,HLOOKUP(INDIRECT(ADDRESS(2,COLUMN())),OFFSET($CL$2,0,0,ROW()-1,84),ROW()-1,FALSE))</f>
        <v>157661.5</v>
      </c>
      <c r="CG25">
        <f ca="1">IF(AND(ISNUMBER($CG$88),$B$69=1),$CG$88,HLOOKUP(INDIRECT(ADDRESS(2,COLUMN())),OFFSET($CL$2,0,0,ROW()-1,84),ROW()-1,FALSE))</f>
        <v>191771.75</v>
      </c>
      <c r="CH25">
        <f ca="1">IF(AND(ISNUMBER($CH$88),$B$69=1),$CH$88,HLOOKUP(INDIRECT(ADDRESS(2,COLUMN())),OFFSET($CL$2,0,0,ROW()-1,84),ROW()-1,FALSE))</f>
        <v>155357.65</v>
      </c>
      <c r="CI25">
        <f ca="1">IF(AND(ISNUMBER($CI$88),$B$69=1),$CI$88,HLOOKUP(INDIRECT(ADDRESS(2,COLUMN())),OFFSET($CL$2,0,0,ROW()-1,84),ROW()-1,FALSE))</f>
        <v>162420</v>
      </c>
      <c r="CJ25">
        <f ca="1">IF(AND(ISNUMBER($CJ$88),$B$69=1),$CJ$88,HLOOKUP(INDIRECT(ADDRESS(2,COLUMN())),OFFSET($CL$2,0,0,ROW()-1,84),ROW()-1,FALSE))</f>
        <v>164900.5</v>
      </c>
      <c r="CK25">
        <f ca="1">IF(AND(ISNUMBER($CK$88),$B$69=1),$CK$88,HLOOKUP(INDIRECT(ADDRESS(2,COLUMN())),OFFSET($CL$2,0,0,ROW()-1,84),ROW()-1,FALSE))</f>
        <v>177359.75</v>
      </c>
      <c r="CL25" t="str">
        <f>""</f>
        <v/>
      </c>
      <c r="CM25">
        <f>120635.25</f>
        <v>120635.25</v>
      </c>
      <c r="CN25">
        <f>124987.5</f>
        <v>124987.5</v>
      </c>
      <c r="CO25">
        <f>110372.25</f>
        <v>110372.25</v>
      </c>
      <c r="CP25">
        <f>108049.5</f>
        <v>108049.5</v>
      </c>
      <c r="CQ25">
        <f>101741</f>
        <v>101741</v>
      </c>
      <c r="CR25">
        <f>88201.75</f>
        <v>88201.75</v>
      </c>
      <c r="CS25">
        <f>98276.25</f>
        <v>98276.25</v>
      </c>
      <c r="CT25">
        <f>82404</f>
        <v>82404</v>
      </c>
      <c r="CU25">
        <f>102723.25</f>
        <v>102723.25</v>
      </c>
      <c r="CV25">
        <f>96518</f>
        <v>96518</v>
      </c>
      <c r="CW25">
        <f>90115.75</f>
        <v>90115.75</v>
      </c>
      <c r="CX25">
        <f>89721.75</f>
        <v>89721.75</v>
      </c>
      <c r="CY25">
        <f>77680.25</f>
        <v>77680.25</v>
      </c>
      <c r="CZ25">
        <f>102319.25</f>
        <v>102319.25</v>
      </c>
      <c r="DA25">
        <f>103899</f>
        <v>103899</v>
      </c>
      <c r="DB25">
        <f>93889.5</f>
        <v>93889.5</v>
      </c>
      <c r="DC25">
        <f>125655.5</f>
        <v>125655.5</v>
      </c>
      <c r="DD25">
        <f>99878</f>
        <v>99878</v>
      </c>
      <c r="DE25">
        <f>111781.25</f>
        <v>111781.25</v>
      </c>
      <c r="DF25">
        <f>95441</f>
        <v>95441</v>
      </c>
      <c r="DG25">
        <f>100185.25</f>
        <v>100185.25</v>
      </c>
      <c r="DH25">
        <f>70871.75</f>
        <v>70871.75</v>
      </c>
      <c r="DI25">
        <f>82741.35</f>
        <v>82741.350000000006</v>
      </c>
      <c r="DJ25">
        <f>98251.25</f>
        <v>98251.25</v>
      </c>
      <c r="DK25">
        <f>75713.5</f>
        <v>75713.5</v>
      </c>
      <c r="DL25">
        <f>101292</f>
        <v>101292</v>
      </c>
      <c r="DM25">
        <f>91439.5</f>
        <v>91439.5</v>
      </c>
      <c r="DN25">
        <f>96066.75</f>
        <v>96066.75</v>
      </c>
      <c r="DO25">
        <f>109886</f>
        <v>109886</v>
      </c>
      <c r="DP25">
        <f>114448.5</f>
        <v>114448.5</v>
      </c>
      <c r="DQ25">
        <f>122899</f>
        <v>122899</v>
      </c>
      <c r="DR25">
        <f>101208.15</f>
        <v>101208.15</v>
      </c>
      <c r="DS25">
        <f>119326.75</f>
        <v>119326.75</v>
      </c>
      <c r="DT25">
        <f>120265</f>
        <v>120265</v>
      </c>
      <c r="DU25">
        <f>130916.5</f>
        <v>130916.5</v>
      </c>
      <c r="DV25">
        <f>143935.75</f>
        <v>143935.75</v>
      </c>
      <c r="DW25">
        <f>130396.75</f>
        <v>130396.75</v>
      </c>
      <c r="DX25">
        <f>131428.75</f>
        <v>131428.75</v>
      </c>
      <c r="DY25">
        <f>126353.7</f>
        <v>126353.7</v>
      </c>
      <c r="DZ25">
        <f>109585.75</f>
        <v>109585.75</v>
      </c>
      <c r="EA25">
        <f>104382</f>
        <v>104382</v>
      </c>
      <c r="EB25">
        <f>130321.25</f>
        <v>130321.25</v>
      </c>
      <c r="EC25">
        <f>121146</f>
        <v>121146</v>
      </c>
      <c r="ED25">
        <f>134468.5</f>
        <v>134468.5</v>
      </c>
      <c r="EE25">
        <f>148206</f>
        <v>148206</v>
      </c>
      <c r="EF25">
        <f>130228.5</f>
        <v>130228.5</v>
      </c>
      <c r="EG25">
        <f>138544.5</f>
        <v>138544.5</v>
      </c>
      <c r="EH25">
        <f>140331.5</f>
        <v>140331.5</v>
      </c>
      <c r="EI25">
        <f>130768.5</f>
        <v>130768.5</v>
      </c>
      <c r="EJ25">
        <f>146284</f>
        <v>146284</v>
      </c>
      <c r="EK25">
        <f>161340.25</f>
        <v>161340.25</v>
      </c>
      <c r="EL25">
        <f>139318</f>
        <v>139318</v>
      </c>
      <c r="EM25">
        <f>167357.25</f>
        <v>167357.25</v>
      </c>
      <c r="EN25">
        <f>155532.75</f>
        <v>155532.75</v>
      </c>
      <c r="EO25">
        <f>158923.75</f>
        <v>158923.75</v>
      </c>
      <c r="EP25">
        <f>142554.5</f>
        <v>142554.5</v>
      </c>
      <c r="EQ25">
        <f>144993</f>
        <v>144993</v>
      </c>
      <c r="ER25">
        <f>147965.4</f>
        <v>147965.4</v>
      </c>
      <c r="ES25">
        <f>152527</f>
        <v>152527</v>
      </c>
      <c r="ET25">
        <f>173823.9</f>
        <v>173823.9</v>
      </c>
      <c r="EU25">
        <f>146999.5</f>
        <v>146999.5</v>
      </c>
      <c r="EV25">
        <f>162465.5</f>
        <v>162465.5</v>
      </c>
      <c r="EW25">
        <f>167991.75</f>
        <v>167991.75</v>
      </c>
      <c r="EX25">
        <f>147563.25</f>
        <v>147563.25</v>
      </c>
      <c r="EY25">
        <f>168680.75</f>
        <v>168680.75</v>
      </c>
      <c r="EZ25">
        <f>164703.65</f>
        <v>164703.65</v>
      </c>
      <c r="FA25">
        <f>163706.65</f>
        <v>163706.65</v>
      </c>
      <c r="FB25">
        <f>157591.25</f>
        <v>157591.25</v>
      </c>
      <c r="FC25">
        <f>150035.25</f>
        <v>150035.25</v>
      </c>
      <c r="FD25">
        <f>152865.5</f>
        <v>152865.5</v>
      </c>
      <c r="FE25">
        <f>177913</f>
        <v>177913</v>
      </c>
      <c r="FF25">
        <f>144209.75</f>
        <v>144209.75</v>
      </c>
      <c r="FG25">
        <f>128445.5</f>
        <v>128445.5</v>
      </c>
      <c r="FH25">
        <f>159197</f>
        <v>159197</v>
      </c>
      <c r="FI25">
        <f>154925.75</f>
        <v>154925.75</v>
      </c>
      <c r="FJ25">
        <f>145527.5</f>
        <v>145527.5</v>
      </c>
      <c r="FK25">
        <f>169639</f>
        <v>169639</v>
      </c>
      <c r="FL25">
        <f>157661.5</f>
        <v>157661.5</v>
      </c>
      <c r="FM25">
        <f>191771.75</f>
        <v>191771.75</v>
      </c>
      <c r="FN25">
        <f>155357.65</f>
        <v>155357.65</v>
      </c>
      <c r="FO25">
        <f>162420</f>
        <v>162420</v>
      </c>
      <c r="FP25">
        <f>164900.5</f>
        <v>164900.5</v>
      </c>
      <c r="FQ25">
        <f>177359.75</f>
        <v>177359.75</v>
      </c>
    </row>
    <row r="26" spans="1:173" x14ac:dyDescent="0.25">
      <c r="A26" t="str">
        <f>"        Empty Containers (TEU)"</f>
        <v xml:space="preserve">        Empty Containers (TEU)</v>
      </c>
      <c r="B26" t="str">
        <f>"LALBLAEM Index"</f>
        <v>LALBLAEM Index</v>
      </c>
      <c r="C26" t="str">
        <f>"PX385"</f>
        <v>PX385</v>
      </c>
      <c r="D26" t="str">
        <f>"INTERVAL_SUM"</f>
        <v>INTERVAL_SUM</v>
      </c>
      <c r="E26" t="str">
        <f>"Dynamic"</f>
        <v>Dynamic</v>
      </c>
      <c r="F26" t="str">
        <f ca="1">IF(AND(ISNUMBER($F$89),$B$69=1),$F$89,HLOOKUP(INDIRECT(ADDRESS(2,COLUMN())),OFFSET($CL$2,0,0,ROW()-1,84),ROW()-1,FALSE))</f>
        <v/>
      </c>
      <c r="G26">
        <f ca="1">IF(AND(ISNUMBER($G$89),$B$69=1),$G$89,HLOOKUP(INDIRECT(ADDRESS(2,COLUMN())),OFFSET($CL$2,0,0,ROW()-1,84),ROW()-1,FALSE))</f>
        <v>235196.5</v>
      </c>
      <c r="H26">
        <f ca="1">IF(AND(ISNUMBER($H$89),$B$69=1),$H$89,HLOOKUP(INDIRECT(ADDRESS(2,COLUMN())),OFFSET($CL$2,0,0,ROW()-1,84),ROW()-1,FALSE))</f>
        <v>269803.95</v>
      </c>
      <c r="I26">
        <f ca="1">IF(AND(ISNUMBER($I$89),$B$69=1),$I$89,HLOOKUP(INDIRECT(ADDRESS(2,COLUMN())),OFFSET($CL$2,0,0,ROW()-1,84),ROW()-1,FALSE))</f>
        <v>209710.2</v>
      </c>
      <c r="J26">
        <f ca="1">IF(AND(ISNUMBER($J$89),$B$69=1),$J$89,HLOOKUP(INDIRECT(ADDRESS(2,COLUMN())),OFFSET($CL$2,0,0,ROW()-1,84),ROW()-1,FALSE))</f>
        <v>289679.3</v>
      </c>
      <c r="K26">
        <f ca="1">IF(AND(ISNUMBER($K$89),$B$69=1),$K$89,HLOOKUP(INDIRECT(ADDRESS(2,COLUMN())),OFFSET($CL$2,0,0,ROW()-1,84),ROW()-1,FALSE))</f>
        <v>268249</v>
      </c>
      <c r="L26">
        <f ca="1">IF(AND(ISNUMBER($L$89),$B$69=1),$L$89,HLOOKUP(INDIRECT(ADDRESS(2,COLUMN())),OFFSET($CL$2,0,0,ROW()-1,84),ROW()-1,FALSE))</f>
        <v>256219.5</v>
      </c>
      <c r="M26">
        <f ca="1">IF(AND(ISNUMBER($M$89),$B$69=1),$M$89,HLOOKUP(INDIRECT(ADDRESS(2,COLUMN())),OFFSET($CL$2,0,0,ROW()-1,84),ROW()-1,FALSE))</f>
        <v>204995.55</v>
      </c>
      <c r="N26">
        <f ca="1">IF(AND(ISNUMBER($N$89),$B$69=1),$N$89,HLOOKUP(INDIRECT(ADDRESS(2,COLUMN())),OFFSET($CL$2,0,0,ROW()-1,84),ROW()-1,FALSE))</f>
        <v>156034.70000000001</v>
      </c>
      <c r="O26">
        <f ca="1">IF(AND(ISNUMBER($O$89),$B$69=1),$O$89,HLOOKUP(INDIRECT(ADDRESS(2,COLUMN())),OFFSET($CL$2,0,0,ROW()-1,84),ROW()-1,FALSE))</f>
        <v>251250.7</v>
      </c>
      <c r="P26">
        <f ca="1">IF(AND(ISNUMBER($P$89),$B$69=1),$P$89,HLOOKUP(INDIRECT(ADDRESS(2,COLUMN())),OFFSET($CL$2,0,0,ROW()-1,84),ROW()-1,FALSE))</f>
        <v>280307.15000000002</v>
      </c>
      <c r="Q26">
        <f ca="1">IF(AND(ISNUMBER($Q$89),$B$69=1),$Q$89,HLOOKUP(INDIRECT(ADDRESS(2,COLUMN())),OFFSET($CL$2,0,0,ROW()-1,84),ROW()-1,FALSE))</f>
        <v>242147.95</v>
      </c>
      <c r="R26">
        <f ca="1">IF(AND(ISNUMBER($R$89),$B$69=1),$R$89,HLOOKUP(INDIRECT(ADDRESS(2,COLUMN())),OFFSET($CL$2,0,0,ROW()-1,84),ROW()-1,FALSE))</f>
        <v>252400.8</v>
      </c>
      <c r="S26">
        <f ca="1">IF(AND(ISNUMBER($S$89),$B$69=1),$S$89,HLOOKUP(INDIRECT(ADDRESS(2,COLUMN())),OFFSET($CL$2,0,0,ROW()-1,84),ROW()-1,FALSE))</f>
        <v>288731.40000000002</v>
      </c>
      <c r="T26">
        <f ca="1">IF(AND(ISNUMBER($T$89),$B$69=1),$T$89,HLOOKUP(INDIRECT(ADDRESS(2,COLUMN())),OFFSET($CL$2,0,0,ROW()-1,84),ROW()-1,FALSE))</f>
        <v>299393.5</v>
      </c>
      <c r="U26">
        <f ca="1">IF(AND(ISNUMBER($U$89),$B$69=1),$U$89,HLOOKUP(INDIRECT(ADDRESS(2,COLUMN())),OFFSET($CL$2,0,0,ROW()-1,84),ROW()-1,FALSE))</f>
        <v>346072.55</v>
      </c>
      <c r="V26">
        <f ca="1">IF(AND(ISNUMBER($V$89),$B$69=1),$V$89,HLOOKUP(INDIRECT(ADDRESS(2,COLUMN())),OFFSET($CL$2,0,0,ROW()-1,84),ROW()-1,FALSE))</f>
        <v>338041.4</v>
      </c>
      <c r="W26">
        <f ca="1">IF(AND(ISNUMBER($W$89),$B$69=1),$W$89,HLOOKUP(INDIRECT(ADDRESS(2,COLUMN())),OFFSET($CL$2,0,0,ROW()-1,84),ROW()-1,FALSE))</f>
        <v>342284.5</v>
      </c>
      <c r="X26">
        <f ca="1">IF(AND(ISNUMBER($X$89),$B$69=1),$X$89,HLOOKUP(INDIRECT(ADDRESS(2,COLUMN())),OFFSET($CL$2,0,0,ROW()-1,84),ROW()-1,FALSE))</f>
        <v>330809.8</v>
      </c>
      <c r="Y26">
        <f ca="1">IF(AND(ISNUMBER($Y$89),$B$69=1),$Y$89,HLOOKUP(INDIRECT(ADDRESS(2,COLUMN())),OFFSET($CL$2,0,0,ROW()-1,84),ROW()-1,FALSE))</f>
        <v>351697</v>
      </c>
      <c r="Z26">
        <f ca="1">IF(AND(ISNUMBER($Z$89),$B$69=1),$Z$89,HLOOKUP(INDIRECT(ADDRESS(2,COLUMN())),OFFSET($CL$2,0,0,ROW()-1,84),ROW()-1,FALSE))</f>
        <v>338250.55</v>
      </c>
      <c r="AA26">
        <f ca="1">IF(AND(ISNUMBER($AA$89),$B$69=1),$AA$89,HLOOKUP(INDIRECT(ADDRESS(2,COLUMN())),OFFSET($CL$2,0,0,ROW()-1,84),ROW()-1,FALSE))</f>
        <v>338202.4</v>
      </c>
      <c r="AB26">
        <f ca="1">IF(AND(ISNUMBER($AB$89),$B$69=1),$AB$89,HLOOKUP(INDIRECT(ADDRESS(2,COLUMN())),OFFSET($CL$2,0,0,ROW()-1,84),ROW()-1,FALSE))</f>
        <v>330466.3</v>
      </c>
      <c r="AC26">
        <f ca="1">IF(AND(ISNUMBER($AC$89),$B$69=1),$AC$89,HLOOKUP(INDIRECT(ADDRESS(2,COLUMN())),OFFSET($CL$2,0,0,ROW()-1,84),ROW()-1,FALSE))</f>
        <v>325274.65000000002</v>
      </c>
      <c r="AD26">
        <f ca="1">IF(AND(ISNUMBER($AD$89),$B$69=1),$AD$89,HLOOKUP(INDIRECT(ADDRESS(2,COLUMN())),OFFSET($CL$2,0,0,ROW()-1,84),ROW()-1,FALSE))</f>
        <v>337106</v>
      </c>
      <c r="AE26">
        <f ca="1">IF(AND(ISNUMBER($AE$89),$B$69=1),$AE$89,HLOOKUP(INDIRECT(ADDRESS(2,COLUMN())),OFFSET($CL$2,0,0,ROW()-1,84),ROW()-1,FALSE))</f>
        <v>360091.95</v>
      </c>
      <c r="AF26">
        <f ca="1">IF(AND(ISNUMBER($AF$89),$B$69=1),$AF$89,HLOOKUP(INDIRECT(ADDRESS(2,COLUMN())),OFFSET($CL$2,0,0,ROW()-1,84),ROW()-1,FALSE))</f>
        <v>367413.2</v>
      </c>
      <c r="AG26">
        <f ca="1">IF(AND(ISNUMBER($AG$89),$B$69=1),$AG$89,HLOOKUP(INDIRECT(ADDRESS(2,COLUMN())),OFFSET($CL$2,0,0,ROW()-1,84),ROW()-1,FALSE))</f>
        <v>329999.45</v>
      </c>
      <c r="AH26">
        <f ca="1">IF(AND(ISNUMBER($AH$89),$B$69=1),$AH$89,HLOOKUP(INDIRECT(ADDRESS(2,COLUMN())),OFFSET($CL$2,0,0,ROW()-1,84),ROW()-1,FALSE))</f>
        <v>312600.34999999998</v>
      </c>
      <c r="AI26">
        <f ca="1">IF(AND(ISNUMBER($AI$89),$B$69=1),$AI$89,HLOOKUP(INDIRECT(ADDRESS(2,COLUMN())),OFFSET($CL$2,0,0,ROW()-1,84),ROW()-1,FALSE))</f>
        <v>366447.65</v>
      </c>
      <c r="AJ26">
        <f ca="1">IF(AND(ISNUMBER($AJ$89),$B$69=1),$AJ$89,HLOOKUP(INDIRECT(ADDRESS(2,COLUMN())),OFFSET($CL$2,0,0,ROW()-1,84),ROW()-1,FALSE))</f>
        <v>342391</v>
      </c>
      <c r="AK26">
        <f ca="1">IF(AND(ISNUMBER($AK$89),$B$69=1),$AK$89,HLOOKUP(INDIRECT(ADDRESS(2,COLUMN())),OFFSET($CL$2,0,0,ROW()-1,84),ROW()-1,FALSE))</f>
        <v>344585.25</v>
      </c>
      <c r="AL26">
        <f ca="1">IF(AND(ISNUMBER($AL$89),$B$69=1),$AL$89,HLOOKUP(INDIRECT(ADDRESS(2,COLUMN())),OFFSET($CL$2,0,0,ROW()-1,84),ROW()-1,FALSE))</f>
        <v>285223</v>
      </c>
      <c r="AM26">
        <f ca="1">IF(AND(ISNUMBER($AM$89),$B$69=1),$AM$89,HLOOKUP(INDIRECT(ADDRESS(2,COLUMN())),OFFSET($CL$2,0,0,ROW()-1,84),ROW()-1,FALSE))</f>
        <v>278580.25</v>
      </c>
      <c r="AN26">
        <f ca="1">IF(AND(ISNUMBER($AN$89),$B$69=1),$AN$89,HLOOKUP(INDIRECT(ADDRESS(2,COLUMN())),OFFSET($CL$2,0,0,ROW()-1,84),ROW()-1,FALSE))</f>
        <v>298056.05</v>
      </c>
      <c r="AO26">
        <f ca="1">IF(AND(ISNUMBER($AO$89),$B$69=1),$AO$89,HLOOKUP(INDIRECT(ADDRESS(2,COLUMN())),OFFSET($CL$2,0,0,ROW()-1,84),ROW()-1,FALSE))</f>
        <v>294009.95</v>
      </c>
      <c r="AP26">
        <f ca="1">IF(AND(ISNUMBER($AP$89),$B$69=1),$AP$89,HLOOKUP(INDIRECT(ADDRESS(2,COLUMN())),OFFSET($CL$2,0,0,ROW()-1,84),ROW()-1,FALSE))</f>
        <v>330179.59999999998</v>
      </c>
      <c r="AQ26">
        <f ca="1">IF(AND(ISNUMBER($AQ$89),$B$69=1),$AQ$89,HLOOKUP(INDIRECT(ADDRESS(2,COLUMN())),OFFSET($CL$2,0,0,ROW()-1,84),ROW()-1,FALSE))</f>
        <v>281433.55</v>
      </c>
      <c r="AR26">
        <f ca="1">IF(AND(ISNUMBER($AR$89),$B$69=1),$AR$89,HLOOKUP(INDIRECT(ADDRESS(2,COLUMN())),OFFSET($CL$2,0,0,ROW()-1,84),ROW()-1,FALSE))</f>
        <v>314118.05</v>
      </c>
      <c r="AS26">
        <f ca="1">IF(AND(ISNUMBER($AS$89),$B$69=1),$AS$89,HLOOKUP(INDIRECT(ADDRESS(2,COLUMN())),OFFSET($CL$2,0,0,ROW()-1,84),ROW()-1,FALSE))</f>
        <v>274006.75</v>
      </c>
      <c r="AT26">
        <f ca="1">IF(AND(ISNUMBER($AT$89),$B$69=1),$AT$89,HLOOKUP(INDIRECT(ADDRESS(2,COLUMN())),OFFSET($CL$2,0,0,ROW()-1,84),ROW()-1,FALSE))</f>
        <v>212700.75</v>
      </c>
      <c r="AU26">
        <f ca="1">IF(AND(ISNUMBER($AU$89),$B$69=1),$AU$89,HLOOKUP(INDIRECT(ADDRESS(2,COLUMN())),OFFSET($CL$2,0,0,ROW()-1,84),ROW()-1,FALSE))</f>
        <v>170959.75</v>
      </c>
      <c r="AV26">
        <f ca="1">IF(AND(ISNUMBER($AV$89),$B$69=1),$AV$89,HLOOKUP(INDIRECT(ADDRESS(2,COLUMN())),OFFSET($CL$2,0,0,ROW()-1,84),ROW()-1,FALSE))</f>
        <v>188566.75</v>
      </c>
      <c r="AW26">
        <f ca="1">IF(AND(ISNUMBER($AW$89),$B$69=1),$AW$89,HLOOKUP(INDIRECT(ADDRESS(2,COLUMN())),OFFSET($CL$2,0,0,ROW()-1,84),ROW()-1,FALSE))</f>
        <v>108167.75</v>
      </c>
      <c r="AX26">
        <f ca="1">IF(AND(ISNUMBER($AX$89),$B$69=1),$AX$89,HLOOKUP(INDIRECT(ADDRESS(2,COLUMN())),OFFSET($CL$2,0,0,ROW()-1,84),ROW()-1,FALSE))</f>
        <v>139543.75</v>
      </c>
      <c r="AY26">
        <f ca="1">IF(AND(ISNUMBER($AY$89),$B$69=1),$AY$89,HLOOKUP(INDIRECT(ADDRESS(2,COLUMN())),OFFSET($CL$2,0,0,ROW()-1,84),ROW()-1,FALSE))</f>
        <v>243206.9</v>
      </c>
      <c r="AZ26">
        <f ca="1">IF(AND(ISNUMBER($AZ$89),$B$69=1),$AZ$89,HLOOKUP(INDIRECT(ADDRESS(2,COLUMN())),OFFSET($CL$2,0,0,ROW()-1,84),ROW()-1,FALSE))</f>
        <v>243010.25</v>
      </c>
      <c r="BA26">
        <f ca="1">IF(AND(ISNUMBER($BA$89),$B$69=1),$BA$89,HLOOKUP(INDIRECT(ADDRESS(2,COLUMN())),OFFSET($CL$2,0,0,ROW()-1,84),ROW()-1,FALSE))</f>
        <v>219023.7</v>
      </c>
      <c r="BB26">
        <f ca="1">IF(AND(ISNUMBER($BB$89),$B$69=1),$BB$89,HLOOKUP(INDIRECT(ADDRESS(2,COLUMN())),OFFSET($CL$2,0,0,ROW()-1,84),ROW()-1,FALSE))</f>
        <v>237088.4</v>
      </c>
      <c r="BC26">
        <f ca="1">IF(AND(ISNUMBER($BC$89),$B$69=1),$BC$89,HLOOKUP(INDIRECT(ADDRESS(2,COLUMN())),OFFSET($CL$2,0,0,ROW()-1,84),ROW()-1,FALSE))</f>
        <v>246814.4</v>
      </c>
      <c r="BD26">
        <f ca="1">IF(AND(ISNUMBER($BD$89),$B$69=1),$BD$89,HLOOKUP(INDIRECT(ADDRESS(2,COLUMN())),OFFSET($CL$2,0,0,ROW()-1,84),ROW()-1,FALSE))</f>
        <v>277183.55</v>
      </c>
      <c r="BE26">
        <f ca="1">IF(AND(ISNUMBER($BE$89),$B$69=1),$BE$89,HLOOKUP(INDIRECT(ADDRESS(2,COLUMN())),OFFSET($CL$2,0,0,ROW()-1,84),ROW()-1,FALSE))</f>
        <v>274375.7</v>
      </c>
      <c r="BF26">
        <f ca="1">IF(AND(ISNUMBER($BF$89),$B$69=1),$BF$89,HLOOKUP(INDIRECT(ADDRESS(2,COLUMN())),OFFSET($CL$2,0,0,ROW()-1,84),ROW()-1,FALSE))</f>
        <v>229152.75</v>
      </c>
      <c r="BG26">
        <f ca="1">IF(AND(ISNUMBER($BG$89),$B$69=1),$BG$89,HLOOKUP(INDIRECT(ADDRESS(2,COLUMN())),OFFSET($CL$2,0,0,ROW()-1,84),ROW()-1,FALSE))</f>
        <v>233515.9</v>
      </c>
      <c r="BH26">
        <f ca="1">IF(AND(ISNUMBER($BH$89),$B$69=1),$BH$89,HLOOKUP(INDIRECT(ADDRESS(2,COLUMN())),OFFSET($CL$2,0,0,ROW()-1,84),ROW()-1,FALSE))</f>
        <v>220188.55</v>
      </c>
      <c r="BI26">
        <f ca="1">IF(AND(ISNUMBER($BI$89),$B$69=1),$BI$89,HLOOKUP(INDIRECT(ADDRESS(2,COLUMN())),OFFSET($CL$2,0,0,ROW()-1,84),ROW()-1,FALSE))</f>
        <v>194866.45</v>
      </c>
      <c r="BJ26">
        <f ca="1">IF(AND(ISNUMBER($BJ$89),$B$69=1),$BJ$89,HLOOKUP(INDIRECT(ADDRESS(2,COLUMN())),OFFSET($CL$2,0,0,ROW()-1,84),ROW()-1,FALSE))</f>
        <v>214436.3</v>
      </c>
      <c r="BK26">
        <f ca="1">IF(AND(ISNUMBER($BK$89),$B$69=1),$BK$89,HLOOKUP(INDIRECT(ADDRESS(2,COLUMN())),OFFSET($CL$2,0,0,ROW()-1,84),ROW()-1,FALSE))</f>
        <v>277533.75</v>
      </c>
      <c r="BL26">
        <f ca="1">IF(AND(ISNUMBER($BL$89),$B$69=1),$BL$89,HLOOKUP(INDIRECT(ADDRESS(2,COLUMN())),OFFSET($CL$2,0,0,ROW()-1,84),ROW()-1,FALSE))</f>
        <v>286386.90000000002</v>
      </c>
      <c r="BM26">
        <f ca="1">IF(AND(ISNUMBER($BM$89),$B$69=1),$BM$89,HLOOKUP(INDIRECT(ADDRESS(2,COLUMN())),OFFSET($CL$2,0,0,ROW()-1,84),ROW()-1,FALSE))</f>
        <v>257011.25</v>
      </c>
      <c r="BN26">
        <f ca="1">IF(AND(ISNUMBER($BN$89),$B$69=1),$BN$89,HLOOKUP(INDIRECT(ADDRESS(2,COLUMN())),OFFSET($CL$2,0,0,ROW()-1,84),ROW()-1,FALSE))</f>
        <v>292906.3</v>
      </c>
      <c r="BO26">
        <f ca="1">IF(AND(ISNUMBER($BO$89),$B$69=1),$BO$89,HLOOKUP(INDIRECT(ADDRESS(2,COLUMN())),OFFSET($CL$2,0,0,ROW()-1,84),ROW()-1,FALSE))</f>
        <v>239983.15</v>
      </c>
      <c r="BP26">
        <f ca="1">IF(AND(ISNUMBER($BP$89),$B$69=1),$BP$89,HLOOKUP(INDIRECT(ADDRESS(2,COLUMN())),OFFSET($CL$2,0,0,ROW()-1,84),ROW()-1,FALSE))</f>
        <v>243599.65</v>
      </c>
      <c r="BQ26">
        <f ca="1">IF(AND(ISNUMBER($BQ$89),$B$69=1),$BQ$89,HLOOKUP(INDIRECT(ADDRESS(2,COLUMN())),OFFSET($CL$2,0,0,ROW()-1,84),ROW()-1,FALSE))</f>
        <v>227411.55</v>
      </c>
      <c r="BR26">
        <f ca="1">IF(AND(ISNUMBER($BR$89),$B$69=1),$BR$89,HLOOKUP(INDIRECT(ADDRESS(2,COLUMN())),OFFSET($CL$2,0,0,ROW()-1,84),ROW()-1,FALSE))</f>
        <v>192613.9</v>
      </c>
      <c r="BS26">
        <f ca="1">IF(AND(ISNUMBER($BS$89),$B$69=1),$BS$89,HLOOKUP(INDIRECT(ADDRESS(2,COLUMN())),OFFSET($CL$2,0,0,ROW()-1,84),ROW()-1,FALSE))</f>
        <v>194536.8</v>
      </c>
      <c r="BT26">
        <f ca="1">IF(AND(ISNUMBER($BT$89),$B$69=1),$BT$89,HLOOKUP(INDIRECT(ADDRESS(2,COLUMN())),OFFSET($CL$2,0,0,ROW()-1,84),ROW()-1,FALSE))</f>
        <v>179724</v>
      </c>
      <c r="BU26">
        <f ca="1">IF(AND(ISNUMBER($BU$89),$B$69=1),$BU$89,HLOOKUP(INDIRECT(ADDRESS(2,COLUMN())),OFFSET($CL$2,0,0,ROW()-1,84),ROW()-1,FALSE))</f>
        <v>149699.20000000001</v>
      </c>
      <c r="BV26">
        <f ca="1">IF(AND(ISNUMBER($BV$89),$B$69=1),$BV$89,HLOOKUP(INDIRECT(ADDRESS(2,COLUMN())),OFFSET($CL$2,0,0,ROW()-1,84),ROW()-1,FALSE))</f>
        <v>184378.65</v>
      </c>
      <c r="BW26">
        <f ca="1">IF(AND(ISNUMBER($BW$89),$B$69=1),$BW$89,HLOOKUP(INDIRECT(ADDRESS(2,COLUMN())),OFFSET($CL$2,0,0,ROW()-1,84),ROW()-1,FALSE))</f>
        <v>235861.3</v>
      </c>
      <c r="BX26">
        <f ca="1">IF(AND(ISNUMBER($BX$89),$B$69=1),$BX$89,HLOOKUP(INDIRECT(ADDRESS(2,COLUMN())),OFFSET($CL$2,0,0,ROW()-1,84),ROW()-1,FALSE))</f>
        <v>240853.4</v>
      </c>
      <c r="BY26">
        <f ca="1">IF(AND(ISNUMBER($BY$89),$B$69=1),$BY$89,HLOOKUP(INDIRECT(ADDRESS(2,COLUMN())),OFFSET($CL$2,0,0,ROW()-1,84),ROW()-1,FALSE))</f>
        <v>282621.84999999998</v>
      </c>
      <c r="BZ26">
        <f ca="1">IF(AND(ISNUMBER($BZ$89),$B$69=1),$BZ$89,HLOOKUP(INDIRECT(ADDRESS(2,COLUMN())),OFFSET($CL$2,0,0,ROW()-1,84),ROW()-1,FALSE))</f>
        <v>221167.45</v>
      </c>
      <c r="CA26">
        <f ca="1">IF(AND(ISNUMBER($CA$89),$B$69=1),$CA$89,HLOOKUP(INDIRECT(ADDRESS(2,COLUMN())),OFFSET($CL$2,0,0,ROW()-1,84),ROW()-1,FALSE))</f>
        <v>246668.95</v>
      </c>
      <c r="CB26">
        <f ca="1">IF(AND(ISNUMBER($CB$89),$B$69=1),$CB$89,HLOOKUP(INDIRECT(ADDRESS(2,COLUMN())),OFFSET($CL$2,0,0,ROW()-1,84),ROW()-1,FALSE))</f>
        <v>256180.9</v>
      </c>
      <c r="CC26">
        <f ca="1">IF(AND(ISNUMBER($CC$89),$B$69=1),$CC$89,HLOOKUP(INDIRECT(ADDRESS(2,COLUMN())),OFFSET($CL$2,0,0,ROW()-1,84),ROW()-1,FALSE))</f>
        <v>224787.5</v>
      </c>
      <c r="CD26">
        <f ca="1">IF(AND(ISNUMBER($CD$89),$B$69=1),$CD$89,HLOOKUP(INDIRECT(ADDRESS(2,COLUMN())),OFFSET($CL$2,0,0,ROW()-1,84),ROW()-1,FALSE))</f>
        <v>213232.75</v>
      </c>
      <c r="CE26">
        <f ca="1">IF(AND(ISNUMBER($CE$89),$B$69=1),$CE$89,HLOOKUP(INDIRECT(ADDRESS(2,COLUMN())),OFFSET($CL$2,0,0,ROW()-1,84),ROW()-1,FALSE))</f>
        <v>213556.4</v>
      </c>
      <c r="CF26">
        <f ca="1">IF(AND(ISNUMBER($CF$89),$B$69=1),$CF$89,HLOOKUP(INDIRECT(ADDRESS(2,COLUMN())),OFFSET($CL$2,0,0,ROW()-1,84),ROW()-1,FALSE))</f>
        <v>185052.65</v>
      </c>
      <c r="CG26">
        <f ca="1">IF(AND(ISNUMBER($CG$89),$B$69=1),$CG$89,HLOOKUP(INDIRECT(ADDRESS(2,COLUMN())),OFFSET($CL$2,0,0,ROW()-1,84),ROW()-1,FALSE))</f>
        <v>223203</v>
      </c>
      <c r="CH26">
        <f ca="1">IF(AND(ISNUMBER($CH$89),$B$69=1),$CH$89,HLOOKUP(INDIRECT(ADDRESS(2,COLUMN())),OFFSET($CL$2,0,0,ROW()-1,84),ROW()-1,FALSE))</f>
        <v>171048.55</v>
      </c>
      <c r="CI26">
        <f ca="1">IF(AND(ISNUMBER($CI$89),$B$69=1),$CI$89,HLOOKUP(INDIRECT(ADDRESS(2,COLUMN())),OFFSET($CL$2,0,0,ROW()-1,84),ROW()-1,FALSE))</f>
        <v>248796.85</v>
      </c>
      <c r="CJ26">
        <f ca="1">IF(AND(ISNUMBER($CJ$89),$B$69=1),$CJ$89,HLOOKUP(INDIRECT(ADDRESS(2,COLUMN())),OFFSET($CL$2,0,0,ROW()-1,84),ROW()-1,FALSE))</f>
        <v>237418.6</v>
      </c>
      <c r="CK26">
        <f ca="1">IF(AND(ISNUMBER($CK$89),$B$69=1),$CK$89,HLOOKUP(INDIRECT(ADDRESS(2,COLUMN())),OFFSET($CL$2,0,0,ROW()-1,84),ROW()-1,FALSE))</f>
        <v>263154.25</v>
      </c>
      <c r="CL26" t="str">
        <f>""</f>
        <v/>
      </c>
      <c r="CM26">
        <f>235196.5</f>
        <v>235196.5</v>
      </c>
      <c r="CN26">
        <f>269803.95</f>
        <v>269803.95</v>
      </c>
      <c r="CO26">
        <f>209710.2</f>
        <v>209710.2</v>
      </c>
      <c r="CP26">
        <f>289679.3</f>
        <v>289679.3</v>
      </c>
      <c r="CQ26">
        <f>268249</f>
        <v>268249</v>
      </c>
      <c r="CR26">
        <f>256219.5</f>
        <v>256219.5</v>
      </c>
      <c r="CS26">
        <f>204995.55</f>
        <v>204995.55</v>
      </c>
      <c r="CT26">
        <f>156034.7</f>
        <v>156034.70000000001</v>
      </c>
      <c r="CU26">
        <f>251250.7</f>
        <v>251250.7</v>
      </c>
      <c r="CV26">
        <f>280307.15</f>
        <v>280307.15000000002</v>
      </c>
      <c r="CW26">
        <f>242147.95</f>
        <v>242147.95</v>
      </c>
      <c r="CX26">
        <f>252400.8</f>
        <v>252400.8</v>
      </c>
      <c r="CY26">
        <f>288731.4</f>
        <v>288731.40000000002</v>
      </c>
      <c r="CZ26">
        <f>299393.5</f>
        <v>299393.5</v>
      </c>
      <c r="DA26">
        <f>346072.55</f>
        <v>346072.55</v>
      </c>
      <c r="DB26">
        <f>338041.4</f>
        <v>338041.4</v>
      </c>
      <c r="DC26">
        <f>342284.5</f>
        <v>342284.5</v>
      </c>
      <c r="DD26">
        <f>330809.8</f>
        <v>330809.8</v>
      </c>
      <c r="DE26">
        <f>351697</f>
        <v>351697</v>
      </c>
      <c r="DF26">
        <f>338250.55</f>
        <v>338250.55</v>
      </c>
      <c r="DG26">
        <f>338202.4</f>
        <v>338202.4</v>
      </c>
      <c r="DH26">
        <f>330466.3</f>
        <v>330466.3</v>
      </c>
      <c r="DI26">
        <f>325274.65</f>
        <v>325274.65000000002</v>
      </c>
      <c r="DJ26">
        <f>337106</f>
        <v>337106</v>
      </c>
      <c r="DK26">
        <f>360091.95</f>
        <v>360091.95</v>
      </c>
      <c r="DL26">
        <f>367413.2</f>
        <v>367413.2</v>
      </c>
      <c r="DM26">
        <f>329999.45</f>
        <v>329999.45</v>
      </c>
      <c r="DN26">
        <f>312600.35</f>
        <v>312600.34999999998</v>
      </c>
      <c r="DO26">
        <f>366447.65</f>
        <v>366447.65</v>
      </c>
      <c r="DP26">
        <f>342391</f>
        <v>342391</v>
      </c>
      <c r="DQ26">
        <f>344585.25</f>
        <v>344585.25</v>
      </c>
      <c r="DR26">
        <f>285223</f>
        <v>285223</v>
      </c>
      <c r="DS26">
        <f>278580.25</f>
        <v>278580.25</v>
      </c>
      <c r="DT26">
        <f>298056.05</f>
        <v>298056.05</v>
      </c>
      <c r="DU26">
        <f>294009.95</f>
        <v>294009.95</v>
      </c>
      <c r="DV26">
        <f>330179.6</f>
        <v>330179.59999999998</v>
      </c>
      <c r="DW26">
        <f>281433.55</f>
        <v>281433.55</v>
      </c>
      <c r="DX26">
        <f>314118.05</f>
        <v>314118.05</v>
      </c>
      <c r="DY26">
        <f>274006.75</f>
        <v>274006.75</v>
      </c>
      <c r="DZ26">
        <f>212700.75</f>
        <v>212700.75</v>
      </c>
      <c r="EA26">
        <f>170959.75</f>
        <v>170959.75</v>
      </c>
      <c r="EB26">
        <f>188566.75</f>
        <v>188566.75</v>
      </c>
      <c r="EC26">
        <f>108167.75</f>
        <v>108167.75</v>
      </c>
      <c r="ED26">
        <f>139543.75</f>
        <v>139543.75</v>
      </c>
      <c r="EE26">
        <f>243206.9</f>
        <v>243206.9</v>
      </c>
      <c r="EF26">
        <f>243010.25</f>
        <v>243010.25</v>
      </c>
      <c r="EG26">
        <f>219023.7</f>
        <v>219023.7</v>
      </c>
      <c r="EH26">
        <f>237088.4</f>
        <v>237088.4</v>
      </c>
      <c r="EI26">
        <f>246814.4</f>
        <v>246814.4</v>
      </c>
      <c r="EJ26">
        <f>277183.55</f>
        <v>277183.55</v>
      </c>
      <c r="EK26">
        <f>274375.7</f>
        <v>274375.7</v>
      </c>
      <c r="EL26">
        <f>229152.75</f>
        <v>229152.75</v>
      </c>
      <c r="EM26">
        <f>233515.9</f>
        <v>233515.9</v>
      </c>
      <c r="EN26">
        <f>220188.55</f>
        <v>220188.55</v>
      </c>
      <c r="EO26">
        <f>194866.45</f>
        <v>194866.45</v>
      </c>
      <c r="EP26">
        <f>214436.3</f>
        <v>214436.3</v>
      </c>
      <c r="EQ26">
        <f>277533.75</f>
        <v>277533.75</v>
      </c>
      <c r="ER26">
        <f>286386.9</f>
        <v>286386.90000000002</v>
      </c>
      <c r="ES26">
        <f>257011.25</f>
        <v>257011.25</v>
      </c>
      <c r="ET26">
        <f>292906.3</f>
        <v>292906.3</v>
      </c>
      <c r="EU26">
        <f>239983.15</f>
        <v>239983.15</v>
      </c>
      <c r="EV26">
        <f>243599.65</f>
        <v>243599.65</v>
      </c>
      <c r="EW26">
        <f>227411.55</f>
        <v>227411.55</v>
      </c>
      <c r="EX26">
        <f>192613.9</f>
        <v>192613.9</v>
      </c>
      <c r="EY26">
        <f>194536.8</f>
        <v>194536.8</v>
      </c>
      <c r="EZ26">
        <f>179724</f>
        <v>179724</v>
      </c>
      <c r="FA26">
        <f>149699.2</f>
        <v>149699.20000000001</v>
      </c>
      <c r="FB26">
        <f>184378.65</f>
        <v>184378.65</v>
      </c>
      <c r="FC26">
        <f>235861.3</f>
        <v>235861.3</v>
      </c>
      <c r="FD26">
        <f>240853.4</f>
        <v>240853.4</v>
      </c>
      <c r="FE26">
        <f>282621.85</f>
        <v>282621.84999999998</v>
      </c>
      <c r="FF26">
        <f>221167.45</f>
        <v>221167.45</v>
      </c>
      <c r="FG26">
        <f>246668.95</f>
        <v>246668.95</v>
      </c>
      <c r="FH26">
        <f>256180.9</f>
        <v>256180.9</v>
      </c>
      <c r="FI26">
        <f>224787.5</f>
        <v>224787.5</v>
      </c>
      <c r="FJ26">
        <f>213232.75</f>
        <v>213232.75</v>
      </c>
      <c r="FK26">
        <f>213556.4</f>
        <v>213556.4</v>
      </c>
      <c r="FL26">
        <f>185052.65</f>
        <v>185052.65</v>
      </c>
      <c r="FM26">
        <f>223203</f>
        <v>223203</v>
      </c>
      <c r="FN26">
        <f>171048.55</f>
        <v>171048.55</v>
      </c>
      <c r="FO26">
        <f>248796.85</f>
        <v>248796.85</v>
      </c>
      <c r="FP26">
        <f>237418.6</f>
        <v>237418.6</v>
      </c>
      <c r="FQ26">
        <f>263154.25</f>
        <v>263154.25</v>
      </c>
    </row>
    <row r="27" spans="1:173" x14ac:dyDescent="0.25">
      <c r="A27" t="str">
        <f>"    Port of Long Beach (TEU)"</f>
        <v xml:space="preserve">    Port of Long Beach (TEU)</v>
      </c>
      <c r="B27" t="str">
        <f>""</f>
        <v/>
      </c>
      <c r="E27" t="str">
        <f>"Sum"</f>
        <v>Sum</v>
      </c>
      <c r="F27" t="str">
        <f ca="1">IF(ISERROR(IF(SUM($F$28:$F$30) = 0, "", SUM($F$28:$F$30))), "", (IF(SUM($F$28:$F$30) = 0, "", SUM($F$28:$F$30))))</f>
        <v/>
      </c>
      <c r="G27">
        <f ca="1">IF(ISERROR(IF(SUM($G$28:$G$30) = 0, "", SUM($G$28:$G$30))), "", (IF(SUM($G$28:$G$30) = 0, "", SUM($G$28:$G$30))))</f>
        <v>829429</v>
      </c>
      <c r="H27">
        <f ca="1">IF(ISERROR(IF(SUM($H$28:$H$30) = 0, "", SUM($H$28:$H$30))), "", (IF(SUM($H$28:$H$30) = 0, "", SUM($H$28:$H$30))))</f>
        <v>682313</v>
      </c>
      <c r="I27">
        <f ca="1">IF(ISERROR(IF(SUM($I$28:$I$30) = 0, "", SUM($I$28:$I$30))), "", (IF(SUM($I$28:$I$30) = 0, "", SUM($I$28:$I$30))))</f>
        <v>578250</v>
      </c>
      <c r="J27">
        <f ca="1">IF(ISERROR(IF(SUM($J$28:$J$30) = 0, "", SUM($J$28:$J$30))), "", (IF(SUM($J$28:$J$30) = 0, "", SUM($J$28:$J$30))))</f>
        <v>597076</v>
      </c>
      <c r="K27">
        <f ca="1">IF(ISERROR(IF(SUM($K$28:$K$30) = 0, "", SUM($K$28:$K$30))), "", (IF(SUM($K$28:$K$30) = 0, "", SUM($K$28:$K$30))))</f>
        <v>758226</v>
      </c>
      <c r="L27">
        <f ca="1">IF(ISERROR(IF(SUM($L$28:$L$30) = 0, "", SUM($L$28:$L$30))), "", (IF(SUM($L$28:$L$30) = 0, "", SUM($L$28:$L$30))))</f>
        <v>656049</v>
      </c>
      <c r="M27">
        <f ca="1">IF(ISERROR(IF(SUM($M$28:$M$30) = 0, "", SUM($M$28:$M$30))), "", (IF(SUM($M$28:$M$30) = 0, "", SUM($M$28:$M$30))))</f>
        <v>603879</v>
      </c>
      <c r="N27">
        <f ca="1">IF(ISERROR(IF(SUM($N$28:$N$30) = 0, "", SUM($N$28:$N$30))), "", (IF(SUM($N$28:$N$30) = 0, "", SUM($N$28:$N$30))))</f>
        <v>543676</v>
      </c>
      <c r="O27">
        <f ca="1">IF(ISERROR(IF(SUM($O$28:$O$30) = 0, "", SUM($O$28:$O$30))), "", (IF(SUM($O$28:$O$30) = 0, "", SUM($O$28:$O$30))))</f>
        <v>573773</v>
      </c>
      <c r="P27">
        <f ca="1">IF(ISERROR(IF(SUM($P$28:$P$30) = 0, "", SUM($P$28:$P$30))), "", (IF(SUM($P$28:$P$30) = 0, "", SUM($P$28:$P$30))))</f>
        <v>544105</v>
      </c>
      <c r="Q27">
        <f ca="1">IF(ISERROR(IF(SUM($Q$28:$Q$30) = 0, "", SUM($Q$28:$Q$30))), "", (IF(SUM($Q$28:$Q$30) = 0, "", SUM($Q$28:$Q$30))))</f>
        <v>588743</v>
      </c>
      <c r="R27">
        <f ca="1">IF(ISERROR(IF(SUM($R$28:$R$30) = 0, "", SUM($R$28:$R$30))), "", (IF(SUM($R$28:$R$30) = 0, "", SUM($R$28:$R$30))))</f>
        <v>658428</v>
      </c>
      <c r="S27">
        <f ca="1">IF(ISERROR(IF(SUM($S$28:$S$30) = 0, "", SUM($S$28:$S$30))), "", (IF(SUM($S$28:$S$30) = 0, "", SUM($S$28:$S$30))))</f>
        <v>741823</v>
      </c>
      <c r="T27">
        <f ca="1">IF(ISERROR(IF(SUM($T$28:$T$30) = 0, "", SUM($T$28:$T$30))), "", (IF(SUM($T$28:$T$30) = 0, "", SUM($T$28:$T$30))))</f>
        <v>806940</v>
      </c>
      <c r="U27">
        <f ca="1">IF(ISERROR(IF(SUM($U$28:$U$30) = 0, "", SUM($U$28:$U$30))), "", (IF(SUM($U$28:$U$30) = 0, "", SUM($U$28:$U$30))))</f>
        <v>785843</v>
      </c>
      <c r="V27">
        <f ca="1">IF(ISERROR(IF(SUM($V$28:$V$30) = 0, "", SUM($V$28:$V$30))), "", (IF(SUM($V$28:$V$30) = 0, "", SUM($V$28:$V$30))))</f>
        <v>835412</v>
      </c>
      <c r="W27">
        <f ca="1">IF(ISERROR(IF(SUM($W$28:$W$30) = 0, "", SUM($W$28:$W$30))), "", (IF(SUM($W$28:$W$30) = 0, "", SUM($W$28:$W$30))))</f>
        <v>890989</v>
      </c>
      <c r="X27">
        <f ca="1">IF(ISERROR(IF(SUM($X$28:$X$30) = 0, "", SUM($X$28:$X$30))), "", (IF(SUM($X$28:$X$30) = 0, "", SUM($X$28:$X$30))))</f>
        <v>820719</v>
      </c>
      <c r="Y27">
        <f ca="1">IF(ISERROR(IF(SUM($Y$28:$Y$30) = 0, "", SUM($Y$28:$Y$30))), "", (IF(SUM($Y$28:$Y$30) = 0, "", SUM($Y$28:$Y$30))))</f>
        <v>863156</v>
      </c>
      <c r="Z27">
        <f ca="1">IF(ISERROR(IF(SUM($Z$28:$Z$30) = 0, "", SUM($Z$28:$Z$30))), "", (IF(SUM($Z$28:$Z$30) = 0, "", SUM($Z$28:$Z$30))))</f>
        <v>796560</v>
      </c>
      <c r="AA27">
        <f ca="1">IF(ISERROR(IF(SUM($AA$28:$AA$30) = 0, "", SUM($AA$28:$AA$30))), "", (IF(SUM($AA$28:$AA$30) = 0, "", SUM($AA$28:$AA$30))))</f>
        <v>800944</v>
      </c>
      <c r="AB27">
        <f ca="1">IF(ISERROR(IF(SUM($AB$28:$AB$30) = 0, "", SUM($AB$28:$AB$30))), "", (IF(SUM($AB$28:$AB$30) = 0, "", SUM($AB$28:$AB$30))))</f>
        <v>754314</v>
      </c>
      <c r="AC27">
        <f ca="1">IF(ISERROR(IF(SUM($AC$28:$AC$30) = 0, "", SUM($AC$28:$AC$30))), "", (IF(SUM($AC$28:$AC$30) = 0, "", SUM($AC$28:$AC$30))))</f>
        <v>745489</v>
      </c>
      <c r="AD27">
        <f ca="1">IF(ISERROR(IF(SUM($AD$28:$AD$30) = 0, "", SUM($AD$28:$AD$30))), "", (IF(SUM($AD$28:$AD$30) = 0, "", SUM($AD$28:$AD$30))))</f>
        <v>789716</v>
      </c>
      <c r="AE27">
        <f ca="1">IF(ISERROR(IF(SUM($AE$28:$AE$30) = 0, "", SUM($AE$28:$AE$30))), "", (IF(SUM($AE$28:$AE$30) = 0, "", SUM($AE$28:$AE$30))))</f>
        <v>748473</v>
      </c>
      <c r="AF27">
        <f ca="1">IF(ISERROR(IF(SUM($AF$28:$AF$30) = 0, "", SUM($AF$28:$AF$30))), "", (IF(SUM($AF$28:$AF$30) = 0, "", SUM($AF$28:$AF$30))))</f>
        <v>807705</v>
      </c>
      <c r="AG27">
        <f ca="1">IF(ISERROR(IF(SUM($AG$28:$AG$30) = 0, "", SUM($AG$28:$AG$30))), "", (IF(SUM($AG$28:$AG$30) = 0, "", SUM($AG$28:$AG$30))))</f>
        <v>784846</v>
      </c>
      <c r="AH27">
        <f ca="1">IF(ISERROR(IF(SUM($AH$28:$AH$30) = 0, "", SUM($AH$28:$AH$30))), "", (IF(SUM($AH$28:$AH$30) = 0, "", SUM($AH$28:$AH$30))))</f>
        <v>724297</v>
      </c>
      <c r="AI27">
        <f ca="1">IF(ISERROR(IF(SUM($AI$28:$AI$30) = 0, "", SUM($AI$28:$AI$30))), "", (IF(SUM($AI$28:$AI$30) = 0, "", SUM($AI$28:$AI$30))))</f>
        <v>907216</v>
      </c>
      <c r="AJ27">
        <f ca="1">IF(ISERROR(IF(SUM($AJ$28:$AJ$30) = 0, "", SUM($AJ$28:$AJ$30))), "", (IF(SUM($AJ$28:$AJ$30) = 0, "", SUM($AJ$28:$AJ$30))))</f>
        <v>746189</v>
      </c>
      <c r="AK27">
        <f ca="1">IF(ISERROR(IF(SUM($AK$28:$AK$30) = 0, "", SUM($AK$28:$AK$30))), "", (IF(SUM($AK$28:$AK$30) = 0, "", SUM($AK$28:$AK$30))))</f>
        <v>840386</v>
      </c>
      <c r="AL27">
        <f ca="1">IF(ISERROR(IF(SUM($AL$28:$AL$30) = 0, "", SUM($AL$28:$AL$30))), "", (IF(SUM($AL$28:$AL$30) = 0, "", SUM($AL$28:$AL$30))))</f>
        <v>771735</v>
      </c>
      <c r="AM27">
        <f ca="1">IF(ISERROR(IF(SUM($AM$28:$AM$30) = 0, "", SUM($AM$28:$AM$30))), "", (IF(SUM($AM$28:$AM$30) = 0, "", SUM($AM$28:$AM$30))))</f>
        <v>764007</v>
      </c>
      <c r="AN27">
        <f ca="1">IF(ISERROR(IF(SUM($AN$28:$AN$30) = 0, "", SUM($AN$28:$AN$30))), "", (IF(SUM($AN$28:$AN$30) = 0, "", SUM($AN$28:$AN$30))))</f>
        <v>815886</v>
      </c>
      <c r="AO27">
        <f ca="1">IF(ISERROR(IF(SUM($AO$28:$AO$30) = 0, "", SUM($AO$28:$AO$30))), "", (IF(SUM($AO$28:$AO$30) = 0, "", SUM($AO$28:$AO$30))))</f>
        <v>783523</v>
      </c>
      <c r="AP27">
        <f ca="1">IF(ISERROR(IF(SUM($AP$28:$AP$30) = 0, "", SUM($AP$28:$AP$30))), "", (IF(SUM($AP$28:$AP$30) = 0, "", SUM($AP$28:$AP$30))))</f>
        <v>806604</v>
      </c>
      <c r="AQ27">
        <f ca="1">IF(ISERROR(IF(SUM($AQ$28:$AQ$30) = 0, "", SUM($AQ$28:$AQ$30))), "", (IF(SUM($AQ$28:$AQ$30) = 0, "", SUM($AQ$28:$AQ$30))))</f>
        <v>795580</v>
      </c>
      <c r="AR27">
        <f ca="1">IF(ISERROR(IF(SUM($AR$28:$AR$30) = 0, "", SUM($AR$28:$AR$30))), "", (IF(SUM($AR$28:$AR$30) = 0, "", SUM($AR$28:$AR$30))))</f>
        <v>725611</v>
      </c>
      <c r="AS27">
        <f ca="1">IF(ISERROR(IF(SUM($AS$28:$AS$30) = 0, "", SUM($AS$28:$AS$30))), "", (IF(SUM($AS$28:$AS$30) = 0, "", SUM($AS$28:$AS$30))))</f>
        <v>753081</v>
      </c>
      <c r="AT27">
        <f ca="1">IF(ISERROR(IF(SUM($AT$28:$AT$30) = 0, "", SUM($AT$28:$AT$30))), "", (IF(SUM($AT$28:$AT$30) = 0, "", SUM($AT$28:$AT$30))))</f>
        <v>602180</v>
      </c>
      <c r="AU27">
        <f ca="1">IF(ISERROR(IF(SUM($AU$28:$AU$30) = 0, "", SUM($AU$28:$AU$30))), "", (IF(SUM($AU$28:$AU$30) = 0, "", SUM($AU$28:$AU$30))))</f>
        <v>628206</v>
      </c>
      <c r="AV27">
        <f ca="1">IF(ISERROR(IF(SUM($AV$28:$AV$30) = 0, "", SUM($AV$28:$AV$30))), "", (IF(SUM($AV$28:$AV$30) = 0, "", SUM($AV$28:$AV$30))))</f>
        <v>519731</v>
      </c>
      <c r="AW27">
        <f ca="1">IF(ISERROR(IF(SUM($AW$28:$AW$30) = 0, "", SUM($AW$28:$AW$30))), "", (IF(SUM($AW$28:$AW$30) = 0, "", SUM($AW$28:$AW$30))))</f>
        <v>517664</v>
      </c>
      <c r="AX27">
        <f ca="1">IF(ISERROR(IF(SUM($AX$28:$AX$30) = 0, "", SUM($AX$28:$AX$30))), "", (IF(SUM($AX$28:$AX$30) = 0, "", SUM($AX$28:$AX$30))))</f>
        <v>538428</v>
      </c>
      <c r="AY27">
        <f ca="1">IF(ISERROR(IF(SUM($AY$28:$AY$30) = 0, "", SUM($AY$28:$AY$30))), "", (IF(SUM($AY$28:$AY$30) = 0, "", SUM($AY$28:$AY$30))))</f>
        <v>626829</v>
      </c>
      <c r="AZ27">
        <f ca="1">IF(ISERROR(IF(SUM($AZ$28:$AZ$30) = 0, "", SUM($AZ$28:$AZ$30))), "", (IF(SUM($AZ$28:$AZ$30) = 0, "", SUM($AZ$28:$AZ$30))))</f>
        <v>665261</v>
      </c>
      <c r="BA27">
        <f ca="1">IF(ISERROR(IF(SUM($BA$28:$BA$30) = 0, "", SUM($BA$28:$BA$30))), "", (IF(SUM($BA$28:$BA$30) = 0, "", SUM($BA$28:$BA$30))))</f>
        <v>599984</v>
      </c>
      <c r="BB27">
        <f ca="1">IF(ISERROR(IF(SUM($BB$28:$BB$30) = 0, "", SUM($BB$28:$BB$30))), "", (IF(SUM($BB$28:$BB$30) = 0, "", SUM($BB$28:$BB$30))))</f>
        <v>688425</v>
      </c>
      <c r="BC27">
        <f ca="1">IF(ISERROR(IF(SUM($BC$28:$BC$30) = 0, "", SUM($BC$28:$BC$30))), "", (IF(SUM($BC$28:$BC$30) = 0, "", SUM($BC$28:$BC$30))))</f>
        <v>706955</v>
      </c>
      <c r="BD27">
        <f ca="1">IF(ISERROR(IF(SUM($BD$28:$BD$30) = 0, "", SUM($BD$28:$BD$30))), "", (IF(SUM($BD$28:$BD$30) = 0, "", SUM($BD$28:$BD$30))))</f>
        <v>663993</v>
      </c>
      <c r="BE27">
        <f ca="1">IF(ISERROR(IF(SUM($BE$28:$BE$30) = 0, "", SUM($BE$28:$BE$30))), "", (IF(SUM($BE$28:$BE$30) = 0, "", SUM($BE$28:$BE$30))))</f>
        <v>621781</v>
      </c>
      <c r="BF27">
        <f ca="1">IF(ISERROR(IF(SUM($BF$28:$BF$30) = 0, "", SUM($BF$28:$BF$30))), "", (IF(SUM($BF$28:$BF$30) = 0, "", SUM($BF$28:$BF$30))))</f>
        <v>677168</v>
      </c>
      <c r="BG27">
        <f ca="1">IF(ISERROR(IF(SUM($BG$28:$BG$30) = 0, "", SUM($BG$28:$BG$30))), "", (IF(SUM($BG$28:$BG$30) = 0, "", SUM($BG$28:$BG$30))))</f>
        <v>573624</v>
      </c>
      <c r="BH27">
        <f ca="1">IF(ISERROR(IF(SUM($BH$28:$BH$30) = 0, "", SUM($BH$28:$BH$30))), "", (IF(SUM($BH$28:$BH$30) = 0, "", SUM($BH$28:$BH$30))))</f>
        <v>628122</v>
      </c>
      <c r="BI27">
        <f ca="1">IF(ISERROR(IF(SUM($BI$28:$BI$30) = 0, "", SUM($BI$28:$BI$30))), "", (IF(SUM($BI$28:$BI$30) = 0, "", SUM($BI$28:$BI$30))))</f>
        <v>552821</v>
      </c>
      <c r="BJ27">
        <f ca="1">IF(ISERROR(IF(SUM($BJ$28:$BJ$30) = 0, "", SUM($BJ$28:$BJ$30))), "", (IF(SUM($BJ$28:$BJ$30) = 0, "", SUM($BJ$28:$BJ$30))))</f>
        <v>596617</v>
      </c>
      <c r="BK27">
        <f ca="1">IF(ISERROR(IF(SUM($BK$28:$BK$30) = 0, "", SUM($BK$28:$BK$30))), "", (IF(SUM($BK$28:$BK$30) = 0, "", SUM($BK$28:$BK$30))))</f>
        <v>657286</v>
      </c>
      <c r="BL27">
        <f ca="1">IF(ISERROR(IF(SUM($BL$28:$BL$30) = 0, "", SUM($BL$28:$BL$30))), "", (IF(SUM($BL$28:$BL$30) = 0, "", SUM($BL$28:$BL$30))))</f>
        <v>741647</v>
      </c>
      <c r="BM27">
        <f ca="1">IF(ISERROR(IF(SUM($BM$28:$BM$30) = 0, "", SUM($BM$28:$BM$30))), "", (IF(SUM($BM$28:$BM$30) = 0, "", SUM($BM$28:$BM$30))))</f>
        <v>621834</v>
      </c>
      <c r="BN27">
        <f ca="1">IF(ISERROR(IF(SUM($BN$28:$BN$30) = 0, "", SUM($BN$28:$BN$30))), "", (IF(SUM($BN$28:$BN$30) = 0, "", SUM($BN$28:$BN$30))))</f>
        <v>705408</v>
      </c>
      <c r="BO27">
        <f ca="1">IF(ISERROR(IF(SUM($BO$28:$BO$30) = 0, "", SUM($BO$28:$BO$30))), "", (IF(SUM($BO$28:$BO$30) = 0, "", SUM($BO$28:$BO$30))))</f>
        <v>701205</v>
      </c>
      <c r="BP27">
        <f ca="1">IF(ISERROR(IF(SUM($BP$28:$BP$30) = 0, "", SUM($BP$28:$BP$30))), "", (IF(SUM($BP$28:$BP$30) = 0, "", SUM($BP$28:$BP$30))))</f>
        <v>679543</v>
      </c>
      <c r="BQ27">
        <f ca="1">IF(ISERROR(IF(SUM($BQ$28:$BQ$30) = 0, "", SUM($BQ$28:$BQ$30))), "", (IF(SUM($BQ$28:$BQ$30) = 0, "", SUM($BQ$28:$BQ$30))))</f>
        <v>688458</v>
      </c>
      <c r="BR27">
        <f ca="1">IF(ISERROR(IF(SUM($BR$28:$BR$30) = 0, "", SUM($BR$28:$BR$30))), "", (IF(SUM($BR$28:$BR$30) = 0, "", SUM($BR$28:$BR$30))))</f>
        <v>752189</v>
      </c>
      <c r="BS27">
        <f ca="1">IF(ISERROR(IF(SUM($BS$28:$BS$30) = 0, "", SUM($BS$28:$BS$30))), "", (IF(SUM($BS$28:$BS$30) = 0, "", SUM($BS$28:$BS$30))))</f>
        <v>687427</v>
      </c>
      <c r="BT27">
        <f ca="1">IF(ISERROR(IF(SUM($BT$28:$BT$30) = 0, "", SUM($BT$28:$BT$30))), "", (IF(SUM($BT$28:$BT$30) = 0, "", SUM($BT$28:$BT$30))))</f>
        <v>618439</v>
      </c>
      <c r="BU27">
        <f ca="1">IF(ISERROR(IF(SUM($BU$28:$BU$30) = 0, "", SUM($BU$28:$BU$30))), "", (IF(SUM($BU$28:$BU$30) = 0, "", SUM($BU$28:$BU$30))))</f>
        <v>575258</v>
      </c>
      <c r="BV27">
        <f ca="1">IF(ISERROR(IF(SUM($BV$28:$BV$30) = 0, "", SUM($BV$28:$BV$30))), "", (IF(SUM($BV$28:$BV$30) = 0, "", SUM($BV$28:$BV$30))))</f>
        <v>661791</v>
      </c>
      <c r="BW27">
        <f ca="1">IF(ISERROR(IF(SUM($BW$28:$BW$30) = 0, "", SUM($BW$28:$BW$30))), "", (IF(SUM($BW$28:$BW$30) = 0, "", SUM($BW$28:$BW$30))))</f>
        <v>657830</v>
      </c>
      <c r="BX27">
        <f ca="1">IF(ISERROR(IF(SUM($BX$28:$BX$30) = 0, "", SUM($BX$28:$BX$30))), "", (IF(SUM($BX$28:$BX$30) = 0, "", SUM($BX$28:$BX$30))))</f>
        <v>696919</v>
      </c>
      <c r="BY27">
        <f ca="1">IF(ISERROR(IF(SUM($BY$28:$BY$30) = 0, "", SUM($BY$28:$BY$30))), "", (IF(SUM($BY$28:$BY$30) = 0, "", SUM($BY$28:$BY$30))))</f>
        <v>612659</v>
      </c>
      <c r="BZ27">
        <f ca="1">IF(ISERROR(IF(SUM($BZ$28:$BZ$30) = 0, "", SUM($BZ$28:$BZ$30))), "", (IF(SUM($BZ$28:$BZ$30) = 0, "", SUM($BZ$28:$BZ$30))))</f>
        <v>669218</v>
      </c>
      <c r="CA27">
        <f ca="1">IF(ISERROR(IF(SUM($CA$28:$CA$30) = 0, "", SUM($CA$28:$CA$30))), "", (IF(SUM($CA$28:$CA$30) = 0, "", SUM($CA$28:$CA$30))))</f>
        <v>701619</v>
      </c>
      <c r="CB27">
        <f ca="1">IF(ISERROR(IF(SUM($CB$28:$CB$30) = 0, "", SUM($CB$28:$CB$30))), "", (IF(SUM($CB$28:$CB$30) = 0, "", SUM($CB$28:$CB$30))))</f>
        <v>692375</v>
      </c>
      <c r="CC27">
        <f ca="1">IF(ISERROR(IF(SUM($CC$28:$CC$30) = 0, "", SUM($CC$28:$CC$30))), "", (IF(SUM($CC$28:$CC$30) = 0, "", SUM($CC$28:$CC$30))))</f>
        <v>720312</v>
      </c>
      <c r="CD27">
        <f ca="1">IF(ISERROR(IF(SUM($CD$28:$CD$30) = 0, "", SUM($CD$28:$CD$30))), "", (IF(SUM($CD$28:$CD$30) = 0, "", SUM($CD$28:$CD$30))))</f>
        <v>658727</v>
      </c>
      <c r="CE27">
        <f ca="1">IF(ISERROR(IF(SUM($CE$28:$CE$30) = 0, "", SUM($CE$28:$CE$30))), "", (IF(SUM($CE$28:$CE$30) = 0, "", SUM($CE$28:$CE$30))))</f>
        <v>648288</v>
      </c>
      <c r="CF27">
        <f ca="1">IF(ISERROR(IF(SUM($CF$28:$CF$30) = 0, "", SUM($CF$28:$CF$30))), "", (IF(SUM($CF$28:$CF$30) = 0, "", SUM($CF$28:$CF$30))))</f>
        <v>558014</v>
      </c>
      <c r="CG27">
        <f ca="1">IF(ISERROR(IF(SUM($CG$28:$CG$30) = 0, "", SUM($CG$28:$CG$30))), "", (IF(SUM($CG$28:$CG$30) = 0, "", SUM($CG$28:$CG$30))))</f>
        <v>505382</v>
      </c>
      <c r="CH27">
        <f ca="1">IF(ISERROR(IF(SUM($CH$28:$CH$30) = 0, "", SUM($CH$28:$CH$30))), "", (IF(SUM($CH$28:$CH$30) = 0, "", SUM($CH$28:$CH$30))))</f>
        <v>498312</v>
      </c>
      <c r="CI27">
        <f ca="1">IF(ISERROR(IF(SUM($CI$28:$CI$30) = 0, "", SUM($CI$28:$CI$30))), "", (IF(SUM($CI$28:$CI$30) = 0, "", SUM($CI$28:$CI$30))))</f>
        <v>582689</v>
      </c>
      <c r="CJ27">
        <f ca="1">IF(ISERROR(IF(SUM($CJ$28:$CJ$30) = 0, "", SUM($CJ$28:$CJ$30))), "", (IF(SUM($CJ$28:$CJ$30) = 0, "", SUM($CJ$28:$CJ$30))))</f>
        <v>548929</v>
      </c>
      <c r="CK27">
        <f ca="1">IF(ISERROR(IF(SUM($CK$28:$CK$30) = 0, "", SUM($CK$28:$CK$30))), "", (IF(SUM($CK$28:$CK$30) = 0, "", SUM($CK$28:$CK$30))))</f>
        <v>534308</v>
      </c>
      <c r="CL27" t="str">
        <f>""</f>
        <v/>
      </c>
      <c r="CM27">
        <f>829429</f>
        <v>829429</v>
      </c>
      <c r="CN27">
        <f>682313</f>
        <v>682313</v>
      </c>
      <c r="CO27">
        <f>578250</f>
        <v>578250</v>
      </c>
      <c r="CP27">
        <f>597076</f>
        <v>597076</v>
      </c>
      <c r="CQ27">
        <f>758226</f>
        <v>758226</v>
      </c>
      <c r="CR27">
        <f>656049</f>
        <v>656049</v>
      </c>
      <c r="CS27">
        <f>603879</f>
        <v>603879</v>
      </c>
      <c r="CT27">
        <f>543676</f>
        <v>543676</v>
      </c>
      <c r="CU27">
        <f>573773</f>
        <v>573773</v>
      </c>
      <c r="CV27">
        <f>544105</f>
        <v>544105</v>
      </c>
      <c r="CW27">
        <f>588743</f>
        <v>588743</v>
      </c>
      <c r="CX27">
        <f>658428</f>
        <v>658428</v>
      </c>
      <c r="CY27">
        <f>741823</f>
        <v>741823</v>
      </c>
      <c r="CZ27">
        <f>806940</f>
        <v>806940</v>
      </c>
      <c r="DA27">
        <f>785843</f>
        <v>785843</v>
      </c>
      <c r="DB27">
        <f>835412</f>
        <v>835412</v>
      </c>
      <c r="DC27">
        <f>890989</f>
        <v>890989</v>
      </c>
      <c r="DD27">
        <f>820719</f>
        <v>820719</v>
      </c>
      <c r="DE27">
        <f>863156</f>
        <v>863156</v>
      </c>
      <c r="DF27">
        <f>796560</f>
        <v>796560</v>
      </c>
      <c r="DG27">
        <f>800944</f>
        <v>800944</v>
      </c>
      <c r="DH27">
        <f>754314</f>
        <v>754314</v>
      </c>
      <c r="DI27">
        <f>745489</f>
        <v>745489</v>
      </c>
      <c r="DJ27">
        <f>789716</f>
        <v>789716</v>
      </c>
      <c r="DK27">
        <f>748473</f>
        <v>748473</v>
      </c>
      <c r="DL27">
        <f>807705</f>
        <v>807705</v>
      </c>
      <c r="DM27">
        <f>784846</f>
        <v>784846</v>
      </c>
      <c r="DN27">
        <f>724297</f>
        <v>724297</v>
      </c>
      <c r="DO27">
        <f>907216</f>
        <v>907216</v>
      </c>
      <c r="DP27">
        <f>746189</f>
        <v>746189</v>
      </c>
      <c r="DQ27">
        <f>840386</f>
        <v>840386</v>
      </c>
      <c r="DR27">
        <f>771735</f>
        <v>771735</v>
      </c>
      <c r="DS27">
        <f>764007</f>
        <v>764007</v>
      </c>
      <c r="DT27">
        <f>815886</f>
        <v>815886</v>
      </c>
      <c r="DU27">
        <f>783523</f>
        <v>783523</v>
      </c>
      <c r="DV27">
        <f>806604</f>
        <v>806604</v>
      </c>
      <c r="DW27">
        <f>795580</f>
        <v>795580</v>
      </c>
      <c r="DX27">
        <f>725611</f>
        <v>725611</v>
      </c>
      <c r="DY27">
        <f>753081</f>
        <v>753081</v>
      </c>
      <c r="DZ27">
        <f>602180</f>
        <v>602180</v>
      </c>
      <c r="EA27">
        <f>628206</f>
        <v>628206</v>
      </c>
      <c r="EB27">
        <f>519731</f>
        <v>519731</v>
      </c>
      <c r="EC27">
        <f>517664</f>
        <v>517664</v>
      </c>
      <c r="ED27">
        <f>538428</f>
        <v>538428</v>
      </c>
      <c r="EE27">
        <f>626829</f>
        <v>626829</v>
      </c>
      <c r="EF27">
        <f>665261</f>
        <v>665261</v>
      </c>
      <c r="EG27">
        <f>599984</f>
        <v>599984</v>
      </c>
      <c r="EH27">
        <f>688425</f>
        <v>688425</v>
      </c>
      <c r="EI27">
        <f>706955</f>
        <v>706955</v>
      </c>
      <c r="EJ27">
        <f>663993</f>
        <v>663993</v>
      </c>
      <c r="EK27">
        <f>621781</f>
        <v>621781</v>
      </c>
      <c r="EL27">
        <f>677168</f>
        <v>677168</v>
      </c>
      <c r="EM27">
        <f>573624</f>
        <v>573624</v>
      </c>
      <c r="EN27">
        <f>628122</f>
        <v>628122</v>
      </c>
      <c r="EO27">
        <f>552821</f>
        <v>552821</v>
      </c>
      <c r="EP27">
        <f>596617</f>
        <v>596617</v>
      </c>
      <c r="EQ27">
        <f>657286</f>
        <v>657286</v>
      </c>
      <c r="ER27">
        <f>741647</f>
        <v>741647</v>
      </c>
      <c r="ES27">
        <f>621834</f>
        <v>621834</v>
      </c>
      <c r="ET27">
        <f>705408</f>
        <v>705408</v>
      </c>
      <c r="EU27">
        <f>701205</f>
        <v>701205</v>
      </c>
      <c r="EV27">
        <f>679543</f>
        <v>679543</v>
      </c>
      <c r="EW27">
        <f>688458</f>
        <v>688458</v>
      </c>
      <c r="EX27">
        <f>752189</f>
        <v>752189</v>
      </c>
      <c r="EY27">
        <f>687427</f>
        <v>687427</v>
      </c>
      <c r="EZ27">
        <f>618439</f>
        <v>618439</v>
      </c>
      <c r="FA27">
        <f>575258</f>
        <v>575258</v>
      </c>
      <c r="FB27">
        <f>661791</f>
        <v>661791</v>
      </c>
      <c r="FC27">
        <f>657830</f>
        <v>657830</v>
      </c>
      <c r="FD27">
        <f>696919</f>
        <v>696919</v>
      </c>
      <c r="FE27">
        <f>612659</f>
        <v>612659</v>
      </c>
      <c r="FF27">
        <f>669218</f>
        <v>669218</v>
      </c>
      <c r="FG27">
        <f>701619</f>
        <v>701619</v>
      </c>
      <c r="FH27">
        <f>692375</f>
        <v>692375</v>
      </c>
      <c r="FI27">
        <f>720312</f>
        <v>720312</v>
      </c>
      <c r="FJ27">
        <f>658727</f>
        <v>658727</v>
      </c>
      <c r="FK27">
        <f>648288</f>
        <v>648288</v>
      </c>
      <c r="FL27">
        <f>558014</f>
        <v>558014</v>
      </c>
      <c r="FM27">
        <f>505382</f>
        <v>505382</v>
      </c>
      <c r="FN27">
        <f>498312</f>
        <v>498312</v>
      </c>
      <c r="FO27">
        <f>582689</f>
        <v>582689</v>
      </c>
      <c r="FP27">
        <f>548929</f>
        <v>548929</v>
      </c>
      <c r="FQ27">
        <f>534308</f>
        <v>534308</v>
      </c>
    </row>
    <row r="28" spans="1:173" x14ac:dyDescent="0.25">
      <c r="A28" t="str">
        <f>"        Loaded Inbound Containers (TEU)"</f>
        <v xml:space="preserve">        Loaded Inbound Containers (TEU)</v>
      </c>
      <c r="B28" t="str">
        <f>"LALBLBIM Index"</f>
        <v>LALBLBIM Index</v>
      </c>
      <c r="C28" t="str">
        <f t="shared" ref="C28:C39" si="0">"PX385"</f>
        <v>PX385</v>
      </c>
      <c r="D28" t="str">
        <f t="shared" ref="D28:D39" si="1">"INTERVAL_SUM"</f>
        <v>INTERVAL_SUM</v>
      </c>
      <c r="E28" t="str">
        <f t="shared" ref="E28:E39" si="2">"Dynamic"</f>
        <v>Dynamic</v>
      </c>
      <c r="F28" t="str">
        <f ca="1">IF(AND(ISNUMBER($F$90),$B$69=1),$F$90,HLOOKUP(INDIRECT(ADDRESS(2,COLUMN())),OFFSET($CL$2,0,0,ROW()-1,84),ROW()-1,FALSE))</f>
        <v/>
      </c>
      <c r="G28">
        <f ca="1">IF(AND(ISNUMBER($G$90),$B$69=1),$G$90,HLOOKUP(INDIRECT(ADDRESS(2,COLUMN())),OFFSET($CL$2,0,0,ROW()-1,84),ROW()-1,FALSE))</f>
        <v>408926</v>
      </c>
      <c r="H28">
        <f ca="1">IF(AND(ISNUMBER($H$90),$B$69=1),$H$90,HLOOKUP(INDIRECT(ADDRESS(2,COLUMN())),OFFSET($CL$2,0,0,ROW()-1,84),ROW()-1,FALSE))</f>
        <v>325436</v>
      </c>
      <c r="I28">
        <f ca="1">IF(AND(ISNUMBER($I$90),$B$69=1),$I$90,HLOOKUP(INDIRECT(ADDRESS(2,COLUMN())),OFFSET($CL$2,0,0,ROW()-1,84),ROW()-1,FALSE))</f>
        <v>271086</v>
      </c>
      <c r="J28">
        <f ca="1">IF(AND(ISNUMBER($J$90),$B$69=1),$J$90,HLOOKUP(INDIRECT(ADDRESS(2,COLUMN())),OFFSET($CL$2,0,0,ROW()-1,84),ROW()-1,FALSE))</f>
        <v>274325</v>
      </c>
      <c r="K28">
        <f ca="1">IF(AND(ISNUMBER($K$90),$B$69=1),$K$90,HLOOKUP(INDIRECT(ADDRESS(2,COLUMN())),OFFSET($CL$2,0,0,ROW()-1,84),ROW()-1,FALSE))</f>
        <v>361661</v>
      </c>
      <c r="L28">
        <f ca="1">IF(AND(ISNUMBER($L$90),$B$69=1),$L$90,HLOOKUP(INDIRECT(ADDRESS(2,COLUMN())),OFFSET($CL$2,0,0,ROW()-1,84),ROW()-1,FALSE))</f>
        <v>313444</v>
      </c>
      <c r="M28">
        <f ca="1">IF(AND(ISNUMBER($M$90),$B$69=1),$M$90,HLOOKUP(INDIRECT(ADDRESS(2,COLUMN())),OFFSET($CL$2,0,0,ROW()-1,84),ROW()-1,FALSE))</f>
        <v>279148</v>
      </c>
      <c r="N28">
        <f ca="1">IF(AND(ISNUMBER($N$90),$B$69=1),$N$90,HLOOKUP(INDIRECT(ADDRESS(2,COLUMN())),OFFSET($CL$2,0,0,ROW()-1,84),ROW()-1,FALSE))</f>
        <v>254970</v>
      </c>
      <c r="O28">
        <f ca="1">IF(AND(ISNUMBER($O$90),$B$69=1),$O$90,HLOOKUP(INDIRECT(ADDRESS(2,COLUMN())),OFFSET($CL$2,0,0,ROW()-1,84),ROW()-1,FALSE))</f>
        <v>263394</v>
      </c>
      <c r="P28">
        <f ca="1">IF(AND(ISNUMBER($P$90),$B$69=1),$P$90,HLOOKUP(INDIRECT(ADDRESS(2,COLUMN())),OFFSET($CL$2,0,0,ROW()-1,84),ROW()-1,FALSE))</f>
        <v>241643</v>
      </c>
      <c r="Q28">
        <f ca="1">IF(AND(ISNUMBER($Q$90),$B$69=1),$Q$90,HLOOKUP(INDIRECT(ADDRESS(2,COLUMN())),OFFSET($CL$2,0,0,ROW()-1,84),ROW()-1,FALSE))</f>
        <v>259442</v>
      </c>
      <c r="R28">
        <f ca="1">IF(AND(ISNUMBER($R$90),$B$69=1),$R$90,HLOOKUP(INDIRECT(ADDRESS(2,COLUMN())),OFFSET($CL$2,0,0,ROW()-1,84),ROW()-1,FALSE))</f>
        <v>293924</v>
      </c>
      <c r="S28">
        <f ca="1">IF(AND(ISNUMBER($S$90),$B$69=1),$S$90,HLOOKUP(INDIRECT(ADDRESS(2,COLUMN())),OFFSET($CL$2,0,0,ROW()-1,84),ROW()-1,FALSE))</f>
        <v>342671</v>
      </c>
      <c r="T28">
        <f ca="1">IF(AND(ISNUMBER($T$90),$B$69=1),$T$90,HLOOKUP(INDIRECT(ADDRESS(2,COLUMN())),OFFSET($CL$2,0,0,ROW()-1,84),ROW()-1,FALSE))</f>
        <v>384530</v>
      </c>
      <c r="U28">
        <f ca="1">IF(AND(ISNUMBER($U$90),$B$69=1),$U$90,HLOOKUP(INDIRECT(ADDRESS(2,COLUMN())),OFFSET($CL$2,0,0,ROW()-1,84),ROW()-1,FALSE))</f>
        <v>376175</v>
      </c>
      <c r="V28">
        <f ca="1">IF(AND(ISNUMBER($V$90),$B$69=1),$V$90,HLOOKUP(INDIRECT(ADDRESS(2,COLUMN())),OFFSET($CL$2,0,0,ROW()-1,84),ROW()-1,FALSE))</f>
        <v>415677</v>
      </c>
      <c r="W28">
        <f ca="1">IF(AND(ISNUMBER($W$90),$B$69=1),$W$90,HLOOKUP(INDIRECT(ADDRESS(2,COLUMN())),OFFSET($CL$2,0,0,ROW()-1,84),ROW()-1,FALSE))</f>
        <v>436977</v>
      </c>
      <c r="X28">
        <f ca="1">IF(AND(ISNUMBER($X$90),$B$69=1),$X$90,HLOOKUP(INDIRECT(ADDRESS(2,COLUMN())),OFFSET($CL$2,0,0,ROW()-1,84),ROW()-1,FALSE))</f>
        <v>400803</v>
      </c>
      <c r="Y28">
        <f ca="1">IF(AND(ISNUMBER($Y$90),$B$69=1),$Y$90,HLOOKUP(INDIRECT(ADDRESS(2,COLUMN())),OFFSET($CL$2,0,0,ROW()-1,84),ROW()-1,FALSE))</f>
        <v>427280</v>
      </c>
      <c r="Z28">
        <f ca="1">IF(AND(ISNUMBER($Z$90),$B$69=1),$Z$90,HLOOKUP(INDIRECT(ADDRESS(2,COLUMN())),OFFSET($CL$2,0,0,ROW()-1,84),ROW()-1,FALSE))</f>
        <v>390335</v>
      </c>
      <c r="AA28">
        <f ca="1">IF(AND(ISNUMBER($AA$90),$B$69=1),$AA$90,HLOOKUP(INDIRECT(ADDRESS(2,COLUMN())),OFFSET($CL$2,0,0,ROW()-1,84),ROW()-1,FALSE))</f>
        <v>389334</v>
      </c>
      <c r="AB28">
        <f ca="1">IF(AND(ISNUMBER($AB$90),$B$69=1),$AB$90,HLOOKUP(INDIRECT(ADDRESS(2,COLUMN())),OFFSET($CL$2,0,0,ROW()-1,84),ROW()-1,FALSE))</f>
        <v>358687</v>
      </c>
      <c r="AC28">
        <f ca="1">IF(AND(ISNUMBER($AC$90),$B$69=1),$AC$90,HLOOKUP(INDIRECT(ADDRESS(2,COLUMN())),OFFSET($CL$2,0,0,ROW()-1,84),ROW()-1,FALSE))</f>
        <v>362394</v>
      </c>
      <c r="AD28">
        <f ca="1">IF(AND(ISNUMBER($AD$90),$B$69=1),$AD$90,HLOOKUP(INDIRECT(ADDRESS(2,COLUMN())),OFFSET($CL$2,0,0,ROW()-1,84),ROW()-1,FALSE))</f>
        <v>385000</v>
      </c>
      <c r="AE28">
        <f ca="1">IF(AND(ISNUMBER($AE$90),$B$69=1),$AE$90,HLOOKUP(INDIRECT(ADDRESS(2,COLUMN())),OFFSET($CL$2,0,0,ROW()-1,84),ROW()-1,FALSE))</f>
        <v>370230</v>
      </c>
      <c r="AF28">
        <f ca="1">IF(AND(ISNUMBER($AF$90),$B$69=1),$AF$90,HLOOKUP(INDIRECT(ADDRESS(2,COLUMN())),OFFSET($CL$2,0,0,ROW()-1,84),ROW()-1,FALSE))</f>
        <v>407426</v>
      </c>
      <c r="AG28">
        <f ca="1">IF(AND(ISNUMBER($AG$90),$B$69=1),$AG$90,HLOOKUP(INDIRECT(ADDRESS(2,COLUMN())),OFFSET($CL$2,0,0,ROW()-1,84),ROW()-1,FALSE))</f>
        <v>382940</v>
      </c>
      <c r="AH28">
        <f ca="1">IF(AND(ISNUMBER($AH$90),$B$69=1),$AH$90,HLOOKUP(INDIRECT(ADDRESS(2,COLUMN())),OFFSET($CL$2,0,0,ROW()-1,84),ROW()-1,FALSE))</f>
        <v>357101</v>
      </c>
      <c r="AI28">
        <f ca="1">IF(AND(ISNUMBER($AI$90),$B$69=1),$AI$90,HLOOKUP(INDIRECT(ADDRESS(2,COLUMN())),OFFSET($CL$2,0,0,ROW()-1,84),ROW()-1,FALSE))</f>
        <v>444736</v>
      </c>
      <c r="AJ28">
        <f ca="1">IF(AND(ISNUMBER($AJ$90),$B$69=1),$AJ$90,HLOOKUP(INDIRECT(ADDRESS(2,COLUMN())),OFFSET($CL$2,0,0,ROW()-1,84),ROW()-1,FALSE))</f>
        <v>367151</v>
      </c>
      <c r="AK28">
        <f ca="1">IF(AND(ISNUMBER($AK$90),$B$69=1),$AK$90,HLOOKUP(INDIRECT(ADDRESS(2,COLUMN())),OFFSET($CL$2,0,0,ROW()-1,84),ROW()-1,FALSE))</f>
        <v>408172</v>
      </c>
      <c r="AL28">
        <f ca="1">IF(AND(ISNUMBER($AL$90),$B$69=1),$AL$90,HLOOKUP(INDIRECT(ADDRESS(2,COLUMN())),OFFSET($CL$2,0,0,ROW()-1,84),ROW()-1,FALSE))</f>
        <v>373756</v>
      </c>
      <c r="AM28">
        <f ca="1">IF(AND(ISNUMBER($AM$90),$B$69=1),$AM$90,HLOOKUP(INDIRECT(ADDRESS(2,COLUMN())),OFFSET($CL$2,0,0,ROW()-1,84),ROW()-1,FALSE))</f>
        <v>364255</v>
      </c>
      <c r="AN28">
        <f ca="1">IF(AND(ISNUMBER($AN$90),$B$69=1),$AN$90,HLOOKUP(INDIRECT(ADDRESS(2,COLUMN())),OFFSET($CL$2,0,0,ROW()-1,84),ROW()-1,FALSE))</f>
        <v>406072</v>
      </c>
      <c r="AO28">
        <f ca="1">IF(AND(ISNUMBER($AO$90),$B$69=1),$AO$90,HLOOKUP(INDIRECT(ADDRESS(2,COLUMN())),OFFSET($CL$2,0,0,ROW()-1,84),ROW()-1,FALSE))</f>
        <v>382677</v>
      </c>
      <c r="AP28">
        <f ca="1">IF(AND(ISNUMBER($AP$90),$B$69=1),$AP$90,HLOOKUP(INDIRECT(ADDRESS(2,COLUMN())),OFFSET($CL$2,0,0,ROW()-1,84),ROW()-1,FALSE))</f>
        <v>402408</v>
      </c>
      <c r="AQ28">
        <f ca="1">IF(AND(ISNUMBER($AQ$90),$B$69=1),$AQ$90,HLOOKUP(INDIRECT(ADDRESS(2,COLUMN())),OFFSET($CL$2,0,0,ROW()-1,84),ROW()-1,FALSE))</f>
        <v>405618</v>
      </c>
      <c r="AR28">
        <f ca="1">IF(AND(ISNUMBER($AR$90),$B$69=1),$AR$90,HLOOKUP(INDIRECT(ADDRESS(2,COLUMN())),OFFSET($CL$2,0,0,ROW()-1,84),ROW()-1,FALSE))</f>
        <v>364792</v>
      </c>
      <c r="AS28">
        <f ca="1">IF(AND(ISNUMBER($AS$90),$B$69=1),$AS$90,HLOOKUP(INDIRECT(ADDRESS(2,COLUMN())),OFFSET($CL$2,0,0,ROW()-1,84),ROW()-1,FALSE))</f>
        <v>376807</v>
      </c>
      <c r="AT28">
        <f ca="1">IF(AND(ISNUMBER($AT$90),$B$69=1),$AT$90,HLOOKUP(INDIRECT(ADDRESS(2,COLUMN())),OFFSET($CL$2,0,0,ROW()-1,84),ROW()-1,FALSE))</f>
        <v>300714</v>
      </c>
      <c r="AU28">
        <f ca="1">IF(AND(ISNUMBER($AU$90),$B$69=1),$AU$90,HLOOKUP(INDIRECT(ADDRESS(2,COLUMN())),OFFSET($CL$2,0,0,ROW()-1,84),ROW()-1,FALSE))</f>
        <v>312590</v>
      </c>
      <c r="AV28">
        <f ca="1">IF(AND(ISNUMBER($AV$90),$B$69=1),$AV$90,HLOOKUP(INDIRECT(ADDRESS(2,COLUMN())),OFFSET($CL$2,0,0,ROW()-1,84),ROW()-1,FALSE))</f>
        <v>253540</v>
      </c>
      <c r="AW28">
        <f ca="1">IF(AND(ISNUMBER($AW$90),$B$69=1),$AW$90,HLOOKUP(INDIRECT(ADDRESS(2,COLUMN())),OFFSET($CL$2,0,0,ROW()-1,84),ROW()-1,FALSE))</f>
        <v>234570</v>
      </c>
      <c r="AX28">
        <f ca="1">IF(AND(ISNUMBER($AX$90),$B$69=1),$AX$90,HLOOKUP(INDIRECT(ADDRESS(2,COLUMN())),OFFSET($CL$2,0,0,ROW()-1,84),ROW()-1,FALSE))</f>
        <v>248592</v>
      </c>
      <c r="AY28">
        <f ca="1">IF(AND(ISNUMBER($AY$90),$B$69=1),$AY$90,HLOOKUP(INDIRECT(ADDRESS(2,COLUMN())),OFFSET($CL$2,0,0,ROW()-1,84),ROW()-1,FALSE))</f>
        <v>309961</v>
      </c>
      <c r="AZ28">
        <f ca="1">IF(AND(ISNUMBER($AZ$90),$B$69=1),$AZ$90,HLOOKUP(INDIRECT(ADDRESS(2,COLUMN())),OFFSET($CL$2,0,0,ROW()-1,84),ROW()-1,FALSE))</f>
        <v>323231</v>
      </c>
      <c r="BA28">
        <f ca="1">IF(AND(ISNUMBER($BA$90),$B$69=1),$BA$90,HLOOKUP(INDIRECT(ADDRESS(2,COLUMN())),OFFSET($CL$2,0,0,ROW()-1,84),ROW()-1,FALSE))</f>
        <v>293287</v>
      </c>
      <c r="BB28">
        <f ca="1">IF(AND(ISNUMBER($BB$90),$B$69=1),$BB$90,HLOOKUP(INDIRECT(ADDRESS(2,COLUMN())),OFFSET($CL$2,0,0,ROW()-1,84),ROW()-1,FALSE))</f>
        <v>337062</v>
      </c>
      <c r="BC28">
        <f ca="1">IF(AND(ISNUMBER($BC$90),$B$69=1),$BC$90,HLOOKUP(INDIRECT(ADDRESS(2,COLUMN())),OFFSET($CL$2,0,0,ROW()-1,84),ROW()-1,FALSE))</f>
        <v>354919</v>
      </c>
      <c r="BD28">
        <f ca="1">IF(AND(ISNUMBER($BD$90),$B$69=1),$BD$90,HLOOKUP(INDIRECT(ADDRESS(2,COLUMN())),OFFSET($CL$2,0,0,ROW()-1,84),ROW()-1,FALSE))</f>
        <v>322780</v>
      </c>
      <c r="BE28">
        <f ca="1">IF(AND(ISNUMBER($BE$90),$B$69=1),$BE$90,HLOOKUP(INDIRECT(ADDRESS(2,COLUMN())),OFFSET($CL$2,0,0,ROW()-1,84),ROW()-1,FALSE))</f>
        <v>313350</v>
      </c>
      <c r="BF28">
        <f ca="1">IF(AND(ISNUMBER($BF$90),$B$69=1),$BF$90,HLOOKUP(INDIRECT(ADDRESS(2,COLUMN())),OFFSET($CL$2,0,0,ROW()-1,84),ROW()-1,FALSE))</f>
        <v>331617</v>
      </c>
      <c r="BG28">
        <f ca="1">IF(AND(ISNUMBER($BG$90),$B$69=1),$BG$90,HLOOKUP(INDIRECT(ADDRESS(2,COLUMN())),OFFSET($CL$2,0,0,ROW()-1,84),ROW()-1,FALSE))</f>
        <v>290568</v>
      </c>
      <c r="BH28">
        <f ca="1">IF(AND(ISNUMBER($BH$90),$B$69=1),$BH$90,HLOOKUP(INDIRECT(ADDRESS(2,COLUMN())),OFFSET($CL$2,0,0,ROW()-1,84),ROW()-1,FALSE))</f>
        <v>317883</v>
      </c>
      <c r="BI28">
        <f ca="1">IF(AND(ISNUMBER($BI$90),$B$69=1),$BI$90,HLOOKUP(INDIRECT(ADDRESS(2,COLUMN())),OFFSET($CL$2,0,0,ROW()-1,84),ROW()-1,FALSE))</f>
        <v>247039</v>
      </c>
      <c r="BJ28">
        <f ca="1">IF(AND(ISNUMBER($BJ$90),$B$69=1),$BJ$90,HLOOKUP(INDIRECT(ADDRESS(2,COLUMN())),OFFSET($CL$2,0,0,ROW()-1,84),ROW()-1,FALSE))</f>
        <v>302865</v>
      </c>
      <c r="BK28">
        <f ca="1">IF(AND(ISNUMBER($BK$90),$B$69=1),$BK$90,HLOOKUP(INDIRECT(ADDRESS(2,COLUMN())),OFFSET($CL$2,0,0,ROW()-1,84),ROW()-1,FALSE))</f>
        <v>323838</v>
      </c>
      <c r="BL28">
        <f ca="1">IF(AND(ISNUMBER($BL$90),$B$69=1),$BL$90,HLOOKUP(INDIRECT(ADDRESS(2,COLUMN())),OFFSET($CL$2,0,0,ROW()-1,84),ROW()-1,FALSE))</f>
        <v>373098</v>
      </c>
      <c r="BM28">
        <f ca="1">IF(AND(ISNUMBER($BM$90),$B$69=1),$BM$90,HLOOKUP(INDIRECT(ADDRESS(2,COLUMN())),OFFSET($CL$2,0,0,ROW()-1,84),ROW()-1,FALSE))</f>
        <v>319877</v>
      </c>
      <c r="BN28">
        <f ca="1">IF(AND(ISNUMBER($BN$90),$B$69=1),$BN$90,HLOOKUP(INDIRECT(ADDRESS(2,COLUMN())),OFFSET($CL$2,0,0,ROW()-1,84),ROW()-1,FALSE))</f>
        <v>364084</v>
      </c>
      <c r="BO28">
        <f ca="1">IF(AND(ISNUMBER($BO$90),$B$69=1),$BO$90,HLOOKUP(INDIRECT(ADDRESS(2,COLUMN())),OFFSET($CL$2,0,0,ROW()-1,84),ROW()-1,FALSE))</f>
        <v>357301</v>
      </c>
      <c r="BP28">
        <f ca="1">IF(AND(ISNUMBER($BP$90),$B$69=1),$BP$90,HLOOKUP(INDIRECT(ADDRESS(2,COLUMN())),OFFSET($CL$2,0,0,ROW()-1,84),ROW()-1,FALSE))</f>
        <v>343029</v>
      </c>
      <c r="BQ28">
        <f ca="1">IF(AND(ISNUMBER($BQ$90),$B$69=1),$BQ$90,HLOOKUP(INDIRECT(ADDRESS(2,COLUMN())),OFFSET($CL$2,0,0,ROW()-1,84),ROW()-1,FALSE))</f>
        <v>347736</v>
      </c>
      <c r="BR28">
        <f ca="1">IF(AND(ISNUMBER($BR$90),$B$69=1),$BR$90,HLOOKUP(INDIRECT(ADDRESS(2,COLUMN())),OFFSET($CL$2,0,0,ROW()-1,84),ROW()-1,FALSE))</f>
        <v>384095</v>
      </c>
      <c r="BS28">
        <f ca="1">IF(AND(ISNUMBER($BS$90),$B$69=1),$BS$90,HLOOKUP(INDIRECT(ADDRESS(2,COLUMN())),OFFSET($CL$2,0,0,ROW()-1,84),ROW()-1,FALSE))</f>
        <v>361056</v>
      </c>
      <c r="BT28">
        <f ca="1">IF(AND(ISNUMBER($BT$90),$B$69=1),$BT$90,HLOOKUP(INDIRECT(ADDRESS(2,COLUMN())),OFFSET($CL$2,0,0,ROW()-1,84),ROW()-1,FALSE))</f>
        <v>312376</v>
      </c>
      <c r="BU28">
        <f ca="1">IF(AND(ISNUMBER($BU$90),$B$69=1),$BU$90,HLOOKUP(INDIRECT(ADDRESS(2,COLUMN())),OFFSET($CL$2,0,0,ROW()-1,84),ROW()-1,FALSE))</f>
        <v>267824</v>
      </c>
      <c r="BV28">
        <f ca="1">IF(AND(ISNUMBER($BV$90),$B$69=1),$BV$90,HLOOKUP(INDIRECT(ADDRESS(2,COLUMN())),OFFSET($CL$2,0,0,ROW()-1,84),ROW()-1,FALSE))</f>
        <v>342247</v>
      </c>
      <c r="BW28">
        <f ca="1">IF(AND(ISNUMBER($BW$90),$B$69=1),$BW$90,HLOOKUP(INDIRECT(ADDRESS(2,COLUMN())),OFFSET($CL$2,0,0,ROW()-1,84),ROW()-1,FALSE))</f>
        <v>324656</v>
      </c>
      <c r="BX28">
        <f ca="1">IF(AND(ISNUMBER($BX$90),$B$69=1),$BX$90,HLOOKUP(INDIRECT(ADDRESS(2,COLUMN())),OFFSET($CL$2,0,0,ROW()-1,84),ROW()-1,FALSE))</f>
        <v>345721</v>
      </c>
      <c r="BY28">
        <f ca="1">IF(AND(ISNUMBER($BY$90),$B$69=1),$BY$90,HLOOKUP(INDIRECT(ADDRESS(2,COLUMN())),OFFSET($CL$2,0,0,ROW()-1,84),ROW()-1,FALSE))</f>
        <v>319210</v>
      </c>
      <c r="BZ28">
        <f ca="1">IF(AND(ISNUMBER($BZ$90),$B$69=1),$BZ$90,HLOOKUP(INDIRECT(ADDRESS(2,COLUMN())),OFFSET($CL$2,0,0,ROW()-1,84),ROW()-1,FALSE))</f>
        <v>339013</v>
      </c>
      <c r="CA28">
        <f ca="1">IF(AND(ISNUMBER($CA$90),$B$69=1),$CA$90,HLOOKUP(INDIRECT(ADDRESS(2,COLUMN())),OFFSET($CL$2,0,0,ROW()-1,84),ROW()-1,FALSE))</f>
        <v>366298</v>
      </c>
      <c r="CB28">
        <f ca="1">IF(AND(ISNUMBER($CB$90),$B$69=1),$CB$90,HLOOKUP(INDIRECT(ADDRESS(2,COLUMN())),OFFSET($CL$2,0,0,ROW()-1,84),ROW()-1,FALSE))</f>
        <v>355715</v>
      </c>
      <c r="CC28">
        <f ca="1">IF(AND(ISNUMBER($CC$90),$B$69=1),$CC$90,HLOOKUP(INDIRECT(ADDRESS(2,COLUMN())),OFFSET($CL$2,0,0,ROW()-1,84),ROW()-1,FALSE))</f>
        <v>378820</v>
      </c>
      <c r="CD28">
        <f ca="1">IF(AND(ISNUMBER($CD$90),$B$69=1),$CD$90,HLOOKUP(INDIRECT(ADDRESS(2,COLUMN())),OFFSET($CL$2,0,0,ROW()-1,84),ROW()-1,FALSE))</f>
        <v>335328</v>
      </c>
      <c r="CE28">
        <f ca="1">IF(AND(ISNUMBER($CE$90),$B$69=1),$CE$90,HLOOKUP(INDIRECT(ADDRESS(2,COLUMN())),OFFSET($CL$2,0,0,ROW()-1,84),ROW()-1,FALSE))</f>
        <v>336594</v>
      </c>
      <c r="CF28">
        <f ca="1">IF(AND(ISNUMBER($CF$90),$B$69=1),$CF$90,HLOOKUP(INDIRECT(ADDRESS(2,COLUMN())),OFFSET($CL$2,0,0,ROW()-1,84),ROW()-1,FALSE))</f>
        <v>288207</v>
      </c>
      <c r="CG28">
        <f ca="1">IF(AND(ISNUMBER($CG$90),$B$69=1),$CG$90,HLOOKUP(INDIRECT(ADDRESS(2,COLUMN())),OFFSET($CL$2,0,0,ROW()-1,84),ROW()-1,FALSE))</f>
        <v>249534</v>
      </c>
      <c r="CH28">
        <f ca="1">IF(AND(ISNUMBER($CH$90),$B$69=1),$CH$90,HLOOKUP(INDIRECT(ADDRESS(2,COLUMN())),OFFSET($CL$2,0,0,ROW()-1,84),ROW()-1,FALSE))</f>
        <v>249759</v>
      </c>
      <c r="CI28">
        <f ca="1">IF(AND(ISNUMBER($CI$90),$B$69=1),$CI$90,HLOOKUP(INDIRECT(ADDRESS(2,COLUMN())),OFFSET($CL$2,0,0,ROW()-1,84),ROW()-1,FALSE))</f>
        <v>298990</v>
      </c>
      <c r="CJ28">
        <f ca="1">IF(AND(ISNUMBER($CJ$90),$B$69=1),$CJ$90,HLOOKUP(INDIRECT(ADDRESS(2,COLUMN())),OFFSET($CL$2,0,0,ROW()-1,84),ROW()-1,FALSE))</f>
        <v>271599</v>
      </c>
      <c r="CK28">
        <f ca="1">IF(AND(ISNUMBER($CK$90),$B$69=1),$CK$90,HLOOKUP(INDIRECT(ADDRESS(2,COLUMN())),OFFSET($CL$2,0,0,ROW()-1,84),ROW()-1,FALSE))</f>
        <v>270610</v>
      </c>
      <c r="CL28" t="str">
        <f>""</f>
        <v/>
      </c>
      <c r="CM28">
        <f>408926</f>
        <v>408926</v>
      </c>
      <c r="CN28">
        <f>325436</f>
        <v>325436</v>
      </c>
      <c r="CO28">
        <f>271086</f>
        <v>271086</v>
      </c>
      <c r="CP28">
        <f>274325</f>
        <v>274325</v>
      </c>
      <c r="CQ28">
        <f>361661</f>
        <v>361661</v>
      </c>
      <c r="CR28">
        <f>313444</f>
        <v>313444</v>
      </c>
      <c r="CS28">
        <f>279148</f>
        <v>279148</v>
      </c>
      <c r="CT28">
        <f>254970</f>
        <v>254970</v>
      </c>
      <c r="CU28">
        <f>263394</f>
        <v>263394</v>
      </c>
      <c r="CV28">
        <f>241643</f>
        <v>241643</v>
      </c>
      <c r="CW28">
        <f>259442</f>
        <v>259442</v>
      </c>
      <c r="CX28">
        <f>293924</f>
        <v>293924</v>
      </c>
      <c r="CY28">
        <f>342671</f>
        <v>342671</v>
      </c>
      <c r="CZ28">
        <f>384530</f>
        <v>384530</v>
      </c>
      <c r="DA28">
        <f>376175</f>
        <v>376175</v>
      </c>
      <c r="DB28">
        <f>415677</f>
        <v>415677</v>
      </c>
      <c r="DC28">
        <f>436977</f>
        <v>436977</v>
      </c>
      <c r="DD28">
        <f>400803</f>
        <v>400803</v>
      </c>
      <c r="DE28">
        <f>427280</f>
        <v>427280</v>
      </c>
      <c r="DF28">
        <f>390335</f>
        <v>390335</v>
      </c>
      <c r="DG28">
        <f>389334</f>
        <v>389334</v>
      </c>
      <c r="DH28">
        <f>358687</f>
        <v>358687</v>
      </c>
      <c r="DI28">
        <f>362394</f>
        <v>362394</v>
      </c>
      <c r="DJ28">
        <f>385000</f>
        <v>385000</v>
      </c>
      <c r="DK28">
        <f>370230</f>
        <v>370230</v>
      </c>
      <c r="DL28">
        <f>407426</f>
        <v>407426</v>
      </c>
      <c r="DM28">
        <f>382940</f>
        <v>382940</v>
      </c>
      <c r="DN28">
        <f>357101</f>
        <v>357101</v>
      </c>
      <c r="DO28">
        <f>444736</f>
        <v>444736</v>
      </c>
      <c r="DP28">
        <f>367151</f>
        <v>367151</v>
      </c>
      <c r="DQ28">
        <f>408172</f>
        <v>408172</v>
      </c>
      <c r="DR28">
        <f>373756</f>
        <v>373756</v>
      </c>
      <c r="DS28">
        <f>364255</f>
        <v>364255</v>
      </c>
      <c r="DT28">
        <f>406072</f>
        <v>406072</v>
      </c>
      <c r="DU28">
        <f>382677</f>
        <v>382677</v>
      </c>
      <c r="DV28">
        <f>402408</f>
        <v>402408</v>
      </c>
      <c r="DW28">
        <f>405618</f>
        <v>405618</v>
      </c>
      <c r="DX28">
        <f>364792</f>
        <v>364792</v>
      </c>
      <c r="DY28">
        <f>376807</f>
        <v>376807</v>
      </c>
      <c r="DZ28">
        <f>300714</f>
        <v>300714</v>
      </c>
      <c r="EA28">
        <f>312590</f>
        <v>312590</v>
      </c>
      <c r="EB28">
        <f>253540</f>
        <v>253540</v>
      </c>
      <c r="EC28">
        <f>234570</f>
        <v>234570</v>
      </c>
      <c r="ED28">
        <f>248592</f>
        <v>248592</v>
      </c>
      <c r="EE28">
        <f>309961</f>
        <v>309961</v>
      </c>
      <c r="EF28">
        <f>323231</f>
        <v>323231</v>
      </c>
      <c r="EG28">
        <f>293287</f>
        <v>293287</v>
      </c>
      <c r="EH28">
        <f>337062</f>
        <v>337062</v>
      </c>
      <c r="EI28">
        <f>354919</f>
        <v>354919</v>
      </c>
      <c r="EJ28">
        <f>322780</f>
        <v>322780</v>
      </c>
      <c r="EK28">
        <f>313350</f>
        <v>313350</v>
      </c>
      <c r="EL28">
        <f>331617</f>
        <v>331617</v>
      </c>
      <c r="EM28">
        <f>290568</f>
        <v>290568</v>
      </c>
      <c r="EN28">
        <f>317883</f>
        <v>317883</v>
      </c>
      <c r="EO28">
        <f>247039</f>
        <v>247039</v>
      </c>
      <c r="EP28">
        <f>302865</f>
        <v>302865</v>
      </c>
      <c r="EQ28">
        <f>323838</f>
        <v>323838</v>
      </c>
      <c r="ER28">
        <f>373098</f>
        <v>373098</v>
      </c>
      <c r="ES28">
        <f>319877</f>
        <v>319877</v>
      </c>
      <c r="ET28">
        <f>364084</f>
        <v>364084</v>
      </c>
      <c r="EU28">
        <f>357301</f>
        <v>357301</v>
      </c>
      <c r="EV28">
        <f>343029</f>
        <v>343029</v>
      </c>
      <c r="EW28">
        <f>347736</f>
        <v>347736</v>
      </c>
      <c r="EX28">
        <f>384095</f>
        <v>384095</v>
      </c>
      <c r="EY28">
        <f>361056</f>
        <v>361056</v>
      </c>
      <c r="EZ28">
        <f>312376</f>
        <v>312376</v>
      </c>
      <c r="FA28">
        <f>267824</f>
        <v>267824</v>
      </c>
      <c r="FB28">
        <f>342247</f>
        <v>342247</v>
      </c>
      <c r="FC28">
        <f>324656</f>
        <v>324656</v>
      </c>
      <c r="FD28">
        <f>345721</f>
        <v>345721</v>
      </c>
      <c r="FE28">
        <f>319210</f>
        <v>319210</v>
      </c>
      <c r="FF28">
        <f>339013</f>
        <v>339013</v>
      </c>
      <c r="FG28">
        <f>366298</f>
        <v>366298</v>
      </c>
      <c r="FH28">
        <f>355715</f>
        <v>355715</v>
      </c>
      <c r="FI28">
        <f>378820</f>
        <v>378820</v>
      </c>
      <c r="FJ28">
        <f>335328</f>
        <v>335328</v>
      </c>
      <c r="FK28">
        <f>336594</f>
        <v>336594</v>
      </c>
      <c r="FL28">
        <f>288207</f>
        <v>288207</v>
      </c>
      <c r="FM28">
        <f>249534</f>
        <v>249534</v>
      </c>
      <c r="FN28">
        <f>249759</f>
        <v>249759</v>
      </c>
      <c r="FO28">
        <f>298990</f>
        <v>298990</v>
      </c>
      <c r="FP28">
        <f>271599</f>
        <v>271599</v>
      </c>
      <c r="FQ28">
        <f>270610</f>
        <v>270610</v>
      </c>
    </row>
    <row r="29" spans="1:173" x14ac:dyDescent="0.25">
      <c r="A29" t="str">
        <f>"        Loaded Outbound Containers (TEU)"</f>
        <v xml:space="preserve">        Loaded Outbound Containers (TEU)</v>
      </c>
      <c r="B29" t="str">
        <f>"LALBLBEX Index"</f>
        <v>LALBLBEX Index</v>
      </c>
      <c r="C29" t="str">
        <f t="shared" si="0"/>
        <v>PX385</v>
      </c>
      <c r="D29" t="str">
        <f t="shared" si="1"/>
        <v>INTERVAL_SUM</v>
      </c>
      <c r="E29" t="str">
        <f t="shared" si="2"/>
        <v>Dynamic</v>
      </c>
      <c r="F29" t="str">
        <f ca="1">IF(AND(ISNUMBER($F$91),$B$69=1),$F$91,HLOOKUP(INDIRECT(ADDRESS(2,COLUMN())),OFFSET($CL$2,0,0,ROW()-1,84),ROW()-1,FALSE))</f>
        <v/>
      </c>
      <c r="G29">
        <f ca="1">IF(AND(ISNUMBER($G$91),$B$69=1),$G$91,HLOOKUP(INDIRECT(ADDRESS(2,COLUMN())),OFFSET($CL$2,0,0,ROW()-1,84),ROW()-1,FALSE))</f>
        <v>101248</v>
      </c>
      <c r="H29">
        <f ca="1">IF(AND(ISNUMBER($H$91),$B$69=1),$H$91,HLOOKUP(INDIRECT(ADDRESS(2,COLUMN())),OFFSET($CL$2,0,0,ROW()-1,84),ROW()-1,FALSE))</f>
        <v>93402</v>
      </c>
      <c r="I29">
        <f ca="1">IF(AND(ISNUMBER($I$91),$B$69=1),$I$91,HLOOKUP(INDIRECT(ADDRESS(2,COLUMN())),OFFSET($CL$2,0,0,ROW()-1,84),ROW()-1,FALSE))</f>
        <v>90134</v>
      </c>
      <c r="J29">
        <f ca="1">IF(AND(ISNUMBER($J$91),$B$69=1),$J$91,HLOOKUP(INDIRECT(ADDRESS(2,COLUMN())),OFFSET($CL$2,0,0,ROW()-1,84),ROW()-1,FALSE))</f>
        <v>94508</v>
      </c>
      <c r="K29">
        <f ca="1">IF(AND(ISNUMBER($K$91),$B$69=1),$K$91,HLOOKUP(INDIRECT(ADDRESS(2,COLUMN())),OFFSET($CL$2,0,0,ROW()-1,84),ROW()-1,FALSE))</f>
        <v>127870</v>
      </c>
      <c r="L29">
        <f ca="1">IF(AND(ISNUMBER($L$91),$B$69=1),$L$91,HLOOKUP(INDIRECT(ADDRESS(2,COLUMN())),OFFSET($CL$2,0,0,ROW()-1,84),ROW()-1,FALSE))</f>
        <v>122663</v>
      </c>
      <c r="M29">
        <f ca="1">IF(AND(ISNUMBER($M$91),$B$69=1),$M$91,HLOOKUP(INDIRECT(ADDRESS(2,COLUMN())),OFFSET($CL$2,0,0,ROW()-1,84),ROW()-1,FALSE))</f>
        <v>133512</v>
      </c>
      <c r="N29">
        <f ca="1">IF(AND(ISNUMBER($N$91),$B$69=1),$N$91,HLOOKUP(INDIRECT(ADDRESS(2,COLUMN())),OFFSET($CL$2,0,0,ROW()-1,84),ROW()-1,FALSE))</f>
        <v>110919</v>
      </c>
      <c r="O29">
        <f ca="1">IF(AND(ISNUMBER($O$91),$B$69=1),$O$91,HLOOKUP(INDIRECT(ADDRESS(2,COLUMN())),OFFSET($CL$2,0,0,ROW()-1,84),ROW()-1,FALSE))</f>
        <v>105623</v>
      </c>
      <c r="P29">
        <f ca="1">IF(AND(ISNUMBER($P$91),$B$69=1),$P$91,HLOOKUP(INDIRECT(ADDRESS(2,COLUMN())),OFFSET($CL$2,0,0,ROW()-1,84),ROW()-1,FALSE))</f>
        <v>115782</v>
      </c>
      <c r="Q29">
        <f ca="1">IF(AND(ISNUMBER($Q$91),$B$69=1),$Q$91,HLOOKUP(INDIRECT(ADDRESS(2,COLUMN())),OFFSET($CL$2,0,0,ROW()-1,84),ROW()-1,FALSE))</f>
        <v>124988</v>
      </c>
      <c r="R29">
        <f ca="1">IF(AND(ISNUMBER($R$91),$B$69=1),$R$91,HLOOKUP(INDIRECT(ADDRESS(2,COLUMN())),OFFSET($CL$2,0,0,ROW()-1,84),ROW()-1,FALSE))</f>
        <v>119761</v>
      </c>
      <c r="S29">
        <f ca="1">IF(AND(ISNUMBER($S$91),$B$69=1),$S$91,HLOOKUP(INDIRECT(ADDRESS(2,COLUMN())),OFFSET($CL$2,0,0,ROW()-1,84),ROW()-1,FALSE))</f>
        <v>112940</v>
      </c>
      <c r="T29">
        <f ca="1">IF(AND(ISNUMBER($T$91),$B$69=1),$T$91,HLOOKUP(INDIRECT(ADDRESS(2,COLUMN())),OFFSET($CL$2,0,0,ROW()-1,84),ROW()-1,FALSE))</f>
        <v>121408</v>
      </c>
      <c r="U29">
        <f ca="1">IF(AND(ISNUMBER($U$91),$B$69=1),$U$91,HLOOKUP(INDIRECT(ADDRESS(2,COLUMN())),OFFSET($CL$2,0,0,ROW()-1,84),ROW()-1,FALSE))</f>
        <v>109411</v>
      </c>
      <c r="V29">
        <f ca="1">IF(AND(ISNUMBER($V$91),$B$69=1),$V$91,HLOOKUP(INDIRECT(ADDRESS(2,COLUMN())),OFFSET($CL$2,0,0,ROW()-1,84),ROW()-1,FALSE))</f>
        <v>115303</v>
      </c>
      <c r="W29">
        <f ca="1">IF(AND(ISNUMBER($W$91),$B$69=1),$W$91,HLOOKUP(INDIRECT(ADDRESS(2,COLUMN())),OFFSET($CL$2,0,0,ROW()-1,84),ROW()-1,FALSE))</f>
        <v>118234</v>
      </c>
      <c r="X29">
        <f ca="1">IF(AND(ISNUMBER($X$91),$B$69=1),$X$91,HLOOKUP(INDIRECT(ADDRESS(2,COLUMN())),OFFSET($CL$2,0,0,ROW()-1,84),ROW()-1,FALSE))</f>
        <v>121876</v>
      </c>
      <c r="Y29">
        <f ca="1">IF(AND(ISNUMBER($Y$91),$B$69=1),$Y$91,HLOOKUP(INDIRECT(ADDRESS(2,COLUMN())),OFFSET($CL$2,0,0,ROW()-1,84),ROW()-1,FALSE))</f>
        <v>114185</v>
      </c>
      <c r="Z29">
        <f ca="1">IF(AND(ISNUMBER($Z$91),$B$69=1),$Z$91,HLOOKUP(INDIRECT(ADDRESS(2,COLUMN())),OFFSET($CL$2,0,0,ROW()-1,84),ROW()-1,FALSE))</f>
        <v>117935</v>
      </c>
      <c r="AA29">
        <f ca="1">IF(AND(ISNUMBER($AA$91),$B$69=1),$AA$91,HLOOKUP(INDIRECT(ADDRESS(2,COLUMN())),OFFSET($CL$2,0,0,ROW()-1,84),ROW()-1,FALSE))</f>
        <v>123060</v>
      </c>
      <c r="AB29">
        <f ca="1">IF(AND(ISNUMBER($AB$91),$B$69=1),$AB$91,HLOOKUP(INDIRECT(ADDRESS(2,COLUMN())),OFFSET($CL$2,0,0,ROW()-1,84),ROW()-1,FALSE))</f>
        <v>113918</v>
      </c>
      <c r="AC29">
        <f ca="1">IF(AND(ISNUMBER($AC$91),$B$69=1),$AC$91,HLOOKUP(INDIRECT(ADDRESS(2,COLUMN())),OFFSET($CL$2,0,0,ROW()-1,84),ROW()-1,FALSE))</f>
        <v>109821</v>
      </c>
      <c r="AD29">
        <f ca="1">IF(AND(ISNUMBER($AD$91),$B$69=1),$AD$91,HLOOKUP(INDIRECT(ADDRESS(2,COLUMN())),OFFSET($CL$2,0,0,ROW()-1,84),ROW()-1,FALSE))</f>
        <v>122214</v>
      </c>
      <c r="AE29">
        <f ca="1">IF(AND(ISNUMBER($AE$91),$B$69=1),$AE$91,HLOOKUP(INDIRECT(ADDRESS(2,COLUMN())),OFFSET($CL$2,0,0,ROW()-1,84),ROW()-1,FALSE))</f>
        <v>110787</v>
      </c>
      <c r="AF29">
        <f ca="1">IF(AND(ISNUMBER($AF$91),$B$69=1),$AF$91,HLOOKUP(INDIRECT(ADDRESS(2,COLUMN())),OFFSET($CL$2,0,0,ROW()-1,84),ROW()-1,FALSE))</f>
        <v>119485</v>
      </c>
      <c r="AG29">
        <f ca="1">IF(AND(ISNUMBER($AG$91),$B$69=1),$AG$91,HLOOKUP(INDIRECT(ADDRESS(2,COLUMN())),OFFSET($CL$2,0,0,ROW()-1,84),ROW()-1,FALSE))</f>
        <v>109951</v>
      </c>
      <c r="AH29">
        <f ca="1">IF(AND(ISNUMBER($AH$91),$B$69=1),$AH$91,HLOOKUP(INDIRECT(ADDRESS(2,COLUMN())),OFFSET($CL$2,0,0,ROW()-1,84),ROW()-1,FALSE))</f>
        <v>116947</v>
      </c>
      <c r="AI29">
        <f ca="1">IF(AND(ISNUMBER($AI$91),$B$69=1),$AI$91,HLOOKUP(INDIRECT(ADDRESS(2,COLUMN())),OFFSET($CL$2,0,0,ROW()-1,84),ROW()-1,FALSE))</f>
        <v>135345</v>
      </c>
      <c r="AJ29">
        <f ca="1">IF(AND(ISNUMBER($AJ$91),$B$69=1),$AJ$91,HLOOKUP(INDIRECT(ADDRESS(2,COLUMN())),OFFSET($CL$2,0,0,ROW()-1,84),ROW()-1,FALSE))</f>
        <v>124069</v>
      </c>
      <c r="AK29">
        <f ca="1">IF(AND(ISNUMBER($AK$91),$B$69=1),$AK$91,HLOOKUP(INDIRECT(ADDRESS(2,COLUMN())),OFFSET($CL$2,0,0,ROW()-1,84),ROW()-1,FALSE))</f>
        <v>139710</v>
      </c>
      <c r="AL29">
        <f ca="1">IF(AND(ISNUMBER($AL$91),$B$69=1),$AL$91,HLOOKUP(INDIRECT(ADDRESS(2,COLUMN())),OFFSET($CL$2,0,0,ROW()-1,84),ROW()-1,FALSE))</f>
        <v>119416</v>
      </c>
      <c r="AM29">
        <f ca="1">IF(AND(ISNUMBER($AM$91),$B$69=1),$AM$91,HLOOKUP(INDIRECT(ADDRESS(2,COLUMN())),OFFSET($CL$2,0,0,ROW()-1,84),ROW()-1,FALSE))</f>
        <v>116254</v>
      </c>
      <c r="AN29">
        <f ca="1">IF(AND(ISNUMBER($AN$91),$B$69=1),$AN$91,HLOOKUP(INDIRECT(ADDRESS(2,COLUMN())),OFFSET($CL$2,0,0,ROW()-1,84),ROW()-1,FALSE))</f>
        <v>132374</v>
      </c>
      <c r="AO29">
        <f ca="1">IF(AND(ISNUMBER($AO$91),$B$69=1),$AO$91,HLOOKUP(INDIRECT(ADDRESS(2,COLUMN())),OFFSET($CL$2,0,0,ROW()-1,84),ROW()-1,FALSE))</f>
        <v>117283</v>
      </c>
      <c r="AP29">
        <f ca="1">IF(AND(ISNUMBER($AP$91),$B$69=1),$AP$91,HLOOKUP(INDIRECT(ADDRESS(2,COLUMN())),OFFSET($CL$2,0,0,ROW()-1,84),ROW()-1,FALSE))</f>
        <v>114679</v>
      </c>
      <c r="AQ29">
        <f ca="1">IF(AND(ISNUMBER($AQ$91),$B$69=1),$AQ$91,HLOOKUP(INDIRECT(ADDRESS(2,COLUMN())),OFFSET($CL$2,0,0,ROW()-1,84),ROW()-1,FALSE))</f>
        <v>112556</v>
      </c>
      <c r="AR29">
        <f ca="1">IF(AND(ISNUMBER($AR$91),$B$69=1),$AR$91,HLOOKUP(INDIRECT(ADDRESS(2,COLUMN())),OFFSET($CL$2,0,0,ROW()-1,84),ROW()-1,FALSE))</f>
        <v>126177</v>
      </c>
      <c r="AS29">
        <f ca="1">IF(AND(ISNUMBER($AS$91),$B$69=1),$AS$91,HLOOKUP(INDIRECT(ADDRESS(2,COLUMN())),OFFSET($CL$2,0,0,ROW()-1,84),ROW()-1,FALSE))</f>
        <v>138602</v>
      </c>
      <c r="AT29">
        <f ca="1">IF(AND(ISNUMBER($AT$91),$B$69=1),$AT$91,HLOOKUP(INDIRECT(ADDRESS(2,COLUMN())),OFFSET($CL$2,0,0,ROW()-1,84),ROW()-1,FALSE))</f>
        <v>117538</v>
      </c>
      <c r="AU29">
        <f ca="1">IF(AND(ISNUMBER($AU$91),$B$69=1),$AU$91,HLOOKUP(INDIRECT(ADDRESS(2,COLUMN())),OFFSET($CL$2,0,0,ROW()-1,84),ROW()-1,FALSE))</f>
        <v>134556</v>
      </c>
      <c r="AV29">
        <f ca="1">IF(AND(ISNUMBER($AV$91),$B$69=1),$AV$91,HLOOKUP(INDIRECT(ADDRESS(2,COLUMN())),OFFSET($CL$2,0,0,ROW()-1,84),ROW()-1,FALSE))</f>
        <v>102502</v>
      </c>
      <c r="AW29">
        <f ca="1">IF(AND(ISNUMBER($AW$91),$B$69=1),$AW$91,HLOOKUP(INDIRECT(ADDRESS(2,COLUMN())),OFFSET($CL$2,0,0,ROW()-1,84),ROW()-1,FALSE))</f>
        <v>145442</v>
      </c>
      <c r="AX29">
        <f ca="1">IF(AND(ISNUMBER($AX$91),$B$69=1),$AX$91,HLOOKUP(INDIRECT(ADDRESS(2,COLUMN())),OFFSET($CL$2,0,0,ROW()-1,84),ROW()-1,FALSE))</f>
        <v>125559</v>
      </c>
      <c r="AY29">
        <f ca="1">IF(AND(ISNUMBER($AY$91),$B$69=1),$AY$91,HLOOKUP(INDIRECT(ADDRESS(2,COLUMN())),OFFSET($CL$2,0,0,ROW()-1,84),ROW()-1,FALSE))</f>
        <v>108624</v>
      </c>
      <c r="AZ29">
        <f ca="1">IF(AND(ISNUMBER($AZ$91),$B$69=1),$AZ$91,HLOOKUP(INDIRECT(ADDRESS(2,COLUMN())),OFFSET($CL$2,0,0,ROW()-1,84),ROW()-1,FALSE))</f>
        <v>125395</v>
      </c>
      <c r="BA29">
        <f ca="1">IF(AND(ISNUMBER($BA$91),$B$69=1),$BA$91,HLOOKUP(INDIRECT(ADDRESS(2,COLUMN())),OFFSET($CL$2,0,0,ROW()-1,84),ROW()-1,FALSE))</f>
        <v>123705</v>
      </c>
      <c r="BB29">
        <f ca="1">IF(AND(ISNUMBER($BB$91),$B$69=1),$BB$91,HLOOKUP(INDIRECT(ADDRESS(2,COLUMN())),OFFSET($CL$2,0,0,ROW()-1,84),ROW()-1,FALSE))</f>
        <v>131635</v>
      </c>
      <c r="BC29">
        <f ca="1">IF(AND(ISNUMBER($BC$91),$B$69=1),$BC$91,HLOOKUP(INDIRECT(ADDRESS(2,COLUMN())),OFFSET($CL$2,0,0,ROW()-1,84),ROW()-1,FALSE))</f>
        <v>123215</v>
      </c>
      <c r="BD29">
        <f ca="1">IF(AND(ISNUMBER($BD$91),$B$69=1),$BD$91,HLOOKUP(INDIRECT(ADDRESS(2,COLUMN())),OFFSET($CL$2,0,0,ROW()-1,84),ROW()-1,FALSE))</f>
        <v>124975</v>
      </c>
      <c r="BE29">
        <f ca="1">IF(AND(ISNUMBER($BE$91),$B$69=1),$BE$91,HLOOKUP(INDIRECT(ADDRESS(2,COLUMN())),OFFSET($CL$2,0,0,ROW()-1,84),ROW()-1,FALSE))</f>
        <v>111654</v>
      </c>
      <c r="BF29">
        <f ca="1">IF(AND(ISNUMBER($BF$91),$B$69=1),$BF$91,HLOOKUP(INDIRECT(ADDRESS(2,COLUMN())),OFFSET($CL$2,0,0,ROW()-1,84),ROW()-1,FALSE))</f>
        <v>133833</v>
      </c>
      <c r="BG29">
        <f ca="1">IF(AND(ISNUMBER($BG$91),$B$69=1),$BG$91,HLOOKUP(INDIRECT(ADDRESS(2,COLUMN())),OFFSET($CL$2,0,0,ROW()-1,84),ROW()-1,FALSE))</f>
        <v>120577</v>
      </c>
      <c r="BH29">
        <f ca="1">IF(AND(ISNUMBER($BH$91),$B$69=1),$BH$91,HLOOKUP(INDIRECT(ADDRESS(2,COLUMN())),OFFSET($CL$2,0,0,ROW()-1,84),ROW()-1,FALSE))</f>
        <v>123804</v>
      </c>
      <c r="BI29">
        <f ca="1">IF(AND(ISNUMBER($BI$91),$B$69=1),$BI$91,HLOOKUP(INDIRECT(ADDRESS(2,COLUMN())),OFFSET($CL$2,0,0,ROW()-1,84),ROW()-1,FALSE))</f>
        <v>131436</v>
      </c>
      <c r="BJ29">
        <f ca="1">IF(AND(ISNUMBER($BJ$91),$B$69=1),$BJ$91,HLOOKUP(INDIRECT(ADDRESS(2,COLUMN())),OFFSET($CL$2,0,0,ROW()-1,84),ROW()-1,FALSE))</f>
        <v>105287</v>
      </c>
      <c r="BK29">
        <f ca="1">IF(AND(ISNUMBER($BK$91),$B$69=1),$BK$91,HLOOKUP(INDIRECT(ADDRESS(2,COLUMN())),OFFSET($CL$2,0,0,ROW()-1,84),ROW()-1,FALSE))</f>
        <v>117288</v>
      </c>
      <c r="BL29">
        <f ca="1">IF(AND(ISNUMBER($BL$91),$B$69=1),$BL$91,HLOOKUP(INDIRECT(ADDRESS(2,COLUMN())),OFFSET($CL$2,0,0,ROW()-1,84),ROW()-1,FALSE))</f>
        <v>113329</v>
      </c>
      <c r="BM29">
        <f ca="1">IF(AND(ISNUMBER($BM$91),$B$69=1),$BM$91,HLOOKUP(INDIRECT(ADDRESS(2,COLUMN())),OFFSET($CL$2,0,0,ROW()-1,84),ROW()-1,FALSE))</f>
        <v>115774</v>
      </c>
      <c r="BN29">
        <f ca="1">IF(AND(ISNUMBER($BN$91),$B$69=1),$BN$91,HLOOKUP(INDIRECT(ADDRESS(2,COLUMN())),OFFSET($CL$2,0,0,ROW()-1,84),ROW()-1,FALSE))</f>
        <v>119837</v>
      </c>
      <c r="BO29">
        <f ca="1">IF(AND(ISNUMBER($BO$91),$B$69=1),$BO$91,HLOOKUP(INDIRECT(ADDRESS(2,COLUMN())),OFFSET($CL$2,0,0,ROW()-1,84),ROW()-1,FALSE))</f>
        <v>121561</v>
      </c>
      <c r="BP29">
        <f ca="1">IF(AND(ISNUMBER($BP$91),$B$69=1),$BP$91,HLOOKUP(INDIRECT(ADDRESS(2,COLUMN())),OFFSET($CL$2,0,0,ROW()-1,84),ROW()-1,FALSE))</f>
        <v>119546</v>
      </c>
      <c r="BQ29">
        <f ca="1">IF(AND(ISNUMBER($BQ$91),$B$69=1),$BQ$91,HLOOKUP(INDIRECT(ADDRESS(2,COLUMN())),OFFSET($CL$2,0,0,ROW()-1,84),ROW()-1,FALSE))</f>
        <v>119747</v>
      </c>
      <c r="BR29">
        <f ca="1">IF(AND(ISNUMBER($BR$91),$B$69=1),$BR$91,HLOOKUP(INDIRECT(ADDRESS(2,COLUMN())),OFFSET($CL$2,0,0,ROW()-1,84),ROW()-1,FALSE))</f>
        <v>135168</v>
      </c>
      <c r="BS29">
        <f ca="1">IF(AND(ISNUMBER($BS$91),$B$69=1),$BS$91,HLOOKUP(INDIRECT(ADDRESS(2,COLUMN())),OFFSET($CL$2,0,0,ROW()-1,84),ROW()-1,FALSE))</f>
        <v>142412</v>
      </c>
      <c r="BT29">
        <f ca="1">IF(AND(ISNUMBER($BT$91),$B$69=1),$BT$91,HLOOKUP(INDIRECT(ADDRESS(2,COLUMN())),OFFSET($CL$2,0,0,ROW()-1,84),ROW()-1,FALSE))</f>
        <v>141799</v>
      </c>
      <c r="BU29">
        <f ca="1">IF(AND(ISNUMBER($BU$91),$B$69=1),$BU$91,HLOOKUP(INDIRECT(ADDRESS(2,COLUMN())),OFFSET($CL$2,0,0,ROW()-1,84),ROW()-1,FALSE))</f>
        <v>142419</v>
      </c>
      <c r="BV29">
        <f ca="1">IF(AND(ISNUMBER($BV$91),$B$69=1),$BV$91,HLOOKUP(INDIRECT(ADDRESS(2,COLUMN())),OFFSET($CL$2,0,0,ROW()-1,84),ROW()-1,FALSE))</f>
        <v>130916</v>
      </c>
      <c r="BW29">
        <f ca="1">IF(AND(ISNUMBER($BW$91),$B$69=1),$BW$91,HLOOKUP(INDIRECT(ADDRESS(2,COLUMN())),OFFSET($CL$2,0,0,ROW()-1,84),ROW()-1,FALSE))</f>
        <v>120503</v>
      </c>
      <c r="BX29">
        <f ca="1">IF(AND(ISNUMBER($BX$91),$B$69=1),$BX$91,HLOOKUP(INDIRECT(ADDRESS(2,COLUMN())),OFFSET($CL$2,0,0,ROW()-1,84),ROW()-1,FALSE))</f>
        <v>137449</v>
      </c>
      <c r="BY29">
        <f ca="1">IF(AND(ISNUMBER($BY$91),$B$69=1),$BY$91,HLOOKUP(INDIRECT(ADDRESS(2,COLUMN())),OFFSET($CL$2,0,0,ROW()-1,84),ROW()-1,FALSE))</f>
        <v>126364</v>
      </c>
      <c r="BZ29">
        <f ca="1">IF(AND(ISNUMBER($BZ$91),$B$69=1),$BZ$91,HLOOKUP(INDIRECT(ADDRESS(2,COLUMN())),OFFSET($CL$2,0,0,ROW()-1,84),ROW()-1,FALSE))</f>
        <v>126150</v>
      </c>
      <c r="CA29">
        <f ca="1">IF(AND(ISNUMBER($CA$91),$B$69=1),$CA$91,HLOOKUP(INDIRECT(ADDRESS(2,COLUMN())),OFFSET($CL$2,0,0,ROW()-1,84),ROW()-1,FALSE))</f>
        <v>125336</v>
      </c>
      <c r="CB29">
        <f ca="1">IF(AND(ISNUMBER($CB$91),$B$69=1),$CB$91,HLOOKUP(INDIRECT(ADDRESS(2,COLUMN())),OFFSET($CL$2,0,0,ROW()-1,84),ROW()-1,FALSE))</f>
        <v>117290</v>
      </c>
      <c r="CC29">
        <f ca="1">IF(AND(ISNUMBER($CC$91),$B$69=1),$CC$91,HLOOKUP(INDIRECT(ADDRESS(2,COLUMN())),OFFSET($CL$2,0,0,ROW()-1,84),ROW()-1,FALSE))</f>
        <v>126098</v>
      </c>
      <c r="CD29">
        <f ca="1">IF(AND(ISNUMBER($CD$91),$B$69=1),$CD$91,HLOOKUP(INDIRECT(ADDRESS(2,COLUMN())),OFFSET($CL$2,0,0,ROW()-1,84),ROW()-1,FALSE))</f>
        <v>118304</v>
      </c>
      <c r="CE29">
        <f ca="1">IF(AND(ISNUMBER($CE$91),$B$69=1),$CE$91,HLOOKUP(INDIRECT(ADDRESS(2,COLUMN())),OFFSET($CL$2,0,0,ROW()-1,84),ROW()-1,FALSE))</f>
        <v>118786</v>
      </c>
      <c r="CF29">
        <f ca="1">IF(AND(ISNUMBER($CF$91),$B$69=1),$CF$91,HLOOKUP(INDIRECT(ADDRESS(2,COLUMN())),OFFSET($CL$2,0,0,ROW()-1,84),ROW()-1,FALSE))</f>
        <v>116260</v>
      </c>
      <c r="CG29">
        <f ca="1">IF(AND(ISNUMBER($CG$91),$B$69=1),$CG$91,HLOOKUP(INDIRECT(ADDRESS(2,COLUMN())),OFFSET($CL$2,0,0,ROW()-1,84),ROW()-1,FALSE))</f>
        <v>120435</v>
      </c>
      <c r="CH29">
        <f ca="1">IF(AND(ISNUMBER($CH$91),$B$69=1),$CH$91,HLOOKUP(INDIRECT(ADDRESS(2,COLUMN())),OFFSET($CL$2,0,0,ROW()-1,84),ROW()-1,FALSE))</f>
        <v>119811</v>
      </c>
      <c r="CI29">
        <f ca="1">IF(AND(ISNUMBER($CI$91),$B$69=1),$CI$91,HLOOKUP(INDIRECT(ADDRESS(2,COLUMN())),OFFSET($CL$2,0,0,ROW()-1,84),ROW()-1,FALSE))</f>
        <v>118234</v>
      </c>
      <c r="CJ29">
        <f ca="1">IF(AND(ISNUMBER($CJ$91),$B$69=1),$CJ$91,HLOOKUP(INDIRECT(ADDRESS(2,COLUMN())),OFFSET($CL$2,0,0,ROW()-1,84),ROW()-1,FALSE))</f>
        <v>122933</v>
      </c>
      <c r="CK29">
        <f ca="1">IF(AND(ISNUMBER($CK$91),$B$69=1),$CK$91,HLOOKUP(INDIRECT(ADDRESS(2,COLUMN())),OFFSET($CL$2,0,0,ROW()-1,84),ROW()-1,FALSE))</f>
        <v>120897</v>
      </c>
      <c r="CL29" t="str">
        <f>""</f>
        <v/>
      </c>
      <c r="CM29">
        <f>101248</f>
        <v>101248</v>
      </c>
      <c r="CN29">
        <f>93402</f>
        <v>93402</v>
      </c>
      <c r="CO29">
        <f>90134</f>
        <v>90134</v>
      </c>
      <c r="CP29">
        <f>94508</f>
        <v>94508</v>
      </c>
      <c r="CQ29">
        <f>127870</f>
        <v>127870</v>
      </c>
      <c r="CR29">
        <f>122663</f>
        <v>122663</v>
      </c>
      <c r="CS29">
        <f>133512</f>
        <v>133512</v>
      </c>
      <c r="CT29">
        <f>110919</f>
        <v>110919</v>
      </c>
      <c r="CU29">
        <f>105623</f>
        <v>105623</v>
      </c>
      <c r="CV29">
        <f>115782</f>
        <v>115782</v>
      </c>
      <c r="CW29">
        <f>124988</f>
        <v>124988</v>
      </c>
      <c r="CX29">
        <f>119761</f>
        <v>119761</v>
      </c>
      <c r="CY29">
        <f>112940</f>
        <v>112940</v>
      </c>
      <c r="CZ29">
        <f>121408</f>
        <v>121408</v>
      </c>
      <c r="DA29">
        <f>109411</f>
        <v>109411</v>
      </c>
      <c r="DB29">
        <f>115303</f>
        <v>115303</v>
      </c>
      <c r="DC29">
        <f>118234</f>
        <v>118234</v>
      </c>
      <c r="DD29">
        <f>121876</f>
        <v>121876</v>
      </c>
      <c r="DE29">
        <f>114185</f>
        <v>114185</v>
      </c>
      <c r="DF29">
        <f>117935</f>
        <v>117935</v>
      </c>
      <c r="DG29">
        <f>123060</f>
        <v>123060</v>
      </c>
      <c r="DH29">
        <f>113918</f>
        <v>113918</v>
      </c>
      <c r="DI29">
        <f>109821</f>
        <v>109821</v>
      </c>
      <c r="DJ29">
        <f>122214</f>
        <v>122214</v>
      </c>
      <c r="DK29">
        <f>110787</f>
        <v>110787</v>
      </c>
      <c r="DL29">
        <f>119485</f>
        <v>119485</v>
      </c>
      <c r="DM29">
        <f>109951</f>
        <v>109951</v>
      </c>
      <c r="DN29">
        <f>116947</f>
        <v>116947</v>
      </c>
      <c r="DO29">
        <f>135345</f>
        <v>135345</v>
      </c>
      <c r="DP29">
        <f>124069</f>
        <v>124069</v>
      </c>
      <c r="DQ29">
        <f>139710</f>
        <v>139710</v>
      </c>
      <c r="DR29">
        <f>119416</f>
        <v>119416</v>
      </c>
      <c r="DS29">
        <f>116254</f>
        <v>116254</v>
      </c>
      <c r="DT29">
        <f>132374</f>
        <v>132374</v>
      </c>
      <c r="DU29">
        <f>117283</f>
        <v>117283</v>
      </c>
      <c r="DV29">
        <f>114679</f>
        <v>114679</v>
      </c>
      <c r="DW29">
        <f>112556</f>
        <v>112556</v>
      </c>
      <c r="DX29">
        <f>126177</f>
        <v>126177</v>
      </c>
      <c r="DY29">
        <f>138602</f>
        <v>138602</v>
      </c>
      <c r="DZ29">
        <f>117538</f>
        <v>117538</v>
      </c>
      <c r="EA29">
        <f>134556</f>
        <v>134556</v>
      </c>
      <c r="EB29">
        <f>102502</f>
        <v>102502</v>
      </c>
      <c r="EC29">
        <f>145442</f>
        <v>145442</v>
      </c>
      <c r="ED29">
        <f>125559</f>
        <v>125559</v>
      </c>
      <c r="EE29">
        <f>108624</f>
        <v>108624</v>
      </c>
      <c r="EF29">
        <f>125395</f>
        <v>125395</v>
      </c>
      <c r="EG29">
        <f>123705</f>
        <v>123705</v>
      </c>
      <c r="EH29">
        <f>131635</f>
        <v>131635</v>
      </c>
      <c r="EI29">
        <f>123215</f>
        <v>123215</v>
      </c>
      <c r="EJ29">
        <f>124975</f>
        <v>124975</v>
      </c>
      <c r="EK29">
        <f>111654</f>
        <v>111654</v>
      </c>
      <c r="EL29">
        <f>133833</f>
        <v>133833</v>
      </c>
      <c r="EM29">
        <f>120577</f>
        <v>120577</v>
      </c>
      <c r="EN29">
        <f>123804</f>
        <v>123804</v>
      </c>
      <c r="EO29">
        <f>131436</f>
        <v>131436</v>
      </c>
      <c r="EP29">
        <f>105287</f>
        <v>105287</v>
      </c>
      <c r="EQ29">
        <f>117288</f>
        <v>117288</v>
      </c>
      <c r="ER29">
        <f>113329</f>
        <v>113329</v>
      </c>
      <c r="ES29">
        <f>115774</f>
        <v>115774</v>
      </c>
      <c r="ET29">
        <f>119837</f>
        <v>119837</v>
      </c>
      <c r="EU29">
        <f>121561</f>
        <v>121561</v>
      </c>
      <c r="EV29">
        <f>119546</f>
        <v>119546</v>
      </c>
      <c r="EW29">
        <f>119747</f>
        <v>119747</v>
      </c>
      <c r="EX29">
        <f>135168</f>
        <v>135168</v>
      </c>
      <c r="EY29">
        <f>142412</f>
        <v>142412</v>
      </c>
      <c r="EZ29">
        <f>141799</f>
        <v>141799</v>
      </c>
      <c r="FA29">
        <f>142419</f>
        <v>142419</v>
      </c>
      <c r="FB29">
        <f>130916</f>
        <v>130916</v>
      </c>
      <c r="FC29">
        <f>120503</f>
        <v>120503</v>
      </c>
      <c r="FD29">
        <f>137449</f>
        <v>137449</v>
      </c>
      <c r="FE29">
        <f>126364</f>
        <v>126364</v>
      </c>
      <c r="FF29">
        <f>126150</f>
        <v>126150</v>
      </c>
      <c r="FG29">
        <f>125336</f>
        <v>125336</v>
      </c>
      <c r="FH29">
        <f>117290</f>
        <v>117290</v>
      </c>
      <c r="FI29">
        <f>126098</f>
        <v>126098</v>
      </c>
      <c r="FJ29">
        <f>118304</f>
        <v>118304</v>
      </c>
      <c r="FK29">
        <f>118786</f>
        <v>118786</v>
      </c>
      <c r="FL29">
        <f>116260</f>
        <v>116260</v>
      </c>
      <c r="FM29">
        <f>120435</f>
        <v>120435</v>
      </c>
      <c r="FN29">
        <f>119811</f>
        <v>119811</v>
      </c>
      <c r="FO29">
        <f>118234</f>
        <v>118234</v>
      </c>
      <c r="FP29">
        <f>122933</f>
        <v>122933</v>
      </c>
      <c r="FQ29">
        <f>120897</f>
        <v>120897</v>
      </c>
    </row>
    <row r="30" spans="1:173" x14ac:dyDescent="0.25">
      <c r="A30" t="str">
        <f>"        Empty Containers (TEU)"</f>
        <v xml:space="preserve">        Empty Containers (TEU)</v>
      </c>
      <c r="B30" t="str">
        <f>"LALBLBEM Index"</f>
        <v>LALBLBEM Index</v>
      </c>
      <c r="C30" t="str">
        <f t="shared" si="0"/>
        <v>PX385</v>
      </c>
      <c r="D30" t="str">
        <f t="shared" si="1"/>
        <v>INTERVAL_SUM</v>
      </c>
      <c r="E30" t="str">
        <f t="shared" si="2"/>
        <v>Dynamic</v>
      </c>
      <c r="F30" t="str">
        <f ca="1">IF(AND(ISNUMBER($F$92),$B$69=1),$F$92,HLOOKUP(INDIRECT(ADDRESS(2,COLUMN())),OFFSET($CL$2,0,0,ROW()-1,84),ROW()-1,FALSE))</f>
        <v/>
      </c>
      <c r="G30">
        <f ca="1">IF(AND(ISNUMBER($G$92),$B$69=1),$G$92,HLOOKUP(INDIRECT(ADDRESS(2,COLUMN())),OFFSET($CL$2,0,0,ROW()-1,84),ROW()-1,FALSE))</f>
        <v>319255</v>
      </c>
      <c r="H30">
        <f ca="1">IF(AND(ISNUMBER($H$92),$B$69=1),$H$92,HLOOKUP(INDIRECT(ADDRESS(2,COLUMN())),OFFSET($CL$2,0,0,ROW()-1,84),ROW()-1,FALSE))</f>
        <v>263475</v>
      </c>
      <c r="I30">
        <f ca="1">IF(AND(ISNUMBER($I$92),$B$69=1),$I$92,HLOOKUP(INDIRECT(ADDRESS(2,COLUMN())),OFFSET($CL$2,0,0,ROW()-1,84),ROW()-1,FALSE))</f>
        <v>217030</v>
      </c>
      <c r="J30">
        <f ca="1">IF(AND(ISNUMBER($J$92),$B$69=1),$J$92,HLOOKUP(INDIRECT(ADDRESS(2,COLUMN())),OFFSET($CL$2,0,0,ROW()-1,84),ROW()-1,FALSE))</f>
        <v>228243</v>
      </c>
      <c r="K30">
        <f ca="1">IF(AND(ISNUMBER($K$92),$B$69=1),$K$92,HLOOKUP(INDIRECT(ADDRESS(2,COLUMN())),OFFSET($CL$2,0,0,ROW()-1,84),ROW()-1,FALSE))</f>
        <v>268695</v>
      </c>
      <c r="L30">
        <f ca="1">IF(AND(ISNUMBER($L$92),$B$69=1),$L$92,HLOOKUP(INDIRECT(ADDRESS(2,COLUMN())),OFFSET($CL$2,0,0,ROW()-1,84),ROW()-1,FALSE))</f>
        <v>219942</v>
      </c>
      <c r="M30">
        <f ca="1">IF(AND(ISNUMBER($M$92),$B$69=1),$M$92,HLOOKUP(INDIRECT(ADDRESS(2,COLUMN())),OFFSET($CL$2,0,0,ROW()-1,84),ROW()-1,FALSE))</f>
        <v>191219</v>
      </c>
      <c r="N30">
        <f ca="1">IF(AND(ISNUMBER($N$92),$B$69=1),$N$92,HLOOKUP(INDIRECT(ADDRESS(2,COLUMN())),OFFSET($CL$2,0,0,ROW()-1,84),ROW()-1,FALSE))</f>
        <v>177787</v>
      </c>
      <c r="O30">
        <f ca="1">IF(AND(ISNUMBER($O$92),$B$69=1),$O$92,HLOOKUP(INDIRECT(ADDRESS(2,COLUMN())),OFFSET($CL$2,0,0,ROW()-1,84),ROW()-1,FALSE))</f>
        <v>204756</v>
      </c>
      <c r="P30">
        <f ca="1">IF(AND(ISNUMBER($P$92),$B$69=1),$P$92,HLOOKUP(INDIRECT(ADDRESS(2,COLUMN())),OFFSET($CL$2,0,0,ROW()-1,84),ROW()-1,FALSE))</f>
        <v>186680</v>
      </c>
      <c r="Q30">
        <f ca="1">IF(AND(ISNUMBER($Q$92),$B$69=1),$Q$92,HLOOKUP(INDIRECT(ADDRESS(2,COLUMN())),OFFSET($CL$2,0,0,ROW()-1,84),ROW()-1,FALSE))</f>
        <v>204313</v>
      </c>
      <c r="R30">
        <f ca="1">IF(AND(ISNUMBER($R$92),$B$69=1),$R$92,HLOOKUP(INDIRECT(ADDRESS(2,COLUMN())),OFFSET($CL$2,0,0,ROW()-1,84),ROW()-1,FALSE))</f>
        <v>244743</v>
      </c>
      <c r="S30">
        <f ca="1">IF(AND(ISNUMBER($S$92),$B$69=1),$S$92,HLOOKUP(INDIRECT(ADDRESS(2,COLUMN())),OFFSET($CL$2,0,0,ROW()-1,84),ROW()-1,FALSE))</f>
        <v>286212</v>
      </c>
      <c r="T30">
        <f ca="1">IF(AND(ISNUMBER($T$92),$B$69=1),$T$92,HLOOKUP(INDIRECT(ADDRESS(2,COLUMN())),OFFSET($CL$2,0,0,ROW()-1,84),ROW()-1,FALSE))</f>
        <v>301002</v>
      </c>
      <c r="U30">
        <f ca="1">IF(AND(ISNUMBER($U$92),$B$69=1),$U$92,HLOOKUP(INDIRECT(ADDRESS(2,COLUMN())),OFFSET($CL$2,0,0,ROW()-1,84),ROW()-1,FALSE))</f>
        <v>300257</v>
      </c>
      <c r="V30">
        <f ca="1">IF(AND(ISNUMBER($V$92),$B$69=1),$V$92,HLOOKUP(INDIRECT(ADDRESS(2,COLUMN())),OFFSET($CL$2,0,0,ROW()-1,84),ROW()-1,FALSE))</f>
        <v>304432</v>
      </c>
      <c r="W30">
        <f ca="1">IF(AND(ISNUMBER($W$92),$B$69=1),$W$92,HLOOKUP(INDIRECT(ADDRESS(2,COLUMN())),OFFSET($CL$2,0,0,ROW()-1,84),ROW()-1,FALSE))</f>
        <v>335778</v>
      </c>
      <c r="X30">
        <f ca="1">IF(AND(ISNUMBER($X$92),$B$69=1),$X$92,HLOOKUP(INDIRECT(ADDRESS(2,COLUMN())),OFFSET($CL$2,0,0,ROW()-1,84),ROW()-1,FALSE))</f>
        <v>298040</v>
      </c>
      <c r="Y30">
        <f ca="1">IF(AND(ISNUMBER($Y$92),$B$69=1),$Y$92,HLOOKUP(INDIRECT(ADDRESS(2,COLUMN())),OFFSET($CL$2,0,0,ROW()-1,84),ROW()-1,FALSE))</f>
        <v>321691</v>
      </c>
      <c r="Z30">
        <f ca="1">IF(AND(ISNUMBER($Z$92),$B$69=1),$Z$92,HLOOKUP(INDIRECT(ADDRESS(2,COLUMN())),OFFSET($CL$2,0,0,ROW()-1,84),ROW()-1,FALSE))</f>
        <v>288290</v>
      </c>
      <c r="AA30">
        <f ca="1">IF(AND(ISNUMBER($AA$92),$B$69=1),$AA$92,HLOOKUP(INDIRECT(ADDRESS(2,COLUMN())),OFFSET($CL$2,0,0,ROW()-1,84),ROW()-1,FALSE))</f>
        <v>288550</v>
      </c>
      <c r="AB30">
        <f ca="1">IF(AND(ISNUMBER($AB$92),$B$69=1),$AB$92,HLOOKUP(INDIRECT(ADDRESS(2,COLUMN())),OFFSET($CL$2,0,0,ROW()-1,84),ROW()-1,FALSE))</f>
        <v>281709</v>
      </c>
      <c r="AC30">
        <f ca="1">IF(AND(ISNUMBER($AC$92),$B$69=1),$AC$92,HLOOKUP(INDIRECT(ADDRESS(2,COLUMN())),OFFSET($CL$2,0,0,ROW()-1,84),ROW()-1,FALSE))</f>
        <v>273274</v>
      </c>
      <c r="AD30">
        <f ca="1">IF(AND(ISNUMBER($AD$92),$B$69=1),$AD$92,HLOOKUP(INDIRECT(ADDRESS(2,COLUMN())),OFFSET($CL$2,0,0,ROW()-1,84),ROW()-1,FALSE))</f>
        <v>282502</v>
      </c>
      <c r="AE30">
        <f ca="1">IF(AND(ISNUMBER($AE$92),$B$69=1),$AE$92,HLOOKUP(INDIRECT(ADDRESS(2,COLUMN())),OFFSET($CL$2,0,0,ROW()-1,84),ROW()-1,FALSE))</f>
        <v>267456</v>
      </c>
      <c r="AF30">
        <f ca="1">IF(AND(ISNUMBER($AF$92),$B$69=1),$AF$92,HLOOKUP(INDIRECT(ADDRESS(2,COLUMN())),OFFSET($CL$2,0,0,ROW()-1,84),ROW()-1,FALSE))</f>
        <v>280794</v>
      </c>
      <c r="AG30">
        <f ca="1">IF(AND(ISNUMBER($AG$92),$B$69=1),$AG$92,HLOOKUP(INDIRECT(ADDRESS(2,COLUMN())),OFFSET($CL$2,0,0,ROW()-1,84),ROW()-1,FALSE))</f>
        <v>291955</v>
      </c>
      <c r="AH30">
        <f ca="1">IF(AND(ISNUMBER($AH$92),$B$69=1),$AH$92,HLOOKUP(INDIRECT(ADDRESS(2,COLUMN())),OFFSET($CL$2,0,0,ROW()-1,84),ROW()-1,FALSE))</f>
        <v>250249</v>
      </c>
      <c r="AI30">
        <f ca="1">IF(AND(ISNUMBER($AI$92),$B$69=1),$AI$92,HLOOKUP(INDIRECT(ADDRESS(2,COLUMN())),OFFSET($CL$2,0,0,ROW()-1,84),ROW()-1,FALSE))</f>
        <v>327135</v>
      </c>
      <c r="AJ30">
        <f ca="1">IF(AND(ISNUMBER($AJ$92),$B$69=1),$AJ$92,HLOOKUP(INDIRECT(ADDRESS(2,COLUMN())),OFFSET($CL$2,0,0,ROW()-1,84),ROW()-1,FALSE))</f>
        <v>254969</v>
      </c>
      <c r="AK30">
        <f ca="1">IF(AND(ISNUMBER($AK$92),$B$69=1),$AK$92,HLOOKUP(INDIRECT(ADDRESS(2,COLUMN())),OFFSET($CL$2,0,0,ROW()-1,84),ROW()-1,FALSE))</f>
        <v>292504</v>
      </c>
      <c r="AL30">
        <f ca="1">IF(AND(ISNUMBER($AL$92),$B$69=1),$AL$92,HLOOKUP(INDIRECT(ADDRESS(2,COLUMN())),OFFSET($CL$2,0,0,ROW()-1,84),ROW()-1,FALSE))</f>
        <v>278563</v>
      </c>
      <c r="AM30">
        <f ca="1">IF(AND(ISNUMBER($AM$92),$B$69=1),$AM$92,HLOOKUP(INDIRECT(ADDRESS(2,COLUMN())),OFFSET($CL$2,0,0,ROW()-1,84),ROW()-1,FALSE))</f>
        <v>283498</v>
      </c>
      <c r="AN30">
        <f ca="1">IF(AND(ISNUMBER($AN$92),$B$69=1),$AN$92,HLOOKUP(INDIRECT(ADDRESS(2,COLUMN())),OFFSET($CL$2,0,0,ROW()-1,84),ROW()-1,FALSE))</f>
        <v>277440</v>
      </c>
      <c r="AO30">
        <f ca="1">IF(AND(ISNUMBER($AO$92),$B$69=1),$AO$92,HLOOKUP(INDIRECT(ADDRESS(2,COLUMN())),OFFSET($CL$2,0,0,ROW()-1,84),ROW()-1,FALSE))</f>
        <v>283563</v>
      </c>
      <c r="AP30">
        <f ca="1">IF(AND(ISNUMBER($AP$92),$B$69=1),$AP$92,HLOOKUP(INDIRECT(ADDRESS(2,COLUMN())),OFFSET($CL$2,0,0,ROW()-1,84),ROW()-1,FALSE))</f>
        <v>289517</v>
      </c>
      <c r="AQ30">
        <f ca="1">IF(AND(ISNUMBER($AQ$92),$B$69=1),$AQ$92,HLOOKUP(INDIRECT(ADDRESS(2,COLUMN())),OFFSET($CL$2,0,0,ROW()-1,84),ROW()-1,FALSE))</f>
        <v>277406</v>
      </c>
      <c r="AR30">
        <f ca="1">IF(AND(ISNUMBER($AR$92),$B$69=1),$AR$92,HLOOKUP(INDIRECT(ADDRESS(2,COLUMN())),OFFSET($CL$2,0,0,ROW()-1,84),ROW()-1,FALSE))</f>
        <v>234642</v>
      </c>
      <c r="AS30">
        <f ca="1">IF(AND(ISNUMBER($AS$92),$B$69=1),$AS$92,HLOOKUP(INDIRECT(ADDRESS(2,COLUMN())),OFFSET($CL$2,0,0,ROW()-1,84),ROW()-1,FALSE))</f>
        <v>237672</v>
      </c>
      <c r="AT30">
        <f ca="1">IF(AND(ISNUMBER($AT$92),$B$69=1),$AT$92,HLOOKUP(INDIRECT(ADDRESS(2,COLUMN())),OFFSET($CL$2,0,0,ROW()-1,84),ROW()-1,FALSE))</f>
        <v>183928</v>
      </c>
      <c r="AU30">
        <f ca="1">IF(AND(ISNUMBER($AU$92),$B$69=1),$AU$92,HLOOKUP(INDIRECT(ADDRESS(2,COLUMN())),OFFSET($CL$2,0,0,ROW()-1,84),ROW()-1,FALSE))</f>
        <v>181060</v>
      </c>
      <c r="AV30">
        <f ca="1">IF(AND(ISNUMBER($AV$92),$B$69=1),$AV$92,HLOOKUP(INDIRECT(ADDRESS(2,COLUMN())),OFFSET($CL$2,0,0,ROW()-1,84),ROW()-1,FALSE))</f>
        <v>163689</v>
      </c>
      <c r="AW30">
        <f ca="1">IF(AND(ISNUMBER($AW$92),$B$69=1),$AW$92,HLOOKUP(INDIRECT(ADDRESS(2,COLUMN())),OFFSET($CL$2,0,0,ROW()-1,84),ROW()-1,FALSE))</f>
        <v>137652</v>
      </c>
      <c r="AX30">
        <f ca="1">IF(AND(ISNUMBER($AX$92),$B$69=1),$AX$92,HLOOKUP(INDIRECT(ADDRESS(2,COLUMN())),OFFSET($CL$2,0,0,ROW()-1,84),ROW()-1,FALSE))</f>
        <v>164277</v>
      </c>
      <c r="AY30">
        <f ca="1">IF(AND(ISNUMBER($AY$92),$B$69=1),$AY$92,HLOOKUP(INDIRECT(ADDRESS(2,COLUMN())),OFFSET($CL$2,0,0,ROW()-1,84),ROW()-1,FALSE))</f>
        <v>208244</v>
      </c>
      <c r="AZ30">
        <f ca="1">IF(AND(ISNUMBER($AZ$92),$B$69=1),$AZ$92,HLOOKUP(INDIRECT(ADDRESS(2,COLUMN())),OFFSET($CL$2,0,0,ROW()-1,84),ROW()-1,FALSE))</f>
        <v>216635</v>
      </c>
      <c r="BA30">
        <f ca="1">IF(AND(ISNUMBER($BA$92),$B$69=1),$BA$92,HLOOKUP(INDIRECT(ADDRESS(2,COLUMN())),OFFSET($CL$2,0,0,ROW()-1,84),ROW()-1,FALSE))</f>
        <v>182992</v>
      </c>
      <c r="BB30">
        <f ca="1">IF(AND(ISNUMBER($BB$92),$B$69=1),$BB$92,HLOOKUP(INDIRECT(ADDRESS(2,COLUMN())),OFFSET($CL$2,0,0,ROW()-1,84),ROW()-1,FALSE))</f>
        <v>219728</v>
      </c>
      <c r="BC30">
        <f ca="1">IF(AND(ISNUMBER($BC$92),$B$69=1),$BC$92,HLOOKUP(INDIRECT(ADDRESS(2,COLUMN())),OFFSET($CL$2,0,0,ROW()-1,84),ROW()-1,FALSE))</f>
        <v>228821</v>
      </c>
      <c r="BD30">
        <f ca="1">IF(AND(ISNUMBER($BD$92),$B$69=1),$BD$92,HLOOKUP(INDIRECT(ADDRESS(2,COLUMN())),OFFSET($CL$2,0,0,ROW()-1,84),ROW()-1,FALSE))</f>
        <v>216238</v>
      </c>
      <c r="BE30">
        <f ca="1">IF(AND(ISNUMBER($BE$92),$B$69=1),$BE$92,HLOOKUP(INDIRECT(ADDRESS(2,COLUMN())),OFFSET($CL$2,0,0,ROW()-1,84),ROW()-1,FALSE))</f>
        <v>196777</v>
      </c>
      <c r="BF30">
        <f ca="1">IF(AND(ISNUMBER($BF$92),$B$69=1),$BF$92,HLOOKUP(INDIRECT(ADDRESS(2,COLUMN())),OFFSET($CL$2,0,0,ROW()-1,84),ROW()-1,FALSE))</f>
        <v>211718</v>
      </c>
      <c r="BG30">
        <f ca="1">IF(AND(ISNUMBER($BG$92),$B$69=1),$BG$92,HLOOKUP(INDIRECT(ADDRESS(2,COLUMN())),OFFSET($CL$2,0,0,ROW()-1,84),ROW()-1,FALSE))</f>
        <v>162479</v>
      </c>
      <c r="BH30">
        <f ca="1">IF(AND(ISNUMBER($BH$92),$B$69=1),$BH$92,HLOOKUP(INDIRECT(ADDRESS(2,COLUMN())),OFFSET($CL$2,0,0,ROW()-1,84),ROW()-1,FALSE))</f>
        <v>186435</v>
      </c>
      <c r="BI30">
        <f ca="1">IF(AND(ISNUMBER($BI$92),$B$69=1),$BI$92,HLOOKUP(INDIRECT(ADDRESS(2,COLUMN())),OFFSET($CL$2,0,0,ROW()-1,84),ROW()-1,FALSE))</f>
        <v>174346</v>
      </c>
      <c r="BJ30">
        <f ca="1">IF(AND(ISNUMBER($BJ$92),$B$69=1),$BJ$92,HLOOKUP(INDIRECT(ADDRESS(2,COLUMN())),OFFSET($CL$2,0,0,ROW()-1,84),ROW()-1,FALSE))</f>
        <v>188465</v>
      </c>
      <c r="BK30">
        <f ca="1">IF(AND(ISNUMBER($BK$92),$B$69=1),$BK$92,HLOOKUP(INDIRECT(ADDRESS(2,COLUMN())),OFFSET($CL$2,0,0,ROW()-1,84),ROW()-1,FALSE))</f>
        <v>216160</v>
      </c>
      <c r="BL30">
        <f ca="1">IF(AND(ISNUMBER($BL$92),$B$69=1),$BL$92,HLOOKUP(INDIRECT(ADDRESS(2,COLUMN())),OFFSET($CL$2,0,0,ROW()-1,84),ROW()-1,FALSE))</f>
        <v>255220</v>
      </c>
      <c r="BM30">
        <f ca="1">IF(AND(ISNUMBER($BM$92),$B$69=1),$BM$92,HLOOKUP(INDIRECT(ADDRESS(2,COLUMN())),OFFSET($CL$2,0,0,ROW()-1,84),ROW()-1,FALSE))</f>
        <v>186183</v>
      </c>
      <c r="BN30">
        <f ca="1">IF(AND(ISNUMBER($BN$92),$B$69=1),$BN$92,HLOOKUP(INDIRECT(ADDRESS(2,COLUMN())),OFFSET($CL$2,0,0,ROW()-1,84),ROW()-1,FALSE))</f>
        <v>221487</v>
      </c>
      <c r="BO30">
        <f ca="1">IF(AND(ISNUMBER($BO$92),$B$69=1),$BO$92,HLOOKUP(INDIRECT(ADDRESS(2,COLUMN())),OFFSET($CL$2,0,0,ROW()-1,84),ROW()-1,FALSE))</f>
        <v>222343</v>
      </c>
      <c r="BP30">
        <f ca="1">IF(AND(ISNUMBER($BP$92),$B$69=1),$BP$92,HLOOKUP(INDIRECT(ADDRESS(2,COLUMN())),OFFSET($CL$2,0,0,ROW()-1,84),ROW()-1,FALSE))</f>
        <v>216968</v>
      </c>
      <c r="BQ30">
        <f ca="1">IF(AND(ISNUMBER($BQ$92),$B$69=1),$BQ$92,HLOOKUP(INDIRECT(ADDRESS(2,COLUMN())),OFFSET($CL$2,0,0,ROW()-1,84),ROW()-1,FALSE))</f>
        <v>220975</v>
      </c>
      <c r="BR30">
        <f ca="1">IF(AND(ISNUMBER($BR$92),$B$69=1),$BR$92,HLOOKUP(INDIRECT(ADDRESS(2,COLUMN())),OFFSET($CL$2,0,0,ROW()-1,84),ROW()-1,FALSE))</f>
        <v>232926</v>
      </c>
      <c r="BS30">
        <f ca="1">IF(AND(ISNUMBER($BS$92),$B$69=1),$BS$92,HLOOKUP(INDIRECT(ADDRESS(2,COLUMN())),OFFSET($CL$2,0,0,ROW()-1,84),ROW()-1,FALSE))</f>
        <v>183959</v>
      </c>
      <c r="BT30">
        <f ca="1">IF(AND(ISNUMBER($BT$92),$B$69=1),$BT$92,HLOOKUP(INDIRECT(ADDRESS(2,COLUMN())),OFFSET($CL$2,0,0,ROW()-1,84),ROW()-1,FALSE))</f>
        <v>164264</v>
      </c>
      <c r="BU30">
        <f ca="1">IF(AND(ISNUMBER($BU$92),$B$69=1),$BU$92,HLOOKUP(INDIRECT(ADDRESS(2,COLUMN())),OFFSET($CL$2,0,0,ROW()-1,84),ROW()-1,FALSE))</f>
        <v>165015</v>
      </c>
      <c r="BV30">
        <f ca="1">IF(AND(ISNUMBER($BV$92),$B$69=1),$BV$92,HLOOKUP(INDIRECT(ADDRESS(2,COLUMN())),OFFSET($CL$2,0,0,ROW()-1,84),ROW()-1,FALSE))</f>
        <v>188628</v>
      </c>
      <c r="BW30">
        <f ca="1">IF(AND(ISNUMBER($BW$92),$B$69=1),$BW$92,HLOOKUP(INDIRECT(ADDRESS(2,COLUMN())),OFFSET($CL$2,0,0,ROW()-1,84),ROW()-1,FALSE))</f>
        <v>212671</v>
      </c>
      <c r="BX30">
        <f ca="1">IF(AND(ISNUMBER($BX$92),$B$69=1),$BX$92,HLOOKUP(INDIRECT(ADDRESS(2,COLUMN())),OFFSET($CL$2,0,0,ROW()-1,84),ROW()-1,FALSE))</f>
        <v>213749</v>
      </c>
      <c r="BY30">
        <f ca="1">IF(AND(ISNUMBER($BY$92),$B$69=1),$BY$92,HLOOKUP(INDIRECT(ADDRESS(2,COLUMN())),OFFSET($CL$2,0,0,ROW()-1,84),ROW()-1,FALSE))</f>
        <v>167085</v>
      </c>
      <c r="BZ30">
        <f ca="1">IF(AND(ISNUMBER($BZ$92),$B$69=1),$BZ$92,HLOOKUP(INDIRECT(ADDRESS(2,COLUMN())),OFFSET($CL$2,0,0,ROW()-1,84),ROW()-1,FALSE))</f>
        <v>204055</v>
      </c>
      <c r="CA30">
        <f ca="1">IF(AND(ISNUMBER($CA$92),$B$69=1),$CA$92,HLOOKUP(INDIRECT(ADDRESS(2,COLUMN())),OFFSET($CL$2,0,0,ROW()-1,84),ROW()-1,FALSE))</f>
        <v>209985</v>
      </c>
      <c r="CB30">
        <f ca="1">IF(AND(ISNUMBER($CB$92),$B$69=1),$CB$92,HLOOKUP(INDIRECT(ADDRESS(2,COLUMN())),OFFSET($CL$2,0,0,ROW()-1,84),ROW()-1,FALSE))</f>
        <v>219370</v>
      </c>
      <c r="CC30">
        <f ca="1">IF(AND(ISNUMBER($CC$92),$B$69=1),$CC$92,HLOOKUP(INDIRECT(ADDRESS(2,COLUMN())),OFFSET($CL$2,0,0,ROW()-1,84),ROW()-1,FALSE))</f>
        <v>215394</v>
      </c>
      <c r="CD30">
        <f ca="1">IF(AND(ISNUMBER($CD$92),$B$69=1),$CD$92,HLOOKUP(INDIRECT(ADDRESS(2,COLUMN())),OFFSET($CL$2,0,0,ROW()-1,84),ROW()-1,FALSE))</f>
        <v>205095</v>
      </c>
      <c r="CE30">
        <f ca="1">IF(AND(ISNUMBER($CE$92),$B$69=1),$CE$92,HLOOKUP(INDIRECT(ADDRESS(2,COLUMN())),OFFSET($CL$2,0,0,ROW()-1,84),ROW()-1,FALSE))</f>
        <v>192908</v>
      </c>
      <c r="CF30">
        <f ca="1">IF(AND(ISNUMBER($CF$92),$B$69=1),$CF$92,HLOOKUP(INDIRECT(ADDRESS(2,COLUMN())),OFFSET($CL$2,0,0,ROW()-1,84),ROW()-1,FALSE))</f>
        <v>153547</v>
      </c>
      <c r="CG30">
        <f ca="1">IF(AND(ISNUMBER($CG$92),$B$69=1),$CG$92,HLOOKUP(INDIRECT(ADDRESS(2,COLUMN())),OFFSET($CL$2,0,0,ROW()-1,84),ROW()-1,FALSE))</f>
        <v>135413</v>
      </c>
      <c r="CH30">
        <f ca="1">IF(AND(ISNUMBER($CH$92),$B$69=1),$CH$92,HLOOKUP(INDIRECT(ADDRESS(2,COLUMN())),OFFSET($CL$2,0,0,ROW()-1,84),ROW()-1,FALSE))</f>
        <v>128742</v>
      </c>
      <c r="CI30">
        <f ca="1">IF(AND(ISNUMBER($CI$92),$B$69=1),$CI$92,HLOOKUP(INDIRECT(ADDRESS(2,COLUMN())),OFFSET($CL$2,0,0,ROW()-1,84),ROW()-1,FALSE))</f>
        <v>165465</v>
      </c>
      <c r="CJ30">
        <f ca="1">IF(AND(ISNUMBER($CJ$92),$B$69=1),$CJ$92,HLOOKUP(INDIRECT(ADDRESS(2,COLUMN())),OFFSET($CL$2,0,0,ROW()-1,84),ROW()-1,FALSE))</f>
        <v>154397</v>
      </c>
      <c r="CK30">
        <f ca="1">IF(AND(ISNUMBER($CK$92),$B$69=1),$CK$92,HLOOKUP(INDIRECT(ADDRESS(2,COLUMN())),OFFSET($CL$2,0,0,ROW()-1,84),ROW()-1,FALSE))</f>
        <v>142801</v>
      </c>
      <c r="CL30" t="str">
        <f>""</f>
        <v/>
      </c>
      <c r="CM30">
        <f>319255</f>
        <v>319255</v>
      </c>
      <c r="CN30">
        <f>263475</f>
        <v>263475</v>
      </c>
      <c r="CO30">
        <f>217030</f>
        <v>217030</v>
      </c>
      <c r="CP30">
        <f>228243</f>
        <v>228243</v>
      </c>
      <c r="CQ30">
        <f>268695</f>
        <v>268695</v>
      </c>
      <c r="CR30">
        <f>219942</f>
        <v>219942</v>
      </c>
      <c r="CS30">
        <f>191219</f>
        <v>191219</v>
      </c>
      <c r="CT30">
        <f>177787</f>
        <v>177787</v>
      </c>
      <c r="CU30">
        <f>204756</f>
        <v>204756</v>
      </c>
      <c r="CV30">
        <f>186680</f>
        <v>186680</v>
      </c>
      <c r="CW30">
        <f>204313</f>
        <v>204313</v>
      </c>
      <c r="CX30">
        <f>244743</f>
        <v>244743</v>
      </c>
      <c r="CY30">
        <f>286212</f>
        <v>286212</v>
      </c>
      <c r="CZ30">
        <f>301002</f>
        <v>301002</v>
      </c>
      <c r="DA30">
        <f>300257</f>
        <v>300257</v>
      </c>
      <c r="DB30">
        <f>304432</f>
        <v>304432</v>
      </c>
      <c r="DC30">
        <f>335778</f>
        <v>335778</v>
      </c>
      <c r="DD30">
        <f>298040</f>
        <v>298040</v>
      </c>
      <c r="DE30">
        <f>321691</f>
        <v>321691</v>
      </c>
      <c r="DF30">
        <f>288290</f>
        <v>288290</v>
      </c>
      <c r="DG30">
        <f>288550</f>
        <v>288550</v>
      </c>
      <c r="DH30">
        <f>281709</f>
        <v>281709</v>
      </c>
      <c r="DI30">
        <f>273274</f>
        <v>273274</v>
      </c>
      <c r="DJ30">
        <f>282502</f>
        <v>282502</v>
      </c>
      <c r="DK30">
        <f>267456</f>
        <v>267456</v>
      </c>
      <c r="DL30">
        <f>280794</f>
        <v>280794</v>
      </c>
      <c r="DM30">
        <f>291955</f>
        <v>291955</v>
      </c>
      <c r="DN30">
        <f>250249</f>
        <v>250249</v>
      </c>
      <c r="DO30">
        <f>327135</f>
        <v>327135</v>
      </c>
      <c r="DP30">
        <f>254969</f>
        <v>254969</v>
      </c>
      <c r="DQ30">
        <f>292504</f>
        <v>292504</v>
      </c>
      <c r="DR30">
        <f>278563</f>
        <v>278563</v>
      </c>
      <c r="DS30">
        <f>283498</f>
        <v>283498</v>
      </c>
      <c r="DT30">
        <f>277440</f>
        <v>277440</v>
      </c>
      <c r="DU30">
        <f>283563</f>
        <v>283563</v>
      </c>
      <c r="DV30">
        <f>289517</f>
        <v>289517</v>
      </c>
      <c r="DW30">
        <f>277406</f>
        <v>277406</v>
      </c>
      <c r="DX30">
        <f>234642</f>
        <v>234642</v>
      </c>
      <c r="DY30">
        <f>237672</f>
        <v>237672</v>
      </c>
      <c r="DZ30">
        <f>183928</f>
        <v>183928</v>
      </c>
      <c r="EA30">
        <f>181060</f>
        <v>181060</v>
      </c>
      <c r="EB30">
        <f>163689</f>
        <v>163689</v>
      </c>
      <c r="EC30">
        <f>137652</f>
        <v>137652</v>
      </c>
      <c r="ED30">
        <f>164277</f>
        <v>164277</v>
      </c>
      <c r="EE30">
        <f>208244</f>
        <v>208244</v>
      </c>
      <c r="EF30">
        <f>216635</f>
        <v>216635</v>
      </c>
      <c r="EG30">
        <f>182992</f>
        <v>182992</v>
      </c>
      <c r="EH30">
        <f>219728</f>
        <v>219728</v>
      </c>
      <c r="EI30">
        <f>228821</f>
        <v>228821</v>
      </c>
      <c r="EJ30">
        <f>216238</f>
        <v>216238</v>
      </c>
      <c r="EK30">
        <f>196777</f>
        <v>196777</v>
      </c>
      <c r="EL30">
        <f>211718</f>
        <v>211718</v>
      </c>
      <c r="EM30">
        <f>162479</f>
        <v>162479</v>
      </c>
      <c r="EN30">
        <f>186435</f>
        <v>186435</v>
      </c>
      <c r="EO30">
        <f>174346</f>
        <v>174346</v>
      </c>
      <c r="EP30">
        <f>188465</f>
        <v>188465</v>
      </c>
      <c r="EQ30">
        <f>216160</f>
        <v>216160</v>
      </c>
      <c r="ER30">
        <f>255220</f>
        <v>255220</v>
      </c>
      <c r="ES30">
        <f>186183</f>
        <v>186183</v>
      </c>
      <c r="ET30">
        <f>221487</f>
        <v>221487</v>
      </c>
      <c r="EU30">
        <f>222343</f>
        <v>222343</v>
      </c>
      <c r="EV30">
        <f>216968</f>
        <v>216968</v>
      </c>
      <c r="EW30">
        <f>220975</f>
        <v>220975</v>
      </c>
      <c r="EX30">
        <f>232926</f>
        <v>232926</v>
      </c>
      <c r="EY30">
        <f>183959</f>
        <v>183959</v>
      </c>
      <c r="EZ30">
        <f>164264</f>
        <v>164264</v>
      </c>
      <c r="FA30">
        <f>165015</f>
        <v>165015</v>
      </c>
      <c r="FB30">
        <f>188628</f>
        <v>188628</v>
      </c>
      <c r="FC30">
        <f>212671</f>
        <v>212671</v>
      </c>
      <c r="FD30">
        <f>213749</f>
        <v>213749</v>
      </c>
      <c r="FE30">
        <f>167085</f>
        <v>167085</v>
      </c>
      <c r="FF30">
        <f>204055</f>
        <v>204055</v>
      </c>
      <c r="FG30">
        <f>209985</f>
        <v>209985</v>
      </c>
      <c r="FH30">
        <f>219370</f>
        <v>219370</v>
      </c>
      <c r="FI30">
        <f>215394</f>
        <v>215394</v>
      </c>
      <c r="FJ30">
        <f>205095</f>
        <v>205095</v>
      </c>
      <c r="FK30">
        <f>192908</f>
        <v>192908</v>
      </c>
      <c r="FL30">
        <f>153547</f>
        <v>153547</v>
      </c>
      <c r="FM30">
        <f>135413</f>
        <v>135413</v>
      </c>
      <c r="FN30">
        <f>128742</f>
        <v>128742</v>
      </c>
      <c r="FO30">
        <f>165465</f>
        <v>165465</v>
      </c>
      <c r="FP30">
        <f>154397</f>
        <v>154397</v>
      </c>
      <c r="FQ30">
        <f>142801</f>
        <v>142801</v>
      </c>
    </row>
    <row r="31" spans="1:173" x14ac:dyDescent="0.25">
      <c r="A31" t="str">
        <f>"    Port of New York New Jersey (TEU)"</f>
        <v xml:space="preserve">    Port of New York New Jersey (TEU)</v>
      </c>
      <c r="B31" t="str">
        <f>"PONYTOTL Index"</f>
        <v>PONYTOTL Index</v>
      </c>
      <c r="C31" t="str">
        <f t="shared" si="0"/>
        <v>PX385</v>
      </c>
      <c r="D31" t="str">
        <f t="shared" si="1"/>
        <v>INTERVAL_SUM</v>
      </c>
      <c r="E31" t="str">
        <f t="shared" si="2"/>
        <v>Dynamic</v>
      </c>
      <c r="F31" t="str">
        <f ca="1">IF(AND(ISNUMBER($F$93),$B$69=1),$F$93,HLOOKUP(INDIRECT(ADDRESS(2,COLUMN())),OFFSET($CL$2,0,0,ROW()-1,84),ROW()-1,FALSE))</f>
        <v/>
      </c>
      <c r="G31">
        <f ca="1">IF(AND(ISNUMBER($G$93),$B$69=1),$G$93,HLOOKUP(INDIRECT(ADDRESS(2,COLUMN())),OFFSET($CL$2,0,0,ROW()-1,84),ROW()-1,FALSE))</f>
        <v>439412</v>
      </c>
      <c r="H31">
        <f ca="1">IF(AND(ISNUMBER($H$93),$B$69=1),$H$93,HLOOKUP(INDIRECT(ADDRESS(2,COLUMN())),OFFSET($CL$2,0,0,ROW()-1,84),ROW()-1,FALSE))</f>
        <v>454946</v>
      </c>
      <c r="I31">
        <f ca="1">IF(AND(ISNUMBER($I$93),$B$69=1),$I$93,HLOOKUP(INDIRECT(ADDRESS(2,COLUMN())),OFFSET($CL$2,0,0,ROW()-1,84),ROW()-1,FALSE))</f>
        <v>472334</v>
      </c>
      <c r="J31">
        <f ca="1">IF(AND(ISNUMBER($J$93),$B$69=1),$J$93,HLOOKUP(INDIRECT(ADDRESS(2,COLUMN())),OFFSET($CL$2,0,0,ROW()-1,84),ROW()-1,FALSE))</f>
        <v>428190</v>
      </c>
      <c r="K31">
        <f ca="1">IF(AND(ISNUMBER($K$93),$B$69=1),$K$93,HLOOKUP(INDIRECT(ADDRESS(2,COLUMN())),OFFSET($CL$2,0,0,ROW()-1,84),ROW()-1,FALSE))</f>
        <v>462125</v>
      </c>
      <c r="L31">
        <f ca="1">IF(AND(ISNUMBER($L$93),$B$69=1),$L$93,HLOOKUP(INDIRECT(ADDRESS(2,COLUMN())),OFFSET($CL$2,0,0,ROW()-1,84),ROW()-1,FALSE))</f>
        <v>431191</v>
      </c>
      <c r="M31">
        <f ca="1">IF(AND(ISNUMBER($M$93),$B$69=1),$M$93,HLOOKUP(INDIRECT(ADDRESS(2,COLUMN())),OFFSET($CL$2,0,0,ROW()-1,84),ROW()-1,FALSE))</f>
        <v>404066</v>
      </c>
      <c r="N31">
        <f ca="1">IF(AND(ISNUMBER($N$93),$B$69=1),$N$93,HLOOKUP(INDIRECT(ADDRESS(2,COLUMN())),OFFSET($CL$2,0,0,ROW()-1,84),ROW()-1,FALSE))</f>
        <v>387006</v>
      </c>
      <c r="O31">
        <f ca="1">IF(AND(ISNUMBER($O$93),$B$69=1),$O$93,HLOOKUP(INDIRECT(ADDRESS(2,COLUMN())),OFFSET($CL$2,0,0,ROW()-1,84),ROW()-1,FALSE))</f>
        <v>436250</v>
      </c>
      <c r="P31">
        <f ca="1">IF(AND(ISNUMBER($P$93),$B$69=1),$P$93,HLOOKUP(INDIRECT(ADDRESS(2,COLUMN())),OFFSET($CL$2,0,0,ROW()-1,84),ROW()-1,FALSE))</f>
        <v>498878</v>
      </c>
      <c r="Q31">
        <f ca="1">IF(AND(ISNUMBER($Q$93),$B$69=1),$Q$93,HLOOKUP(INDIRECT(ADDRESS(2,COLUMN())),OFFSET($CL$2,0,0,ROW()-1,84),ROW()-1,FALSE))</f>
        <v>459769</v>
      </c>
      <c r="R31">
        <f ca="1">IF(AND(ISNUMBER($R$93),$B$69=1),$R$93,HLOOKUP(INDIRECT(ADDRESS(2,COLUMN())),OFFSET($CL$2,0,0,ROW()-1,84),ROW()-1,FALSE))</f>
        <v>494778</v>
      </c>
      <c r="S31">
        <f ca="1">IF(AND(ISNUMBER($S$93),$B$69=1),$S$93,HLOOKUP(INDIRECT(ADDRESS(2,COLUMN())),OFFSET($CL$2,0,0,ROW()-1,84),ROW()-1,FALSE))</f>
        <v>526687</v>
      </c>
      <c r="T31">
        <f ca="1">IF(AND(ISNUMBER($T$93),$B$69=1),$T$93,HLOOKUP(INDIRECT(ADDRESS(2,COLUMN())),OFFSET($CL$2,0,0,ROW()-1,84),ROW()-1,FALSE))</f>
        <v>537779</v>
      </c>
      <c r="U31">
        <f ca="1">IF(AND(ISNUMBER($U$93),$B$69=1),$U$93,HLOOKUP(INDIRECT(ADDRESS(2,COLUMN())),OFFSET($CL$2,0,0,ROW()-1,84),ROW()-1,FALSE))</f>
        <v>498792</v>
      </c>
      <c r="V31">
        <f ca="1">IF(AND(ISNUMBER($V$93),$B$69=1),$V$93,HLOOKUP(INDIRECT(ADDRESS(2,COLUMN())),OFFSET($CL$2,0,0,ROW()-1,84),ROW()-1,FALSE))</f>
        <v>550647</v>
      </c>
      <c r="W31">
        <f ca="1">IF(AND(ISNUMBER($W$93),$B$69=1),$W$93,HLOOKUP(INDIRECT(ADDRESS(2,COLUMN())),OFFSET($CL$2,0,0,ROW()-1,84),ROW()-1,FALSE))</f>
        <v>544975</v>
      </c>
      <c r="X31">
        <f ca="1">IF(AND(ISNUMBER($X$93),$B$69=1),$X$93,HLOOKUP(INDIRECT(ADDRESS(2,COLUMN())),OFFSET($CL$2,0,0,ROW()-1,84),ROW()-1,FALSE))</f>
        <v>533194</v>
      </c>
      <c r="Y31">
        <f ca="1">IF(AND(ISNUMBER($Y$93),$B$69=1),$Y$93,HLOOKUP(INDIRECT(ADDRESS(2,COLUMN())),OFFSET($CL$2,0,0,ROW()-1,84),ROW()-1,FALSE))</f>
        <v>562224</v>
      </c>
      <c r="Z31">
        <f ca="1">IF(AND(ISNUMBER($Z$93),$B$69=1),$Z$93,HLOOKUP(INDIRECT(ADDRESS(2,COLUMN())),OFFSET($CL$2,0,0,ROW()-1,84),ROW()-1,FALSE))</f>
        <v>489321</v>
      </c>
      <c r="AA31">
        <f ca="1">IF(AND(ISNUMBER($AA$93),$B$69=1),$AA$93,HLOOKUP(INDIRECT(ADDRESS(2,COLUMN())),OFFSET($CL$2,0,0,ROW()-1,84),ROW()-1,FALSE))</f>
        <v>498878</v>
      </c>
      <c r="AB31">
        <f ca="1">IF(AND(ISNUMBER($AB$93),$B$69=1),$AB$93,HLOOKUP(INDIRECT(ADDRESS(2,COLUMN())),OFFSET($CL$2,0,0,ROW()-1,84),ROW()-1,FALSE))</f>
        <v>498878</v>
      </c>
      <c r="AC31">
        <f ca="1">IF(AND(ISNUMBER($AC$93),$B$69=1),$AC$93,HLOOKUP(INDIRECT(ADDRESS(2,COLUMN())),OFFSET($CL$2,0,0,ROW()-1,84),ROW()-1,FALSE))</f>
        <v>500229</v>
      </c>
      <c r="AD31">
        <f ca="1">IF(AND(ISNUMBER($AD$93),$B$69=1),$AD$93,HLOOKUP(INDIRECT(ADDRESS(2,COLUMN())),OFFSET($CL$2,0,0,ROW()-1,84),ROW()-1,FALSE))</f>
        <v>518785</v>
      </c>
      <c r="AE31">
        <f ca="1">IF(AND(ISNUMBER($AE$93),$B$69=1),$AE$93,HLOOKUP(INDIRECT(ADDRESS(2,COLUMN())),OFFSET($CL$2,0,0,ROW()-1,84),ROW()-1,FALSE))</f>
        <v>479083</v>
      </c>
      <c r="AF31">
        <f ca="1">IF(AND(ISNUMBER($AF$93),$B$69=1),$AF$93,HLOOKUP(INDIRECT(ADDRESS(2,COLUMN())),OFFSET($CL$2,0,0,ROW()-1,84),ROW()-1,FALSE))</f>
        <v>503602</v>
      </c>
      <c r="AG31">
        <f ca="1">IF(AND(ISNUMBER($AG$93),$B$69=1),$AG$93,HLOOKUP(INDIRECT(ADDRESS(2,COLUMN())),OFFSET($CL$2,0,0,ROW()-1,84),ROW()-1,FALSE))</f>
        <v>505104</v>
      </c>
      <c r="AH31">
        <f ca="1">IF(AND(ISNUMBER($AH$93),$B$69=1),$AH$93,HLOOKUP(INDIRECT(ADDRESS(2,COLUMN())),OFFSET($CL$2,0,0,ROW()-1,84),ROW()-1,FALSE))</f>
        <v>499758</v>
      </c>
      <c r="AI31">
        <f ca="1">IF(AND(ISNUMBER($AI$93),$B$69=1),$AI$93,HLOOKUP(INDIRECT(ADDRESS(2,COLUMN())),OFFSET($CL$2,0,0,ROW()-1,84),ROW()-1,FALSE))</f>
        <v>530875</v>
      </c>
      <c r="AJ31">
        <f ca="1">IF(AND(ISNUMBER($AJ$93),$B$69=1),$AJ$93,HLOOKUP(INDIRECT(ADDRESS(2,COLUMN())),OFFSET($CL$2,0,0,ROW()-1,84),ROW()-1,FALSE))</f>
        <v>480936</v>
      </c>
      <c r="AK31">
        <f ca="1">IF(AND(ISNUMBER($AK$93),$B$69=1),$AK$93,HLOOKUP(INDIRECT(ADDRESS(2,COLUMN())),OFFSET($CL$2,0,0,ROW()-1,84),ROW()-1,FALSE))</f>
        <v>519858</v>
      </c>
      <c r="AL31">
        <f ca="1">IF(AND(ISNUMBER($AL$93),$B$69=1),$AL$93,HLOOKUP(INDIRECT(ADDRESS(2,COLUMN())),OFFSET($CL$2,0,0,ROW()-1,84),ROW()-1,FALSE))</f>
        <v>428874</v>
      </c>
      <c r="AM31">
        <f ca="1">IF(AND(ISNUMBER($AM$93),$B$69=1),$AM$93,HLOOKUP(INDIRECT(ADDRESS(2,COLUMN())),OFFSET($CL$2,0,0,ROW()-1,84),ROW()-1,FALSE))</f>
        <v>480130</v>
      </c>
      <c r="AN31">
        <f ca="1">IF(AND(ISNUMBER($AN$93),$B$69=1),$AN$93,HLOOKUP(INDIRECT(ADDRESS(2,COLUMN())),OFFSET($CL$2,0,0,ROW()-1,84),ROW()-1,FALSE))</f>
        <v>462216</v>
      </c>
      <c r="AO31">
        <f ca="1">IF(AND(ISNUMBER($AO$93),$B$69=1),$AO$93,HLOOKUP(INDIRECT(ADDRESS(2,COLUMN())),OFFSET($CL$2,0,0,ROW()-1,84),ROW()-1,FALSE))</f>
        <v>501674</v>
      </c>
      <c r="AP31">
        <f ca="1">IF(AND(ISNUMBER($AP$93),$B$69=1),$AP$93,HLOOKUP(INDIRECT(ADDRESS(2,COLUMN())),OFFSET($CL$2,0,0,ROW()-1,84),ROW()-1,FALSE))</f>
        <v>521384</v>
      </c>
      <c r="AQ31">
        <f ca="1">IF(AND(ISNUMBER($AQ$93),$B$69=1),$AQ$93,HLOOKUP(INDIRECT(ADDRESS(2,COLUMN())),OFFSET($CL$2,0,0,ROW()-1,84),ROW()-1,FALSE))</f>
        <v>489339</v>
      </c>
      <c r="AR31">
        <f ca="1">IF(AND(ISNUMBER($AR$93),$B$69=1),$AR$93,HLOOKUP(INDIRECT(ADDRESS(2,COLUMN())),OFFSET($CL$2,0,0,ROW()-1,84),ROW()-1,FALSE))</f>
        <v>469954</v>
      </c>
      <c r="AS31">
        <f ca="1">IF(AND(ISNUMBER($AS$93),$B$69=1),$AS$93,HLOOKUP(INDIRECT(ADDRESS(2,COLUMN())),OFFSET($CL$2,0,0,ROW()-1,84),ROW()-1,FALSE))</f>
        <v>428819</v>
      </c>
      <c r="AT31">
        <f ca="1">IF(AND(ISNUMBER($AT$93),$B$69=1),$AT$93,HLOOKUP(INDIRECT(ADDRESS(2,COLUMN())),OFFSET($CL$2,0,0,ROW()-1,84),ROW()-1,FALSE))</f>
        <v>361823</v>
      </c>
      <c r="AU31">
        <f ca="1">IF(AND(ISNUMBER($AU$93),$B$69=1),$AU$93,HLOOKUP(INDIRECT(ADDRESS(2,COLUMN())),OFFSET($CL$2,0,0,ROW()-1,84),ROW()-1,FALSE))</f>
        <v>361466</v>
      </c>
      <c r="AV31">
        <f ca="1">IF(AND(ISNUMBER($AV$93),$B$69=1),$AV$93,HLOOKUP(INDIRECT(ADDRESS(2,COLUMN())),OFFSET($CL$2,0,0,ROW()-1,84),ROW()-1,FALSE))</f>
        <v>381386</v>
      </c>
      <c r="AW31">
        <f ca="1">IF(AND(ISNUMBER($AW$93),$B$69=1),$AW$93,HLOOKUP(INDIRECT(ADDRESS(2,COLUMN())),OFFSET($CL$2,0,0,ROW()-1,84),ROW()-1,FALSE))</f>
        <v>408291</v>
      </c>
      <c r="AX31">
        <f ca="1">IF(AND(ISNUMBER($AX$93),$B$69=1),$AX$93,HLOOKUP(INDIRECT(ADDRESS(2,COLUMN())),OFFSET($CL$2,0,0,ROW()-1,84),ROW()-1,FALSE))</f>
        <v>414246</v>
      </c>
      <c r="AY31">
        <f ca="1">IF(AND(ISNUMBER($AY$93),$B$69=1),$AY$93,HLOOKUP(INDIRECT(ADDRESS(2,COLUMN())),OFFSET($CL$2,0,0,ROW()-1,84),ROW()-1,FALSE))</f>
        <v>441131</v>
      </c>
      <c r="AZ31">
        <f ca="1">IF(AND(ISNUMBER($AZ$93),$B$69=1),$AZ$93,HLOOKUP(INDIRECT(ADDRESS(2,COLUMN())),OFFSET($CL$2,0,0,ROW()-1,84),ROW()-1,FALSE))</f>
        <v>399732</v>
      </c>
      <c r="BA31">
        <f ca="1">IF(AND(ISNUMBER($BA$93),$B$69=1),$BA$93,HLOOKUP(INDIRECT(ADDRESS(2,COLUMN())),OFFSET($CL$2,0,0,ROW()-1,84),ROW()-1,FALSE))</f>
        <v>420545</v>
      </c>
      <c r="BB31">
        <f ca="1">IF(AND(ISNUMBER($BB$93),$B$69=1),$BB$93,HLOOKUP(INDIRECT(ADDRESS(2,COLUMN())),OFFSET($CL$2,0,0,ROW()-1,84),ROW()-1,FALSE))</f>
        <v>466699</v>
      </c>
      <c r="BC31">
        <f ca="1">IF(AND(ISNUMBER($BC$93),$B$69=1),$BC$93,HLOOKUP(INDIRECT(ADDRESS(2,COLUMN())),OFFSET($CL$2,0,0,ROW()-1,84),ROW()-1,FALSE))</f>
        <v>432097</v>
      </c>
      <c r="BD31">
        <f ca="1">IF(AND(ISNUMBER($BD$93),$B$69=1),$BD$93,HLOOKUP(INDIRECT(ADDRESS(2,COLUMN())),OFFSET($CL$2,0,0,ROW()-1,84),ROW()-1,FALSE))</f>
        <v>469778</v>
      </c>
      <c r="BE31">
        <f ca="1">IF(AND(ISNUMBER($BE$93),$B$69=1),$BE$93,HLOOKUP(INDIRECT(ADDRESS(2,COLUMN())),OFFSET($CL$2,0,0,ROW()-1,84),ROW()-1,FALSE))</f>
        <v>454987</v>
      </c>
      <c r="BF31">
        <f ca="1">IF(AND(ISNUMBER($BF$93),$B$69=1),$BF$93,HLOOKUP(INDIRECT(ADDRESS(2,COLUMN())),OFFSET($CL$2,0,0,ROW()-1,84),ROW()-1,FALSE))</f>
        <v>424371</v>
      </c>
      <c r="BG31">
        <f ca="1">IF(AND(ISNUMBER($BG$93),$B$69=1),$BG$93,HLOOKUP(INDIRECT(ADDRESS(2,COLUMN())),OFFSET($CL$2,0,0,ROW()-1,84),ROW()-1,FALSE))</f>
        <v>472995</v>
      </c>
      <c r="BH31">
        <f ca="1">IF(AND(ISNUMBER($BH$93),$B$69=1),$BH$93,HLOOKUP(INDIRECT(ADDRESS(2,COLUMN())),OFFSET($CL$2,0,0,ROW()-1,84),ROW()-1,FALSE))</f>
        <v>429136</v>
      </c>
      <c r="BI31">
        <f ca="1">IF(AND(ISNUMBER($BI$93),$B$69=1),$BI$93,HLOOKUP(INDIRECT(ADDRESS(2,COLUMN())),OFFSET($CL$2,0,0,ROW()-1,84),ROW()-1,FALSE))</f>
        <v>413019</v>
      </c>
      <c r="BJ31">
        <f ca="1">IF(AND(ISNUMBER($BJ$93),$B$69=1),$BJ$93,HLOOKUP(INDIRECT(ADDRESS(2,COLUMN())),OFFSET($CL$2,0,0,ROW()-1,84),ROW()-1,FALSE))</f>
        <v>408881</v>
      </c>
      <c r="BK31">
        <f ca="1">IF(AND(ISNUMBER($BK$93),$B$69=1),$BK$93,HLOOKUP(INDIRECT(ADDRESS(2,COLUMN())),OFFSET($CL$2,0,0,ROW()-1,84),ROW()-1,FALSE))</f>
        <v>439178</v>
      </c>
      <c r="BL31">
        <f ca="1">IF(AND(ISNUMBER($BL$93),$B$69=1),$BL$93,HLOOKUP(INDIRECT(ADDRESS(2,COLUMN())),OFFSET($CL$2,0,0,ROW()-1,84),ROW()-1,FALSE))</f>
        <v>433259</v>
      </c>
      <c r="BM31">
        <f ca="1">IF(AND(ISNUMBER($BM$93),$B$69=1),$BM$93,HLOOKUP(INDIRECT(ADDRESS(2,COLUMN())),OFFSET($CL$2,0,0,ROW()-1,84),ROW()-1,FALSE))</f>
        <v>417241</v>
      </c>
      <c r="BN31">
        <f ca="1">IF(AND(ISNUMBER($BN$93),$B$69=1),$BN$93,HLOOKUP(INDIRECT(ADDRESS(2,COLUMN())),OFFSET($CL$2,0,0,ROW()-1,84),ROW()-1,FALSE))</f>
        <v>470384</v>
      </c>
      <c r="BO31">
        <f ca="1">IF(AND(ISNUMBER($BO$93),$B$69=1),$BO$93,HLOOKUP(INDIRECT(ADDRESS(2,COLUMN())),OFFSET($CL$2,0,0,ROW()-1,84),ROW()-1,FALSE))</f>
        <v>420836</v>
      </c>
      <c r="BP31">
        <f ca="1">IF(AND(ISNUMBER($BP$93),$B$69=1),$BP$93,HLOOKUP(INDIRECT(ADDRESS(2,COLUMN())),OFFSET($CL$2,0,0,ROW()-1,84),ROW()-1,FALSE))</f>
        <v>458682</v>
      </c>
      <c r="BQ31">
        <f ca="1">IF(AND(ISNUMBER($BQ$93),$B$69=1),$BQ$93,HLOOKUP(INDIRECT(ADDRESS(2,COLUMN())),OFFSET($CL$2,0,0,ROW()-1,84),ROW()-1,FALSE))</f>
        <v>438534</v>
      </c>
      <c r="BR31">
        <f ca="1">IF(AND(ISNUMBER($BR$93),$B$69=1),$BR$93,HLOOKUP(INDIRECT(ADDRESS(2,COLUMN())),OFFSET($CL$2,0,0,ROW()-1,84),ROW()-1,FALSE))</f>
        <v>439986</v>
      </c>
      <c r="BS31">
        <f ca="1">IF(AND(ISNUMBER($BS$93),$B$69=1),$BS$93,HLOOKUP(INDIRECT(ADDRESS(2,COLUMN())),OFFSET($CL$2,0,0,ROW()-1,84),ROW()-1,FALSE))</f>
        <v>432422</v>
      </c>
      <c r="BT31">
        <f ca="1">IF(AND(ISNUMBER($BT$93),$B$69=1),$BT$93,HLOOKUP(INDIRECT(ADDRESS(2,COLUMN())),OFFSET($CL$2,0,0,ROW()-1,84),ROW()-1,FALSE))</f>
        <v>407746</v>
      </c>
      <c r="BU31">
        <f ca="1">IF(AND(ISNUMBER($BU$93),$B$69=1),$BU$93,HLOOKUP(INDIRECT(ADDRESS(2,COLUMN())),OFFSET($CL$2,0,0,ROW()-1,84),ROW()-1,FALSE))</f>
        <v>420567</v>
      </c>
      <c r="BV31">
        <f ca="1">IF(AND(ISNUMBER($BV$93),$B$69=1),$BV$93,HLOOKUP(INDIRECT(ADDRESS(2,COLUMN())),OFFSET($CL$2,0,0,ROW()-1,84),ROW()-1,FALSE))</f>
        <v>391340</v>
      </c>
      <c r="BW31">
        <f ca="1">IF(AND(ISNUMBER($BW$93),$B$69=1),$BW$93,HLOOKUP(INDIRECT(ADDRESS(2,COLUMN())),OFFSET($CL$2,0,0,ROW()-1,84),ROW()-1,FALSE))</f>
        <v>421896</v>
      </c>
      <c r="BX31">
        <f ca="1">IF(AND(ISNUMBER($BX$93),$B$69=1),$BX$93,HLOOKUP(INDIRECT(ADDRESS(2,COLUMN())),OFFSET($CL$2,0,0,ROW()-1,84),ROW()-1,FALSE))</f>
        <v>395459</v>
      </c>
      <c r="BY31">
        <f ca="1">IF(AND(ISNUMBER($BY$93),$B$69=1),$BY$93,HLOOKUP(INDIRECT(ADDRESS(2,COLUMN())),OFFSET($CL$2,0,0,ROW()-1,84),ROW()-1,FALSE))</f>
        <v>413830</v>
      </c>
      <c r="BZ31">
        <f ca="1">IF(AND(ISNUMBER($BZ$93),$B$69=1),$BZ$93,HLOOKUP(INDIRECT(ADDRESS(2,COLUMN())),OFFSET($CL$2,0,0,ROW()-1,84),ROW()-1,FALSE))</f>
        <v>426932</v>
      </c>
      <c r="CA31">
        <f ca="1">IF(AND(ISNUMBER($CA$93),$B$69=1),$CA$93,HLOOKUP(INDIRECT(ADDRESS(2,COLUMN())),OFFSET($CL$2,0,0,ROW()-1,84),ROW()-1,FALSE))</f>
        <v>401492</v>
      </c>
      <c r="CB31">
        <f ca="1">IF(AND(ISNUMBER($CB$93),$B$69=1),$CB$93,HLOOKUP(INDIRECT(ADDRESS(2,COLUMN())),OFFSET($CL$2,0,0,ROW()-1,84),ROW()-1,FALSE))</f>
        <v>446160</v>
      </c>
      <c r="CC31">
        <f ca="1">IF(AND(ISNUMBER($CC$93),$B$69=1),$CC$93,HLOOKUP(INDIRECT(ADDRESS(2,COLUMN())),OFFSET($CL$2,0,0,ROW()-1,84),ROW()-1,FALSE))</f>
        <v>404454</v>
      </c>
      <c r="CD31">
        <f ca="1">IF(AND(ISNUMBER($CD$93),$B$69=1),$CD$93,HLOOKUP(INDIRECT(ADDRESS(2,COLUMN())),OFFSET($CL$2,0,0,ROW()-1,84),ROW()-1,FALSE))</f>
        <v>413524</v>
      </c>
      <c r="CE31">
        <f ca="1">IF(AND(ISNUMBER($CE$93),$B$69=1),$CE$93,HLOOKUP(INDIRECT(ADDRESS(2,COLUMN())),OFFSET($CL$2,0,0,ROW()-1,84),ROW()-1,FALSE))</f>
        <v>402753</v>
      </c>
      <c r="CF31">
        <f ca="1">IF(AND(ISNUMBER($CF$93),$B$69=1),$CF$93,HLOOKUP(INDIRECT(ADDRESS(2,COLUMN())),OFFSET($CL$2,0,0,ROW()-1,84),ROW()-1,FALSE))</f>
        <v>398283</v>
      </c>
      <c r="CG31">
        <f ca="1">IF(AND(ISNUMBER($CG$93),$B$69=1),$CG$93,HLOOKUP(INDIRECT(ADDRESS(2,COLUMN())),OFFSET($CL$2,0,0,ROW()-1,84),ROW()-1,FALSE))</f>
        <v>364892</v>
      </c>
      <c r="CH31">
        <f ca="1">IF(AND(ISNUMBER($CH$93),$B$69=1),$CH$93,HLOOKUP(INDIRECT(ADDRESS(2,COLUMN())),OFFSET($CL$2,0,0,ROW()-1,84),ROW()-1,FALSE))</f>
        <v>368513</v>
      </c>
      <c r="CI31">
        <f ca="1">IF(AND(ISNUMBER($CI$93),$B$69=1),$CI$93,HLOOKUP(INDIRECT(ADDRESS(2,COLUMN())),OFFSET($CL$2,0,0,ROW()-1,84),ROW()-1,FALSE))</f>
        <v>421896</v>
      </c>
      <c r="CJ31">
        <f ca="1">IF(AND(ISNUMBER($CJ$93),$B$69=1),$CJ$93,HLOOKUP(INDIRECT(ADDRESS(2,COLUMN())),OFFSET($CL$2,0,0,ROW()-1,84),ROW()-1,FALSE))</f>
        <v>376282</v>
      </c>
      <c r="CK31">
        <f ca="1">IF(AND(ISNUMBER($CK$93),$B$69=1),$CK$93,HLOOKUP(INDIRECT(ADDRESS(2,COLUMN())),OFFSET($CL$2,0,0,ROW()-1,84),ROW()-1,FALSE))</f>
        <v>386639</v>
      </c>
      <c r="CL31" t="str">
        <f>""</f>
        <v/>
      </c>
      <c r="CM31">
        <f>439412</f>
        <v>439412</v>
      </c>
      <c r="CN31">
        <f>454946</f>
        <v>454946</v>
      </c>
      <c r="CO31">
        <f>472334</f>
        <v>472334</v>
      </c>
      <c r="CP31">
        <f>428190</f>
        <v>428190</v>
      </c>
      <c r="CQ31">
        <f>462125</f>
        <v>462125</v>
      </c>
      <c r="CR31">
        <f>431191</f>
        <v>431191</v>
      </c>
      <c r="CS31">
        <f>404066</f>
        <v>404066</v>
      </c>
      <c r="CT31">
        <f>387006</f>
        <v>387006</v>
      </c>
      <c r="CU31">
        <f>436250</f>
        <v>436250</v>
      </c>
      <c r="CV31">
        <f>498878</f>
        <v>498878</v>
      </c>
      <c r="CW31">
        <f>459769</f>
        <v>459769</v>
      </c>
      <c r="CX31">
        <f>494778</f>
        <v>494778</v>
      </c>
      <c r="CY31">
        <f>526687</f>
        <v>526687</v>
      </c>
      <c r="CZ31">
        <f>537779</f>
        <v>537779</v>
      </c>
      <c r="DA31">
        <f>498792</f>
        <v>498792</v>
      </c>
      <c r="DB31">
        <f>550647</f>
        <v>550647</v>
      </c>
      <c r="DC31">
        <f>544975</f>
        <v>544975</v>
      </c>
      <c r="DD31">
        <f>533194</f>
        <v>533194</v>
      </c>
      <c r="DE31">
        <f>562224</f>
        <v>562224</v>
      </c>
      <c r="DF31">
        <f>489321</f>
        <v>489321</v>
      </c>
      <c r="DG31">
        <f>498878</f>
        <v>498878</v>
      </c>
      <c r="DH31">
        <f>498878</f>
        <v>498878</v>
      </c>
      <c r="DI31">
        <f>500229</f>
        <v>500229</v>
      </c>
      <c r="DJ31">
        <f>518785</f>
        <v>518785</v>
      </c>
      <c r="DK31">
        <f>479083</f>
        <v>479083</v>
      </c>
      <c r="DL31">
        <f>503602</f>
        <v>503602</v>
      </c>
      <c r="DM31">
        <f>505104</f>
        <v>505104</v>
      </c>
      <c r="DN31">
        <f>499758</f>
        <v>499758</v>
      </c>
      <c r="DO31">
        <f>530875</f>
        <v>530875</v>
      </c>
      <c r="DP31">
        <f>480936</f>
        <v>480936</v>
      </c>
      <c r="DQ31">
        <f>519858</f>
        <v>519858</v>
      </c>
      <c r="DR31">
        <f>428874</f>
        <v>428874</v>
      </c>
      <c r="DS31">
        <f>480130</f>
        <v>480130</v>
      </c>
      <c r="DT31">
        <f>462216</f>
        <v>462216</v>
      </c>
      <c r="DU31">
        <f>501674</f>
        <v>501674</v>
      </c>
      <c r="DV31">
        <f>521384</f>
        <v>521384</v>
      </c>
      <c r="DW31">
        <f>489339</f>
        <v>489339</v>
      </c>
      <c r="DX31">
        <f>469954</f>
        <v>469954</v>
      </c>
      <c r="DY31">
        <f>428819</f>
        <v>428819</v>
      </c>
      <c r="DZ31">
        <f>361823</f>
        <v>361823</v>
      </c>
      <c r="EA31">
        <f>361466</f>
        <v>361466</v>
      </c>
      <c r="EB31">
        <f>381386</f>
        <v>381386</v>
      </c>
      <c r="EC31">
        <f>408291</f>
        <v>408291</v>
      </c>
      <c r="ED31">
        <f>414246</f>
        <v>414246</v>
      </c>
      <c r="EE31">
        <f>441131</f>
        <v>441131</v>
      </c>
      <c r="EF31">
        <f>399732</f>
        <v>399732</v>
      </c>
      <c r="EG31">
        <f>420545</f>
        <v>420545</v>
      </c>
      <c r="EH31">
        <f>466699</f>
        <v>466699</v>
      </c>
      <c r="EI31">
        <f>432097</f>
        <v>432097</v>
      </c>
      <c r="EJ31">
        <f>469778</f>
        <v>469778</v>
      </c>
      <c r="EK31">
        <f>454987</f>
        <v>454987</v>
      </c>
      <c r="EL31">
        <f>424371</f>
        <v>424371</v>
      </c>
      <c r="EM31">
        <f>472995</f>
        <v>472995</v>
      </c>
      <c r="EN31">
        <f>429136</f>
        <v>429136</v>
      </c>
      <c r="EO31">
        <f>413019</f>
        <v>413019</v>
      </c>
      <c r="EP31">
        <f>408881</f>
        <v>408881</v>
      </c>
      <c r="EQ31">
        <f>439178</f>
        <v>439178</v>
      </c>
      <c r="ER31">
        <f>433259</f>
        <v>433259</v>
      </c>
      <c r="ES31">
        <f>417241</f>
        <v>417241</v>
      </c>
      <c r="ET31">
        <f>470384</f>
        <v>470384</v>
      </c>
      <c r="EU31">
        <f>420836</f>
        <v>420836</v>
      </c>
      <c r="EV31">
        <f>458682</f>
        <v>458682</v>
      </c>
      <c r="EW31">
        <f>438534</f>
        <v>438534</v>
      </c>
      <c r="EX31">
        <f>439986</f>
        <v>439986</v>
      </c>
      <c r="EY31">
        <f>432422</f>
        <v>432422</v>
      </c>
      <c r="EZ31">
        <f>407746</f>
        <v>407746</v>
      </c>
      <c r="FA31">
        <f>420567</f>
        <v>420567</v>
      </c>
      <c r="FB31">
        <f>391340</f>
        <v>391340</v>
      </c>
      <c r="FC31">
        <f>421896</f>
        <v>421896</v>
      </c>
      <c r="FD31">
        <f>395459</f>
        <v>395459</v>
      </c>
      <c r="FE31">
        <f>413830</f>
        <v>413830</v>
      </c>
      <c r="FF31">
        <f>426932</f>
        <v>426932</v>
      </c>
      <c r="FG31">
        <f>401492</f>
        <v>401492</v>
      </c>
      <c r="FH31">
        <f>446160</f>
        <v>446160</v>
      </c>
      <c r="FI31">
        <f>404454</f>
        <v>404454</v>
      </c>
      <c r="FJ31">
        <f>413524</f>
        <v>413524</v>
      </c>
      <c r="FK31">
        <f>402753</f>
        <v>402753</v>
      </c>
      <c r="FL31">
        <f>398283</f>
        <v>398283</v>
      </c>
      <c r="FM31">
        <f>364892</f>
        <v>364892</v>
      </c>
      <c r="FN31">
        <f>368513</f>
        <v>368513</v>
      </c>
      <c r="FO31">
        <f>421896</f>
        <v>421896</v>
      </c>
      <c r="FP31">
        <f>376282</f>
        <v>376282</v>
      </c>
      <c r="FQ31">
        <f>386639</f>
        <v>386639</v>
      </c>
    </row>
    <row r="32" spans="1:173" x14ac:dyDescent="0.25">
      <c r="A32" t="str">
        <f>"    Port of Savannah (TEU)"</f>
        <v xml:space="preserve">    Port of Savannah (TEU)</v>
      </c>
      <c r="B32" t="str">
        <f>"POSATOTL Index"</f>
        <v>POSATOTL Index</v>
      </c>
      <c r="C32" t="str">
        <f t="shared" si="0"/>
        <v>PX385</v>
      </c>
      <c r="D32" t="str">
        <f t="shared" si="1"/>
        <v>INTERVAL_SUM</v>
      </c>
      <c r="E32" t="str">
        <f t="shared" si="2"/>
        <v>Dynamic</v>
      </c>
      <c r="F32" t="str">
        <f ca="1">IF(AND(ISNUMBER($F$94),$B$69=1),$F$94,HLOOKUP(INDIRECT(ADDRESS(2,COLUMN())),OFFSET($CL$2,0,0,ROW()-1,84),ROW()-1,FALSE))</f>
        <v/>
      </c>
      <c r="G32" t="str">
        <f ca="1">IF(AND(ISNUMBER($G$94),$B$69=1),$G$94,HLOOKUP(INDIRECT(ADDRESS(2,COLUMN())),OFFSET($CL$2,0,0,ROW()-1,84),ROW()-1,FALSE))</f>
        <v/>
      </c>
      <c r="H32">
        <f ca="1">IF(AND(ISNUMBER($H$94),$B$69=1),$H$94,HLOOKUP(INDIRECT(ADDRESS(2,COLUMN())),OFFSET($CL$2,0,0,ROW()-1,84),ROW()-1,FALSE))</f>
        <v>413294</v>
      </c>
      <c r="I32">
        <f ca="1">IF(AND(ISNUMBER($I$94),$B$69=1),$I$94,HLOOKUP(INDIRECT(ADDRESS(2,COLUMN())),OFFSET($CL$2,0,0,ROW()-1,84),ROW()-1,FALSE))</f>
        <v>447587</v>
      </c>
      <c r="J32">
        <f ca="1">IF(AND(ISNUMBER($J$94),$B$69=1),$J$94,HLOOKUP(INDIRECT(ADDRESS(2,COLUMN())),OFFSET($CL$2,0,0,ROW()-1,84),ROW()-1,FALSE))</f>
        <v>381825</v>
      </c>
      <c r="K32">
        <f ca="1">IF(AND(ISNUMBER($K$94),$B$69=1),$K$94,HLOOKUP(INDIRECT(ADDRESS(2,COLUMN())),OFFSET($CL$2,0,0,ROW()-1,84),ROW()-1,FALSE))</f>
        <v>400511</v>
      </c>
      <c r="L32">
        <f ca="1">IF(AND(ISNUMBER($L$94),$B$69=1),$L$94,HLOOKUP(INDIRECT(ADDRESS(2,COLUMN())),OFFSET($CL$2,0,0,ROW()-1,84),ROW()-1,FALSE))</f>
        <v>408686</v>
      </c>
      <c r="M32">
        <f ca="1">IF(AND(ISNUMBER($M$94),$B$69=1),$M$94,HLOOKUP(INDIRECT(ADDRESS(2,COLUMN())),OFFSET($CL$2,0,0,ROW()-1,84),ROW()-1,FALSE))</f>
        <v>367880</v>
      </c>
      <c r="N32">
        <f ca="1">IF(AND(ISNUMBER($N$94),$B$69=1),$N$94,HLOOKUP(INDIRECT(ADDRESS(2,COLUMN())),OFFSET($CL$2,0,0,ROW()-1,84),ROW()-1,FALSE))</f>
        <v>394793</v>
      </c>
      <c r="O32">
        <f ca="1">IF(AND(ISNUMBER($O$94),$B$69=1),$O$94,HLOOKUP(INDIRECT(ADDRESS(2,COLUMN())),OFFSET($CL$2,0,0,ROW()-1,84),ROW()-1,FALSE))</f>
        <v>421714</v>
      </c>
      <c r="P32">
        <f ca="1">IF(AND(ISNUMBER($P$94),$B$69=1),$P$94,HLOOKUP(INDIRECT(ADDRESS(2,COLUMN())),OFFSET($CL$2,0,0,ROW()-1,84),ROW()-1,FALSE))</f>
        <v>440759</v>
      </c>
      <c r="Q32">
        <f ca="1">IF(AND(ISNUMBER($Q$94),$B$69=1),$Q$94,HLOOKUP(INDIRECT(ADDRESS(2,COLUMN())),OFFSET($CL$2,0,0,ROW()-1,84),ROW()-1,FALSE))</f>
        <v>464883</v>
      </c>
      <c r="R32">
        <f ca="1">IF(AND(ISNUMBER($R$94),$B$69=1),$R$94,HLOOKUP(INDIRECT(ADDRESS(2,COLUMN())),OFFSET($CL$2,0,0,ROW()-1,84),ROW()-1,FALSE))</f>
        <v>552806</v>
      </c>
      <c r="S32">
        <f ca="1">IF(AND(ISNUMBER($S$94),$B$69=1),$S$94,HLOOKUP(INDIRECT(ADDRESS(2,COLUMN())),OFFSET($CL$2,0,0,ROW()-1,84),ROW()-1,FALSE))</f>
        <v>436279</v>
      </c>
      <c r="T32">
        <f ca="1">IF(AND(ISNUMBER($T$94),$B$69=1),$T$94,HLOOKUP(INDIRECT(ADDRESS(2,COLUMN())),OFFSET($CL$2,0,0,ROW()-1,84),ROW()-1,FALSE))</f>
        <v>575513</v>
      </c>
      <c r="U32">
        <f ca="1">IF(AND(ISNUMBER($U$94),$B$69=1),$U$94,HLOOKUP(INDIRECT(ADDRESS(2,COLUMN())),OFFSET($CL$2,0,0,ROW()-1,84),ROW()-1,FALSE))</f>
        <v>530800</v>
      </c>
      <c r="V32">
        <f ca="1">IF(AND(ISNUMBER($V$94),$B$69=1),$V$94,HLOOKUP(INDIRECT(ADDRESS(2,COLUMN())),OFFSET($CL$2,0,0,ROW()-1,84),ROW()-1,FALSE))</f>
        <v>494107</v>
      </c>
      <c r="W32">
        <f ca="1">IF(AND(ISNUMBER($W$94),$B$69=1),$W$94,HLOOKUP(INDIRECT(ADDRESS(2,COLUMN())),OFFSET($CL$2,0,0,ROW()-1,84),ROW()-1,FALSE))</f>
        <v>519388</v>
      </c>
      <c r="X32">
        <f ca="1">IF(AND(ISNUMBER($X$94),$B$69=1),$X$94,HLOOKUP(INDIRECT(ADDRESS(2,COLUMN())),OFFSET($CL$2,0,0,ROW()-1,84),ROW()-1,FALSE))</f>
        <v>495782</v>
      </c>
      <c r="Y32">
        <f ca="1">IF(AND(ISNUMBER($Y$94),$B$69=1),$Y$94,HLOOKUP(INDIRECT(ADDRESS(2,COLUMN())),OFFSET($CL$2,0,0,ROW()-1,84),ROW()-1,FALSE))</f>
        <v>444690</v>
      </c>
      <c r="Z32">
        <f ca="1">IF(AND(ISNUMBER($Z$94),$B$69=1),$Z$94,HLOOKUP(INDIRECT(ADDRESS(2,COLUMN())),OFFSET($CL$2,0,0,ROW()-1,84),ROW()-1,FALSE))</f>
        <v>460413</v>
      </c>
      <c r="AA32">
        <f ca="1">IF(AND(ISNUMBER($AA$94),$B$69=1),$AA$94,HLOOKUP(INDIRECT(ADDRESS(2,COLUMN())),OFFSET($CL$2,0,0,ROW()-1,84),ROW()-1,FALSE))</f>
        <v>476713</v>
      </c>
      <c r="AB32">
        <f ca="1">IF(AND(ISNUMBER($AB$94),$B$69=1),$AB$94,HLOOKUP(INDIRECT(ADDRESS(2,COLUMN())),OFFSET($CL$2,0,0,ROW()-1,84),ROW()-1,FALSE))</f>
        <v>464951</v>
      </c>
      <c r="AC32">
        <f ca="1">IF(AND(ISNUMBER($AC$94),$B$69=1),$AC$94,HLOOKUP(INDIRECT(ADDRESS(2,COLUMN())),OFFSET($CL$2,0,0,ROW()-1,84),ROW()-1,FALSE))</f>
        <v>495749</v>
      </c>
      <c r="AD32">
        <f ca="1">IF(AND(ISNUMBER($AD$94),$B$69=1),$AD$94,HLOOKUP(INDIRECT(ADDRESS(2,COLUMN())),OFFSET($CL$2,0,0,ROW()-1,84),ROW()-1,FALSE))</f>
        <v>504347</v>
      </c>
      <c r="AE32">
        <f ca="1">IF(AND(ISNUMBER($AE$94),$B$69=1),$AE$94,HLOOKUP(INDIRECT(ADDRESS(2,COLUMN())),OFFSET($CL$2,0,0,ROW()-1,84),ROW()-1,FALSE))</f>
        <v>472062</v>
      </c>
      <c r="AF32">
        <f ca="1">IF(AND(ISNUMBER($AF$94),$B$69=1),$AF$94,HLOOKUP(INDIRECT(ADDRESS(2,COLUMN())),OFFSET($CL$2,0,0,ROW()-1,84),ROW()-1,FALSE))</f>
        <v>485595</v>
      </c>
      <c r="AG32">
        <f ca="1">IF(AND(ISNUMBER($AG$94),$B$69=1),$AG$94,HLOOKUP(INDIRECT(ADDRESS(2,COLUMN())),OFFSET($CL$2,0,0,ROW()-1,84),ROW()-1,FALSE))</f>
        <v>449916</v>
      </c>
      <c r="AH32">
        <f ca="1">IF(AND(ISNUMBER($AH$94),$B$69=1),$AH$94,HLOOKUP(INDIRECT(ADDRESS(2,COLUMN())),OFFSET($CL$2,0,0,ROW()-1,84),ROW()-1,FALSE))</f>
        <v>446815</v>
      </c>
      <c r="AI32">
        <f ca="1">IF(AND(ISNUMBER($AI$94),$B$69=1),$AI$94,HLOOKUP(INDIRECT(ADDRESS(2,COLUMN())),OFFSET($CL$2,0,0,ROW()-1,84),ROW()-1,FALSE))</f>
        <v>478620</v>
      </c>
      <c r="AJ32">
        <f ca="1">IF(AND(ISNUMBER($AJ$94),$B$69=1),$AJ$94,HLOOKUP(INDIRECT(ADDRESS(2,COLUMN())),OFFSET($CL$2,0,0,ROW()-1,84),ROW()-1,FALSE))</f>
        <v>466633</v>
      </c>
      <c r="AK32">
        <f ca="1">IF(AND(ISNUMBER($AK$94),$B$69=1),$AK$94,HLOOKUP(INDIRECT(ADDRESS(2,COLUMN())),OFFSET($CL$2,0,0,ROW()-1,84),ROW()-1,FALSE))</f>
        <v>498064</v>
      </c>
      <c r="AL32">
        <f ca="1">IF(AND(ISNUMBER($AL$94),$B$69=1),$AL$94,HLOOKUP(INDIRECT(ADDRESS(2,COLUMN())),OFFSET($CL$2,0,0,ROW()-1,84),ROW()-1,FALSE))</f>
        <v>390804</v>
      </c>
      <c r="AM32">
        <f ca="1">IF(AND(ISNUMBER($AM$94),$B$69=1),$AM$94,HLOOKUP(INDIRECT(ADDRESS(2,COLUMN())),OFFSET($CL$2,0,0,ROW()-1,84),ROW()-1,FALSE))</f>
        <v>459608</v>
      </c>
      <c r="AN32">
        <f ca="1">IF(AND(ISNUMBER($AN$94),$B$69=1),$AN$94,HLOOKUP(INDIRECT(ADDRESS(2,COLUMN())),OFFSET($CL$2,0,0,ROW()-1,84),ROW()-1,FALSE))</f>
        <v>447519</v>
      </c>
      <c r="AO32">
        <f ca="1">IF(AND(ISNUMBER($AO$94),$B$69=1),$AO$94,HLOOKUP(INDIRECT(ADDRESS(2,COLUMN())),OFFSET($CL$2,0,0,ROW()-1,84),ROW()-1,FALSE))</f>
        <v>464804</v>
      </c>
      <c r="AP32">
        <f ca="1">IF(AND(ISNUMBER($AP$94),$B$69=1),$AP$94,HLOOKUP(INDIRECT(ADDRESS(2,COLUMN())),OFFSET($CL$2,0,0,ROW()-1,84),ROW()-1,FALSE))</f>
        <v>464095</v>
      </c>
      <c r="AQ32">
        <f ca="1">IF(AND(ISNUMBER($AQ$94),$B$69=1),$AQ$94,HLOOKUP(INDIRECT(ADDRESS(2,COLUMN())),OFFSET($CL$2,0,0,ROW()-1,84),ROW()-1,FALSE))</f>
        <v>412138</v>
      </c>
      <c r="AR32">
        <f ca="1">IF(AND(ISNUMBER($AR$94),$B$69=1),$AR$94,HLOOKUP(INDIRECT(ADDRESS(2,COLUMN())),OFFSET($CL$2,0,0,ROW()-1,84),ROW()-1,FALSE))</f>
        <v>441596</v>
      </c>
      <c r="AS32">
        <f ca="1">IF(AND(ISNUMBER($AS$94),$B$69=1),$AS$94,HLOOKUP(INDIRECT(ADDRESS(2,COLUMN())),OFFSET($CL$2,0,0,ROW()-1,84),ROW()-1,FALSE))</f>
        <v>360697</v>
      </c>
      <c r="AT32">
        <f ca="1">IF(AND(ISNUMBER($AT$94),$B$69=1),$AT$94,HLOOKUP(INDIRECT(ADDRESS(2,COLUMN())),OFFSET($CL$2,0,0,ROW()-1,84),ROW()-1,FALSE))</f>
        <v>338287</v>
      </c>
      <c r="AU32">
        <f ca="1">IF(AND(ISNUMBER($AU$94),$B$69=1),$AU$94,HLOOKUP(INDIRECT(ADDRESS(2,COLUMN())),OFFSET($CL$2,0,0,ROW()-1,84),ROW()-1,FALSE))</f>
        <v>337359</v>
      </c>
      <c r="AV32">
        <f ca="1">IF(AND(ISNUMBER($AV$94),$B$69=1),$AV$94,HLOOKUP(INDIRECT(ADDRESS(2,COLUMN())),OFFSET($CL$2,0,0,ROW()-1,84),ROW()-1,FALSE))</f>
        <v>337890</v>
      </c>
      <c r="AW32">
        <f ca="1">IF(AND(ISNUMBER($AW$94),$B$69=1),$AW$94,HLOOKUP(INDIRECT(ADDRESS(2,COLUMN())),OFFSET($CL$2,0,0,ROW()-1,84),ROW()-1,FALSE))</f>
        <v>335789</v>
      </c>
      <c r="AX32">
        <f ca="1">IF(AND(ISNUMBER($AX$94),$B$69=1),$AX$94,HLOOKUP(INDIRECT(ADDRESS(2,COLUMN())),OFFSET($CL$2,0,0,ROW()-1,84),ROW()-1,FALSE))</f>
        <v>364405</v>
      </c>
      <c r="AY32">
        <f ca="1">IF(AND(ISNUMBER($AY$94),$B$69=1),$AY$94,HLOOKUP(INDIRECT(ADDRESS(2,COLUMN())),OFFSET($CL$2,0,0,ROW()-1,84),ROW()-1,FALSE))</f>
        <v>377671</v>
      </c>
      <c r="AZ32">
        <f ca="1">IF(AND(ISNUMBER($AZ$94),$B$69=1),$AZ$94,HLOOKUP(INDIRECT(ADDRESS(2,COLUMN())),OFFSET($CL$2,0,0,ROW()-1,84),ROW()-1,FALSE))</f>
        <v>360834</v>
      </c>
      <c r="BA32">
        <f ca="1">IF(AND(ISNUMBER($BA$94),$B$69=1),$BA$94,HLOOKUP(INDIRECT(ADDRESS(2,COLUMN())),OFFSET($CL$2,0,0,ROW()-1,84),ROW()-1,FALSE))</f>
        <v>362964</v>
      </c>
      <c r="BB32">
        <f ca="1">IF(AND(ISNUMBER($BB$94),$B$69=1),$BB$94,HLOOKUP(INDIRECT(ADDRESS(2,COLUMN())),OFFSET($CL$2,0,0,ROW()-1,84),ROW()-1,FALSE))</f>
        <v>428381</v>
      </c>
      <c r="BC32">
        <f ca="1">IF(AND(ISNUMBER($BC$94),$B$69=1),$BC$94,HLOOKUP(INDIRECT(ADDRESS(2,COLUMN())),OFFSET($CL$2,0,0,ROW()-1,84),ROW()-1,FALSE))</f>
        <v>369999</v>
      </c>
      <c r="BD32">
        <f ca="1">IF(AND(ISNUMBER($BD$94),$B$69=1),$BD$94,HLOOKUP(INDIRECT(ADDRESS(2,COLUMN())),OFFSET($CL$2,0,0,ROW()-1,84),ROW()-1,FALSE))</f>
        <v>437747</v>
      </c>
      <c r="BE32">
        <f ca="1">IF(AND(ISNUMBER($BE$94),$B$69=1),$BE$94,HLOOKUP(INDIRECT(ADDRESS(2,COLUMN())),OFFSET($CL$2,0,0,ROW()-1,84),ROW()-1,FALSE))</f>
        <v>387022</v>
      </c>
      <c r="BF32">
        <f ca="1">IF(AND(ISNUMBER($BF$94),$B$69=1),$BF$94,HLOOKUP(INDIRECT(ADDRESS(2,COLUMN())),OFFSET($CL$2,0,0,ROW()-1,84),ROW()-1,FALSE))</f>
        <v>361906</v>
      </c>
      <c r="BG32">
        <f ca="1">IF(AND(ISNUMBER($BG$94),$B$69=1),$BG$94,HLOOKUP(INDIRECT(ADDRESS(2,COLUMN())),OFFSET($CL$2,0,0,ROW()-1,84),ROW()-1,FALSE))</f>
        <v>373394</v>
      </c>
      <c r="BH32">
        <f ca="1">IF(AND(ISNUMBER($BH$94),$B$69=1),$BH$94,HLOOKUP(INDIRECT(ADDRESS(2,COLUMN())),OFFSET($CL$2,0,0,ROW()-1,84),ROW()-1,FALSE))</f>
        <v>364481</v>
      </c>
      <c r="BI32">
        <f ca="1">IF(AND(ISNUMBER($BI$94),$B$69=1),$BI$94,HLOOKUP(INDIRECT(ADDRESS(2,COLUMN())),OFFSET($CL$2,0,0,ROW()-1,84),ROW()-1,FALSE))</f>
        <v>410326</v>
      </c>
      <c r="BJ32">
        <f ca="1">IF(AND(ISNUMBER($BJ$94),$B$69=1),$BJ$94,HLOOKUP(INDIRECT(ADDRESS(2,COLUMN())),OFFSET($CL$2,0,0,ROW()-1,84),ROW()-1,FALSE))</f>
        <v>312042</v>
      </c>
      <c r="BK32">
        <f ca="1">IF(AND(ISNUMBER($BK$94),$B$69=1),$BK$94,HLOOKUP(INDIRECT(ADDRESS(2,COLUMN())),OFFSET($CL$2,0,0,ROW()-1,84),ROW()-1,FALSE))</f>
        <v>430079</v>
      </c>
      <c r="BL32">
        <f ca="1">IF(AND(ISNUMBER($BL$94),$B$69=1),$BL$94,HLOOKUP(INDIRECT(ADDRESS(2,COLUMN())),OFFSET($CL$2,0,0,ROW()-1,84),ROW()-1,FALSE))</f>
        <v>351366</v>
      </c>
      <c r="BM32">
        <f ca="1">IF(AND(ISNUMBER($BM$94),$B$69=1),$BM$94,HLOOKUP(INDIRECT(ADDRESS(2,COLUMN())),OFFSET($CL$2,0,0,ROW()-1,84),ROW()-1,FALSE))</f>
        <v>344506</v>
      </c>
      <c r="BN32">
        <f ca="1">IF(AND(ISNUMBER($BN$94),$B$69=1),$BN$94,HLOOKUP(INDIRECT(ADDRESS(2,COLUMN())),OFFSET($CL$2,0,0,ROW()-1,84),ROW()-1,FALSE))</f>
        <v>413778</v>
      </c>
      <c r="BO32">
        <f ca="1">IF(AND(ISNUMBER($BO$94),$B$69=1),$BO$94,HLOOKUP(INDIRECT(ADDRESS(2,COLUMN())),OFFSET($CL$2,0,0,ROW()-1,84),ROW()-1,FALSE))</f>
        <v>364150</v>
      </c>
      <c r="BP32">
        <f ca="1">IF(AND(ISNUMBER($BP$94),$B$69=1),$BP$94,HLOOKUP(INDIRECT(ADDRESS(2,COLUMN())),OFFSET($CL$2,0,0,ROW()-1,84),ROW()-1,FALSE))</f>
        <v>375844</v>
      </c>
      <c r="BQ32">
        <f ca="1">IF(AND(ISNUMBER($BQ$94),$B$69=1),$BQ$94,HLOOKUP(INDIRECT(ADDRESS(2,COLUMN())),OFFSET($CL$2,0,0,ROW()-1,84),ROW()-1,FALSE))</f>
        <v>378767</v>
      </c>
      <c r="BR32">
        <f ca="1">IF(AND(ISNUMBER($BR$94),$B$69=1),$BR$94,HLOOKUP(INDIRECT(ADDRESS(2,COLUMN())),OFFSET($CL$2,0,0,ROW()-1,84),ROW()-1,FALSE))</f>
        <v>370726</v>
      </c>
      <c r="BS32">
        <f ca="1">IF(AND(ISNUMBER($BS$94),$B$69=1),$BS$94,HLOOKUP(INDIRECT(ADDRESS(2,COLUMN())),OFFSET($CL$2,0,0,ROW()-1,84),ROW()-1,FALSE))</f>
        <v>361029</v>
      </c>
      <c r="BT32">
        <f ca="1">IF(AND(ISNUMBER($BT$94),$B$69=1),$BT$94,HLOOKUP(INDIRECT(ADDRESS(2,COLUMN())),OFFSET($CL$2,0,0,ROW()-1,84),ROW()-1,FALSE))</f>
        <v>356717</v>
      </c>
      <c r="BU32">
        <f ca="1">IF(AND(ISNUMBER($BU$94),$B$69=1),$BU$94,HLOOKUP(INDIRECT(ADDRESS(2,COLUMN())),OFFSET($CL$2,0,0,ROW()-1,84),ROW()-1,FALSE))</f>
        <v>355208</v>
      </c>
      <c r="BV32">
        <f ca="1">IF(AND(ISNUMBER($BV$94),$B$69=1),$BV$94,HLOOKUP(INDIRECT(ADDRESS(2,COLUMN())),OFFSET($CL$2,0,0,ROW()-1,84),ROW()-1,FALSE))</f>
        <v>341094</v>
      </c>
      <c r="BW32">
        <f ca="1">IF(AND(ISNUMBER($BW$94),$B$69=1),$BW$94,HLOOKUP(INDIRECT(ADDRESS(2,COLUMN())),OFFSET($CL$2,0,0,ROW()-1,84),ROW()-1,FALSE))</f>
        <v>338793</v>
      </c>
      <c r="BX32">
        <f ca="1">IF(AND(ISNUMBER($BX$94),$B$69=1),$BX$94,HLOOKUP(INDIRECT(ADDRESS(2,COLUMN())),OFFSET($CL$2,0,0,ROW()-1,84),ROW()-1,FALSE))</f>
        <v>323117</v>
      </c>
      <c r="BY32">
        <f ca="1">IF(AND(ISNUMBER($BY$94),$B$69=1),$BY$94,HLOOKUP(INDIRECT(ADDRESS(2,COLUMN())),OFFSET($CL$2,0,0,ROW()-1,84),ROW()-1,FALSE))</f>
        <v>309147</v>
      </c>
      <c r="BZ32">
        <f ca="1">IF(AND(ISNUMBER($BZ$94),$B$69=1),$BZ$94,HLOOKUP(INDIRECT(ADDRESS(2,COLUMN())),OFFSET($CL$2,0,0,ROW()-1,84),ROW()-1,FALSE))</f>
        <v>409814</v>
      </c>
      <c r="CA32">
        <f ca="1">IF(AND(ISNUMBER($CA$94),$B$69=1),$CA$94,HLOOKUP(INDIRECT(ADDRESS(2,COLUMN())),OFFSET($CL$2,0,0,ROW()-1,84),ROW()-1,FALSE))</f>
        <v>325141</v>
      </c>
      <c r="CB32">
        <f ca="1">IF(AND(ISNUMBER($CB$94),$B$69=1),$CB$94,HLOOKUP(INDIRECT(ADDRESS(2,COLUMN())),OFFSET($CL$2,0,0,ROW()-1,84),ROW()-1,FALSE))</f>
        <v>348297</v>
      </c>
      <c r="CC32">
        <f ca="1">IF(AND(ISNUMBER($CC$94),$B$69=1),$CC$94,HLOOKUP(INDIRECT(ADDRESS(2,COLUMN())),OFFSET($CL$2,0,0,ROW()-1,84),ROW()-1,FALSE))</f>
        <v>336099</v>
      </c>
      <c r="CD32">
        <f ca="1">IF(AND(ISNUMBER($CD$94),$B$69=1),$CD$94,HLOOKUP(INDIRECT(ADDRESS(2,COLUMN())),OFFSET($CL$2,0,0,ROW()-1,84),ROW()-1,FALSE))</f>
        <v>337711</v>
      </c>
      <c r="CE32">
        <f ca="1">IF(AND(ISNUMBER($CE$94),$B$69=1),$CE$94,HLOOKUP(INDIRECT(ADDRESS(2,COLUMN())),OFFSET($CL$2,0,0,ROW()-1,84),ROW()-1,FALSE))</f>
        <v>350104</v>
      </c>
      <c r="CF32">
        <f ca="1">IF(AND(ISNUMBER($CF$94),$B$69=1),$CF$94,HLOOKUP(INDIRECT(ADDRESS(2,COLUMN())),OFFSET($CL$2,0,0,ROW()-1,84),ROW()-1,FALSE))</f>
        <v>333006</v>
      </c>
      <c r="CG32">
        <f ca="1">IF(AND(ISNUMBER($CG$94),$B$69=1),$CG$94,HLOOKUP(INDIRECT(ADDRESS(2,COLUMN())),OFFSET($CL$2,0,0,ROW()-1,84),ROW()-1,FALSE))</f>
        <v>311770</v>
      </c>
      <c r="CH32">
        <f ca="1">IF(AND(ISNUMBER($CH$94),$B$69=1),$CH$94,HLOOKUP(INDIRECT(ADDRESS(2,COLUMN())),OFFSET($CL$2,0,0,ROW()-1,84),ROW()-1,FALSE))</f>
        <v>330539</v>
      </c>
      <c r="CI32">
        <f ca="1">IF(AND(ISNUMBER($CI$94),$B$69=1),$CI$94,HLOOKUP(INDIRECT(ADDRESS(2,COLUMN())),OFFSET($CL$2,0,0,ROW()-1,84),ROW()-1,FALSE))</f>
        <v>331468</v>
      </c>
      <c r="CJ32">
        <f ca="1">IF(AND(ISNUMBER($CJ$94),$B$69=1),$CJ$94,HLOOKUP(INDIRECT(ADDRESS(2,COLUMN())),OFFSET($CL$2,0,0,ROW()-1,84),ROW()-1,FALSE))</f>
        <v>292173</v>
      </c>
      <c r="CK32">
        <f ca="1">IF(AND(ISNUMBER($CK$94),$B$69=1),$CK$94,HLOOKUP(INDIRECT(ADDRESS(2,COLUMN())),OFFSET($CL$2,0,0,ROW()-1,84),ROW()-1,FALSE))</f>
        <v>300671</v>
      </c>
      <c r="CL32" t="str">
        <f>""</f>
        <v/>
      </c>
      <c r="CM32" t="str">
        <f>""</f>
        <v/>
      </c>
      <c r="CN32">
        <f>413294</f>
        <v>413294</v>
      </c>
      <c r="CO32">
        <f>447587</f>
        <v>447587</v>
      </c>
      <c r="CP32">
        <f>381825</f>
        <v>381825</v>
      </c>
      <c r="CQ32">
        <f>400511</f>
        <v>400511</v>
      </c>
      <c r="CR32">
        <f>408686</f>
        <v>408686</v>
      </c>
      <c r="CS32">
        <f>367880</f>
        <v>367880</v>
      </c>
      <c r="CT32">
        <f>394793</f>
        <v>394793</v>
      </c>
      <c r="CU32">
        <f>421714</f>
        <v>421714</v>
      </c>
      <c r="CV32">
        <f>440759</f>
        <v>440759</v>
      </c>
      <c r="CW32">
        <f>464883</f>
        <v>464883</v>
      </c>
      <c r="CX32">
        <f>552806</f>
        <v>552806</v>
      </c>
      <c r="CY32">
        <f>436279</f>
        <v>436279</v>
      </c>
      <c r="CZ32">
        <f>575513</f>
        <v>575513</v>
      </c>
      <c r="DA32">
        <f>530800</f>
        <v>530800</v>
      </c>
      <c r="DB32">
        <f>494107</f>
        <v>494107</v>
      </c>
      <c r="DC32">
        <f>519388</f>
        <v>519388</v>
      </c>
      <c r="DD32">
        <f>495782</f>
        <v>495782</v>
      </c>
      <c r="DE32">
        <f>444690</f>
        <v>444690</v>
      </c>
      <c r="DF32">
        <f>460413</f>
        <v>460413</v>
      </c>
      <c r="DG32">
        <f>476713</f>
        <v>476713</v>
      </c>
      <c r="DH32">
        <f>464951</f>
        <v>464951</v>
      </c>
      <c r="DI32">
        <f>495749</f>
        <v>495749</v>
      </c>
      <c r="DJ32">
        <f>504347</f>
        <v>504347</v>
      </c>
      <c r="DK32">
        <f>472062</f>
        <v>472062</v>
      </c>
      <c r="DL32">
        <f>485595</f>
        <v>485595</v>
      </c>
      <c r="DM32">
        <f>449916</f>
        <v>449916</v>
      </c>
      <c r="DN32">
        <f>446815</f>
        <v>446815</v>
      </c>
      <c r="DO32">
        <f>478620</f>
        <v>478620</v>
      </c>
      <c r="DP32">
        <f>466633</f>
        <v>466633</v>
      </c>
      <c r="DQ32">
        <f>498064</f>
        <v>498064</v>
      </c>
      <c r="DR32">
        <f>390804</f>
        <v>390804</v>
      </c>
      <c r="DS32">
        <f>459608</f>
        <v>459608</v>
      </c>
      <c r="DT32">
        <f>447519</f>
        <v>447519</v>
      </c>
      <c r="DU32">
        <f>464804</f>
        <v>464804</v>
      </c>
      <c r="DV32">
        <f>464095</f>
        <v>464095</v>
      </c>
      <c r="DW32">
        <f>412138</f>
        <v>412138</v>
      </c>
      <c r="DX32">
        <f>441596</f>
        <v>441596</v>
      </c>
      <c r="DY32">
        <f>360697</f>
        <v>360697</v>
      </c>
      <c r="DZ32">
        <f>338287</f>
        <v>338287</v>
      </c>
      <c r="EA32">
        <f>337359</f>
        <v>337359</v>
      </c>
      <c r="EB32">
        <f>337890</f>
        <v>337890</v>
      </c>
      <c r="EC32">
        <f>335789</f>
        <v>335789</v>
      </c>
      <c r="ED32">
        <f>364405</f>
        <v>364405</v>
      </c>
      <c r="EE32">
        <f>377671</f>
        <v>377671</v>
      </c>
      <c r="EF32">
        <f>360834</f>
        <v>360834</v>
      </c>
      <c r="EG32">
        <f>362964</f>
        <v>362964</v>
      </c>
      <c r="EH32">
        <f>428381</f>
        <v>428381</v>
      </c>
      <c r="EI32">
        <f>369999</f>
        <v>369999</v>
      </c>
      <c r="EJ32">
        <f>437747</f>
        <v>437747</v>
      </c>
      <c r="EK32">
        <f>387022</f>
        <v>387022</v>
      </c>
      <c r="EL32">
        <f>361906</f>
        <v>361906</v>
      </c>
      <c r="EM32">
        <f>373394</f>
        <v>373394</v>
      </c>
      <c r="EN32">
        <f>364481</f>
        <v>364481</v>
      </c>
      <c r="EO32">
        <f>410326</f>
        <v>410326</v>
      </c>
      <c r="EP32">
        <f>312042</f>
        <v>312042</v>
      </c>
      <c r="EQ32">
        <f>430079</f>
        <v>430079</v>
      </c>
      <c r="ER32">
        <f>351366</f>
        <v>351366</v>
      </c>
      <c r="ES32">
        <f>344506</f>
        <v>344506</v>
      </c>
      <c r="ET32">
        <f>413778</f>
        <v>413778</v>
      </c>
      <c r="EU32">
        <f>364150</f>
        <v>364150</v>
      </c>
      <c r="EV32">
        <f>375844</f>
        <v>375844</v>
      </c>
      <c r="EW32">
        <f>378767</f>
        <v>378767</v>
      </c>
      <c r="EX32">
        <f>370726</f>
        <v>370726</v>
      </c>
      <c r="EY32">
        <f>361029</f>
        <v>361029</v>
      </c>
      <c r="EZ32">
        <f>356717</f>
        <v>356717</v>
      </c>
      <c r="FA32">
        <f>355208</f>
        <v>355208</v>
      </c>
      <c r="FB32">
        <f>341094</f>
        <v>341094</v>
      </c>
      <c r="FC32">
        <f>338793</f>
        <v>338793</v>
      </c>
      <c r="FD32">
        <f>323117</f>
        <v>323117</v>
      </c>
      <c r="FE32">
        <f>309147</f>
        <v>309147</v>
      </c>
      <c r="FF32">
        <f>409814</f>
        <v>409814</v>
      </c>
      <c r="FG32">
        <f>325141</f>
        <v>325141</v>
      </c>
      <c r="FH32">
        <f>348297</f>
        <v>348297</v>
      </c>
      <c r="FI32">
        <f>336099</f>
        <v>336099</v>
      </c>
      <c r="FJ32">
        <f>337711</f>
        <v>337711</v>
      </c>
      <c r="FK32">
        <f>350104</f>
        <v>350104</v>
      </c>
      <c r="FL32">
        <f>333006</f>
        <v>333006</v>
      </c>
      <c r="FM32">
        <f>311770</f>
        <v>311770</v>
      </c>
      <c r="FN32">
        <f>330539</f>
        <v>330539</v>
      </c>
      <c r="FO32">
        <f>331468</f>
        <v>331468</v>
      </c>
      <c r="FP32">
        <f>292173</f>
        <v>292173</v>
      </c>
      <c r="FQ32">
        <f>300671</f>
        <v>300671</v>
      </c>
    </row>
    <row r="33" spans="1:173" x14ac:dyDescent="0.25">
      <c r="A33" t="str">
        <f>"    Port of Vancouver (TEU)"</f>
        <v xml:space="preserve">    Port of Vancouver (TEU)</v>
      </c>
      <c r="B33" t="str">
        <f>"PVANTOTL Index"</f>
        <v>PVANTOTL Index</v>
      </c>
      <c r="C33" t="str">
        <f t="shared" si="0"/>
        <v>PX385</v>
      </c>
      <c r="D33" t="str">
        <f t="shared" si="1"/>
        <v>INTERVAL_SUM</v>
      </c>
      <c r="E33" t="str">
        <f t="shared" si="2"/>
        <v>Dynamic</v>
      </c>
      <c r="F33" t="str">
        <f ca="1">IF(AND(ISNUMBER($F$95),$B$69=1),$F$95,HLOOKUP(INDIRECT(ADDRESS(2,COLUMN())),OFFSET($CL$2,0,0,ROW()-1,84),ROW()-1,FALSE))</f>
        <v/>
      </c>
      <c r="G33">
        <f ca="1">IF(AND(ISNUMBER($G$95),$B$69=1),$G$95,HLOOKUP(INDIRECT(ADDRESS(2,COLUMN())),OFFSET($CL$2,0,0,ROW()-1,84),ROW()-1,FALSE))</f>
        <v>286241</v>
      </c>
      <c r="H33">
        <f ca="1">IF(AND(ISNUMBER($H$95),$B$69=1),$H$95,HLOOKUP(INDIRECT(ADDRESS(2,COLUMN())),OFFSET($CL$2,0,0,ROW()-1,84),ROW()-1,FALSE))</f>
        <v>253978</v>
      </c>
      <c r="I33">
        <f ca="1">IF(AND(ISNUMBER($I$95),$B$69=1),$I$95,HLOOKUP(INDIRECT(ADDRESS(2,COLUMN())),OFFSET($CL$2,0,0,ROW()-1,84),ROW()-1,FALSE))</f>
        <v>197511</v>
      </c>
      <c r="J33">
        <f ca="1">IF(AND(ISNUMBER($J$95),$B$69=1),$J$95,HLOOKUP(INDIRECT(ADDRESS(2,COLUMN())),OFFSET($CL$2,0,0,ROW()-1,84),ROW()-1,FALSE))</f>
        <v>285162</v>
      </c>
      <c r="K33">
        <f ca="1">IF(AND(ISNUMBER($K$95),$B$69=1),$K$95,HLOOKUP(INDIRECT(ADDRESS(2,COLUMN())),OFFSET($CL$2,0,0,ROW()-1,84),ROW()-1,FALSE))</f>
        <v>280296</v>
      </c>
      <c r="L33">
        <f ca="1">IF(AND(ISNUMBER($L$95),$B$69=1),$L$95,HLOOKUP(INDIRECT(ADDRESS(2,COLUMN())),OFFSET($CL$2,0,0,ROW()-1,84),ROW()-1,FALSE))</f>
        <v>281171</v>
      </c>
      <c r="M33">
        <f ca="1">IF(AND(ISNUMBER($M$95),$B$69=1),$M$95,HLOOKUP(INDIRECT(ADDRESS(2,COLUMN())),OFFSET($CL$2,0,0,ROW()-1,84),ROW()-1,FALSE))</f>
        <v>226852</v>
      </c>
      <c r="N33">
        <f ca="1">IF(AND(ISNUMBER($N$95),$B$69=1),$N$95,HLOOKUP(INDIRECT(ADDRESS(2,COLUMN())),OFFSET($CL$2,0,0,ROW()-1,84),ROW()-1,FALSE))</f>
        <v>233950</v>
      </c>
      <c r="O33">
        <f ca="1">IF(AND(ISNUMBER($O$95),$B$69=1),$O$95,HLOOKUP(INDIRECT(ADDRESS(2,COLUMN())),OFFSET($CL$2,0,0,ROW()-1,84),ROW()-1,FALSE))</f>
        <v>247473</v>
      </c>
      <c r="P33">
        <f ca="1">IF(AND(ISNUMBER($P$95),$B$69=1),$P$95,HLOOKUP(INDIRECT(ADDRESS(2,COLUMN())),OFFSET($CL$2,0,0,ROW()-1,84),ROW()-1,FALSE))</f>
        <v>207013</v>
      </c>
      <c r="Q33">
        <f ca="1">IF(AND(ISNUMBER($Q$95),$B$69=1),$Q$95,HLOOKUP(INDIRECT(ADDRESS(2,COLUMN())),OFFSET($CL$2,0,0,ROW()-1,84),ROW()-1,FALSE))</f>
        <v>275601</v>
      </c>
      <c r="R33">
        <f ca="1">IF(AND(ISNUMBER($R$95),$B$69=1),$R$95,HLOOKUP(INDIRECT(ADDRESS(2,COLUMN())),OFFSET($CL$2,0,0,ROW()-1,84),ROW()-1,FALSE))</f>
        <v>308542</v>
      </c>
      <c r="S33">
        <f ca="1">IF(AND(ISNUMBER($S$95),$B$69=1),$S$95,HLOOKUP(INDIRECT(ADDRESS(2,COLUMN())),OFFSET($CL$2,0,0,ROW()-1,84),ROW()-1,FALSE))</f>
        <v>325187</v>
      </c>
      <c r="T33">
        <f ca="1">IF(AND(ISNUMBER($T$95),$B$69=1),$T$95,HLOOKUP(INDIRECT(ADDRESS(2,COLUMN())),OFFSET($CL$2,0,0,ROW()-1,84),ROW()-1,FALSE))</f>
        <v>331874</v>
      </c>
      <c r="U33">
        <f ca="1">IF(AND(ISNUMBER($U$95),$B$69=1),$U$95,HLOOKUP(INDIRECT(ADDRESS(2,COLUMN())),OFFSET($CL$2,0,0,ROW()-1,84),ROW()-1,FALSE))</f>
        <v>305600</v>
      </c>
      <c r="V33">
        <f ca="1">IF(AND(ISNUMBER($V$95),$B$69=1),$V$95,HLOOKUP(INDIRECT(ADDRESS(2,COLUMN())),OFFSET($CL$2,0,0,ROW()-1,84),ROW()-1,FALSE))</f>
        <v>319894</v>
      </c>
      <c r="W33">
        <f ca="1">IF(AND(ISNUMBER($W$95),$B$69=1),$W$95,HLOOKUP(INDIRECT(ADDRESS(2,COLUMN())),OFFSET($CL$2,0,0,ROW()-1,84),ROW()-1,FALSE))</f>
        <v>320182</v>
      </c>
      <c r="X33">
        <f ca="1">IF(AND(ISNUMBER($X$95),$B$69=1),$X$95,HLOOKUP(INDIRECT(ADDRESS(2,COLUMN())),OFFSET($CL$2,0,0,ROW()-1,84),ROW()-1,FALSE))</f>
        <v>327562</v>
      </c>
      <c r="Y33">
        <f ca="1">IF(AND(ISNUMBER($Y$95),$B$69=1),$Y$95,HLOOKUP(INDIRECT(ADDRESS(2,COLUMN())),OFFSET($CL$2,0,0,ROW()-1,84),ROW()-1,FALSE))</f>
        <v>330693</v>
      </c>
      <c r="Z33">
        <f ca="1">IF(AND(ISNUMBER($Z$95),$B$69=1),$Z$95,HLOOKUP(INDIRECT(ADDRESS(2,COLUMN())),OFFSET($CL$2,0,0,ROW()-1,84),ROW()-1,FALSE))</f>
        <v>252536</v>
      </c>
      <c r="AA33">
        <f ca="1">IF(AND(ISNUMBER($AA$95),$B$69=1),$AA$95,HLOOKUP(INDIRECT(ADDRESS(2,COLUMN())),OFFSET($CL$2,0,0,ROW()-1,84),ROW()-1,FALSE))</f>
        <v>252612</v>
      </c>
      <c r="AB33">
        <f ca="1">IF(AND(ISNUMBER($AB$95),$B$69=1),$AB$95,HLOOKUP(INDIRECT(ADDRESS(2,COLUMN())),OFFSET($CL$2,0,0,ROW()-1,84),ROW()-1,FALSE))</f>
        <v>254617</v>
      </c>
      <c r="AC33">
        <f ca="1">IF(AND(ISNUMBER($AC$95),$B$69=1),$AC$95,HLOOKUP(INDIRECT(ADDRESS(2,COLUMN())),OFFSET($CL$2,0,0,ROW()-1,84),ROW()-1,FALSE))</f>
        <v>240583</v>
      </c>
      <c r="AD33">
        <f ca="1">IF(AND(ISNUMBER($AD$95),$B$69=1),$AD$95,HLOOKUP(INDIRECT(ADDRESS(2,COLUMN())),OFFSET($CL$2,0,0,ROW()-1,84),ROW()-1,FALSE))</f>
        <v>327146</v>
      </c>
      <c r="AE33">
        <f ca="1">IF(AND(ISNUMBER($AE$95),$B$69=1),$AE$95,HLOOKUP(INDIRECT(ADDRESS(2,COLUMN())),OFFSET($CL$2,0,0,ROW()-1,84),ROW()-1,FALSE))</f>
        <v>311855</v>
      </c>
      <c r="AF33">
        <f ca="1">IF(AND(ISNUMBER($AF$95),$B$69=1),$AF$95,HLOOKUP(INDIRECT(ADDRESS(2,COLUMN())),OFFSET($CL$2,0,0,ROW()-1,84),ROW()-1,FALSE))</f>
        <v>336695</v>
      </c>
      <c r="AG33">
        <f ca="1">IF(AND(ISNUMBER($AG$95),$B$69=1),$AG$95,HLOOKUP(INDIRECT(ADDRESS(2,COLUMN())),OFFSET($CL$2,0,0,ROW()-1,84),ROW()-1,FALSE))</f>
        <v>265593</v>
      </c>
      <c r="AH33">
        <f ca="1">IF(AND(ISNUMBER($AH$95),$B$69=1),$AH$95,HLOOKUP(INDIRECT(ADDRESS(2,COLUMN())),OFFSET($CL$2,0,0,ROW()-1,84),ROW()-1,FALSE))</f>
        <v>302003</v>
      </c>
      <c r="AI33">
        <f ca="1">IF(AND(ISNUMBER($AI$95),$B$69=1),$AI$95,HLOOKUP(INDIRECT(ADDRESS(2,COLUMN())),OFFSET($CL$2,0,0,ROW()-1,84),ROW()-1,FALSE))</f>
        <v>371855</v>
      </c>
      <c r="AJ33">
        <f ca="1">IF(AND(ISNUMBER($AJ$95),$B$69=1),$AJ$95,HLOOKUP(INDIRECT(ADDRESS(2,COLUMN())),OFFSET($CL$2,0,0,ROW()-1,84),ROW()-1,FALSE))</f>
        <v>337271</v>
      </c>
      <c r="AK33">
        <f ca="1">IF(AND(ISNUMBER($AK$95),$B$69=1),$AK$95,HLOOKUP(INDIRECT(ADDRESS(2,COLUMN())),OFFSET($CL$2,0,0,ROW()-1,84),ROW()-1,FALSE))</f>
        <v>332258</v>
      </c>
      <c r="AL33">
        <f ca="1">IF(AND(ISNUMBER($AL$95),$B$69=1),$AL$95,HLOOKUP(INDIRECT(ADDRESS(2,COLUMN())),OFFSET($CL$2,0,0,ROW()-1,84),ROW()-1,FALSE))</f>
        <v>280733</v>
      </c>
      <c r="AM33">
        <f ca="1">IF(AND(ISNUMBER($AM$95),$B$69=1),$AM$95,HLOOKUP(INDIRECT(ADDRESS(2,COLUMN())),OFFSET($CL$2,0,0,ROW()-1,84),ROW()-1,FALSE))</f>
        <v>319972</v>
      </c>
      <c r="AN33">
        <f ca="1">IF(AND(ISNUMBER($AN$95),$B$69=1),$AN$95,HLOOKUP(INDIRECT(ADDRESS(2,COLUMN())),OFFSET($CL$2,0,0,ROW()-1,84),ROW()-1,FALSE))</f>
        <v>321302</v>
      </c>
      <c r="AO33">
        <f ca="1">IF(AND(ISNUMBER($AO$95),$B$69=1),$AO$95,HLOOKUP(INDIRECT(ADDRESS(2,COLUMN())),OFFSET($CL$2,0,0,ROW()-1,84),ROW()-1,FALSE))</f>
        <v>315721</v>
      </c>
      <c r="AP33">
        <f ca="1">IF(AND(ISNUMBER($AP$95),$B$69=1),$AP$95,HLOOKUP(INDIRECT(ADDRESS(2,COLUMN())),OFFSET($CL$2,0,0,ROW()-1,84),ROW()-1,FALSE))</f>
        <v>359384</v>
      </c>
      <c r="AQ33">
        <f ca="1">IF(AND(ISNUMBER($AQ$95),$B$69=1),$AQ$95,HLOOKUP(INDIRECT(ADDRESS(2,COLUMN())),OFFSET($CL$2,0,0,ROW()-1,84),ROW()-1,FALSE))</f>
        <v>302737</v>
      </c>
      <c r="AR33">
        <f ca="1">IF(AND(ISNUMBER($AR$95),$B$69=1),$AR$95,HLOOKUP(INDIRECT(ADDRESS(2,COLUMN())),OFFSET($CL$2,0,0,ROW()-1,84),ROW()-1,FALSE))</f>
        <v>300341</v>
      </c>
      <c r="AS33">
        <f ca="1">IF(AND(ISNUMBER($AS$95),$B$69=1),$AS$95,HLOOKUP(INDIRECT(ADDRESS(2,COLUMN())),OFFSET($CL$2,0,0,ROW()-1,84),ROW()-1,FALSE))</f>
        <v>303559</v>
      </c>
      <c r="AT33">
        <f ca="1">IF(AND(ISNUMBER($AT$95),$B$69=1),$AT$95,HLOOKUP(INDIRECT(ADDRESS(2,COLUMN())),OFFSET($CL$2,0,0,ROW()-1,84),ROW()-1,FALSE))</f>
        <v>275171</v>
      </c>
      <c r="AU33">
        <f ca="1">IF(AND(ISNUMBER($AU$95),$B$69=1),$AU$95,HLOOKUP(INDIRECT(ADDRESS(2,COLUMN())),OFFSET($CL$2,0,0,ROW()-1,84),ROW()-1,FALSE))</f>
        <v>276230</v>
      </c>
      <c r="AV33">
        <f ca="1">IF(AND(ISNUMBER($AV$95),$B$69=1),$AV$95,HLOOKUP(INDIRECT(ADDRESS(2,COLUMN())),OFFSET($CL$2,0,0,ROW()-1,84),ROW()-1,FALSE))</f>
        <v>278223</v>
      </c>
      <c r="AW33">
        <f ca="1">IF(AND(ISNUMBER($AW$95),$B$69=1),$AW$95,HLOOKUP(INDIRECT(ADDRESS(2,COLUMN())),OFFSET($CL$2,0,0,ROW()-1,84),ROW()-1,FALSE))</f>
        <v>237696</v>
      </c>
      <c r="AX33">
        <f ca="1">IF(AND(ISNUMBER($AX$95),$B$69=1),$AX$95,HLOOKUP(INDIRECT(ADDRESS(2,COLUMN())),OFFSET($CL$2,0,0,ROW()-1,84),ROW()-1,FALSE))</f>
        <v>231560</v>
      </c>
      <c r="AY33">
        <f ca="1">IF(AND(ISNUMBER($AY$95),$B$69=1),$AY$95,HLOOKUP(INDIRECT(ADDRESS(2,COLUMN())),OFFSET($CL$2,0,0,ROW()-1,84),ROW()-1,FALSE))</f>
        <v>265599</v>
      </c>
      <c r="AZ33">
        <f ca="1">IF(AND(ISNUMBER($AZ$95),$B$69=1),$AZ$95,HLOOKUP(INDIRECT(ADDRESS(2,COLUMN())),OFFSET($CL$2,0,0,ROW()-1,84),ROW()-1,FALSE))</f>
        <v>271868</v>
      </c>
      <c r="BA33">
        <f ca="1">IF(AND(ISNUMBER($BA$95),$B$69=1),$BA$95,HLOOKUP(INDIRECT(ADDRESS(2,COLUMN())),OFFSET($CL$2,0,0,ROW()-1,84),ROW()-1,FALSE))</f>
        <v>257943</v>
      </c>
      <c r="BB33">
        <f ca="1">IF(AND(ISNUMBER($BB$95),$B$69=1),$BB$95,HLOOKUP(INDIRECT(ADDRESS(2,COLUMN())),OFFSET($CL$2,0,0,ROW()-1,84),ROW()-1,FALSE))</f>
        <v>272899</v>
      </c>
      <c r="BC33">
        <f ca="1">IF(AND(ISNUMBER($BC$95),$B$69=1),$BC$95,HLOOKUP(INDIRECT(ADDRESS(2,COLUMN())),OFFSET($CL$2,0,0,ROW()-1,84),ROW()-1,FALSE))</f>
        <v>303835</v>
      </c>
      <c r="BD33">
        <f ca="1">IF(AND(ISNUMBER($BD$95),$B$69=1),$BD$95,HLOOKUP(INDIRECT(ADDRESS(2,COLUMN())),OFFSET($CL$2,0,0,ROW()-1,84),ROW()-1,FALSE))</f>
        <v>295765</v>
      </c>
      <c r="BE33">
        <f ca="1">IF(AND(ISNUMBER($BE$95),$B$69=1),$BE$95,HLOOKUP(INDIRECT(ADDRESS(2,COLUMN())),OFFSET($CL$2,0,0,ROW()-1,84),ROW()-1,FALSE))</f>
        <v>301174</v>
      </c>
      <c r="BF33">
        <f ca="1">IF(AND(ISNUMBER($BF$95),$B$69=1),$BF$95,HLOOKUP(INDIRECT(ADDRESS(2,COLUMN())),OFFSET($CL$2,0,0,ROW()-1,84),ROW()-1,FALSE))</f>
        <v>285593</v>
      </c>
      <c r="BG33">
        <f ca="1">IF(AND(ISNUMBER($BG$95),$B$69=1),$BG$95,HLOOKUP(INDIRECT(ADDRESS(2,COLUMN())),OFFSET($CL$2,0,0,ROW()-1,84),ROW()-1,FALSE))</f>
        <v>276115</v>
      </c>
      <c r="BH33">
        <f ca="1">IF(AND(ISNUMBER($BH$95),$B$69=1),$BH$95,HLOOKUP(INDIRECT(ADDRESS(2,COLUMN())),OFFSET($CL$2,0,0,ROW()-1,84),ROW()-1,FALSE))</f>
        <v>290630</v>
      </c>
      <c r="BI33">
        <f ca="1">IF(AND(ISNUMBER($BI$95),$B$69=1),$BI$95,HLOOKUP(INDIRECT(ADDRESS(2,COLUMN())),OFFSET($CL$2,0,0,ROW()-1,84),ROW()-1,FALSE))</f>
        <v>269681</v>
      </c>
      <c r="BJ33">
        <f ca="1">IF(AND(ISNUMBER($BJ$95),$B$69=1),$BJ$95,HLOOKUP(INDIRECT(ADDRESS(2,COLUMN())),OFFSET($CL$2,0,0,ROW()-1,84),ROW()-1,FALSE))</f>
        <v>259831</v>
      </c>
      <c r="BK33">
        <f ca="1">IF(AND(ISNUMBER($BK$95),$B$69=1),$BK$95,HLOOKUP(INDIRECT(ADDRESS(2,COLUMN())),OFFSET($CL$2,0,0,ROW()-1,84),ROW()-1,FALSE))</f>
        <v>313527</v>
      </c>
      <c r="BL33">
        <f ca="1">IF(AND(ISNUMBER($BL$95),$B$69=1),$BL$95,HLOOKUP(INDIRECT(ADDRESS(2,COLUMN())),OFFSET($CL$2,0,0,ROW()-1,84),ROW()-1,FALSE))</f>
        <v>271715</v>
      </c>
      <c r="BM33">
        <f ca="1">IF(AND(ISNUMBER($BM$95),$B$69=1),$BM$95,HLOOKUP(INDIRECT(ADDRESS(2,COLUMN())),OFFSET($CL$2,0,0,ROW()-1,84),ROW()-1,FALSE))</f>
        <v>305325</v>
      </c>
      <c r="BN33">
        <f ca="1">IF(AND(ISNUMBER($BN$95),$B$69=1),$BN$95,HLOOKUP(INDIRECT(ADDRESS(2,COLUMN())),OFFSET($CL$2,0,0,ROW()-1,84),ROW()-1,FALSE))</f>
        <v>299258</v>
      </c>
      <c r="BO33">
        <f ca="1">IF(AND(ISNUMBER($BO$95),$B$69=1),$BO$95,HLOOKUP(INDIRECT(ADDRESS(2,COLUMN())),OFFSET($CL$2,0,0,ROW()-1,84),ROW()-1,FALSE))</f>
        <v>310982</v>
      </c>
      <c r="BP33">
        <f ca="1">IF(AND(ISNUMBER($BP$95),$B$69=1),$BP$95,HLOOKUP(INDIRECT(ADDRESS(2,COLUMN())),OFFSET($CL$2,0,0,ROW()-1,84),ROW()-1,FALSE))</f>
        <v>273638</v>
      </c>
      <c r="BQ33">
        <f ca="1">IF(AND(ISNUMBER($BQ$95),$B$69=1),$BQ$95,HLOOKUP(INDIRECT(ADDRESS(2,COLUMN())),OFFSET($CL$2,0,0,ROW()-1,84),ROW()-1,FALSE))</f>
        <v>298093</v>
      </c>
      <c r="BR33">
        <f ca="1">IF(AND(ISNUMBER($BR$95),$B$69=1),$BR$95,HLOOKUP(INDIRECT(ADDRESS(2,COLUMN())),OFFSET($CL$2,0,0,ROW()-1,84),ROW()-1,FALSE))</f>
        <v>285082</v>
      </c>
      <c r="BS33">
        <f ca="1">IF(AND(ISNUMBER($BS$95),$B$69=1),$BS$95,HLOOKUP(INDIRECT(ADDRESS(2,COLUMN())),OFFSET($CL$2,0,0,ROW()-1,84),ROW()-1,FALSE))</f>
        <v>292273</v>
      </c>
      <c r="BT33">
        <f ca="1">IF(AND(ISNUMBER($BT$95),$B$69=1),$BT$95,HLOOKUP(INDIRECT(ADDRESS(2,COLUMN())),OFFSET($CL$2,0,0,ROW()-1,84),ROW()-1,FALSE))</f>
        <v>258869</v>
      </c>
      <c r="BU33">
        <f ca="1">IF(AND(ISNUMBER($BU$95),$B$69=1),$BU$95,HLOOKUP(INDIRECT(ADDRESS(2,COLUMN())),OFFSET($CL$2,0,0,ROW()-1,84),ROW()-1,FALSE))</f>
        <v>286563</v>
      </c>
      <c r="BV33">
        <f ca="1">IF(AND(ISNUMBER($BV$95),$B$69=1),$BV$95,HLOOKUP(INDIRECT(ADDRESS(2,COLUMN())),OFFSET($CL$2,0,0,ROW()-1,84),ROW()-1,FALSE))</f>
        <v>248583</v>
      </c>
      <c r="BW33">
        <f ca="1">IF(AND(ISNUMBER($BW$95),$B$69=1),$BW$95,HLOOKUP(INDIRECT(ADDRESS(2,COLUMN())),OFFSET($CL$2,0,0,ROW()-1,84),ROW()-1,FALSE))</f>
        <v>266071</v>
      </c>
      <c r="BX33">
        <f ca="1">IF(AND(ISNUMBER($BX$95),$B$69=1),$BX$95,HLOOKUP(INDIRECT(ADDRESS(2,COLUMN())),OFFSET($CL$2,0,0,ROW()-1,84),ROW()-1,FALSE))</f>
        <v>270488</v>
      </c>
      <c r="BY33">
        <f ca="1">IF(AND(ISNUMBER($BY$95),$B$69=1),$BY$95,HLOOKUP(INDIRECT(ADDRESS(2,COLUMN())),OFFSET($CL$2,0,0,ROW()-1,84),ROW()-1,FALSE))</f>
        <v>289576</v>
      </c>
      <c r="BZ33">
        <f ca="1">IF(AND(ISNUMBER($BZ$95),$B$69=1),$BZ$95,HLOOKUP(INDIRECT(ADDRESS(2,COLUMN())),OFFSET($CL$2,0,0,ROW()-1,84),ROW()-1,FALSE))</f>
        <v>277257</v>
      </c>
      <c r="CA33">
        <f ca="1">IF(AND(ISNUMBER($CA$95),$B$69=1),$CA$95,HLOOKUP(INDIRECT(ADDRESS(2,COLUMN())),OFFSET($CL$2,0,0,ROW()-1,84),ROW()-1,FALSE))</f>
        <v>284965</v>
      </c>
      <c r="CB33">
        <f ca="1">IF(AND(ISNUMBER($CB$95),$B$69=1),$CB$95,HLOOKUP(INDIRECT(ADDRESS(2,COLUMN())),OFFSET($CL$2,0,0,ROW()-1,84),ROW()-1,FALSE))</f>
        <v>278538</v>
      </c>
      <c r="CC33">
        <f ca="1">IF(AND(ISNUMBER($CC$95),$B$69=1),$CC$95,HLOOKUP(INDIRECT(ADDRESS(2,COLUMN())),OFFSET($CL$2,0,0,ROW()-1,84),ROW()-1,FALSE))</f>
        <v>292867</v>
      </c>
      <c r="CD33">
        <f ca="1">IF(AND(ISNUMBER($CD$95),$B$69=1),$CD$95,HLOOKUP(INDIRECT(ADDRESS(2,COLUMN())),OFFSET($CL$2,0,0,ROW()-1,84),ROW()-1,FALSE))</f>
        <v>270895</v>
      </c>
      <c r="CE33">
        <f ca="1">IF(AND(ISNUMBER($CE$95),$B$69=1),$CE$95,HLOOKUP(INDIRECT(ADDRESS(2,COLUMN())),OFFSET($CL$2,0,0,ROW()-1,84),ROW()-1,FALSE))</f>
        <v>289948</v>
      </c>
      <c r="CF33">
        <f ca="1">IF(AND(ISNUMBER($CF$95),$B$69=1),$CF$95,HLOOKUP(INDIRECT(ADDRESS(2,COLUMN())),OFFSET($CL$2,0,0,ROW()-1,84),ROW()-1,FALSE))</f>
        <v>257451</v>
      </c>
      <c r="CG33">
        <f ca="1">IF(AND(ISNUMBER($CG$95),$B$69=1),$CG$95,HLOOKUP(INDIRECT(ADDRESS(2,COLUMN())),OFFSET($CL$2,0,0,ROW()-1,84),ROW()-1,FALSE))</f>
        <v>250204</v>
      </c>
      <c r="CH33">
        <f ca="1">IF(AND(ISNUMBER($CH$95),$B$69=1),$CH$95,HLOOKUP(INDIRECT(ADDRESS(2,COLUMN())),OFFSET($CL$2,0,0,ROW()-1,84),ROW()-1,FALSE))</f>
        <v>250514</v>
      </c>
      <c r="CI33">
        <f ca="1">IF(AND(ISNUMBER($CI$95),$B$69=1),$CI$95,HLOOKUP(INDIRECT(ADDRESS(2,COLUMN())),OFFSET($CL$2,0,0,ROW()-1,84),ROW()-1,FALSE))</f>
        <v>239522</v>
      </c>
      <c r="CJ33">
        <f ca="1">IF(AND(ISNUMBER($CJ$95),$B$69=1),$CJ$95,HLOOKUP(INDIRECT(ADDRESS(2,COLUMN())),OFFSET($CL$2,0,0,ROW()-1,84),ROW()-1,FALSE))</f>
        <v>239090</v>
      </c>
      <c r="CK33">
        <f ca="1">IF(AND(ISNUMBER($CK$95),$B$69=1),$CK$95,HLOOKUP(INDIRECT(ADDRESS(2,COLUMN())),OFFSET($CL$2,0,0,ROW()-1,84),ROW()-1,FALSE))</f>
        <v>245883</v>
      </c>
      <c r="CL33" t="str">
        <f>""</f>
        <v/>
      </c>
      <c r="CM33">
        <f>286241</f>
        <v>286241</v>
      </c>
      <c r="CN33">
        <f>253978</f>
        <v>253978</v>
      </c>
      <c r="CO33">
        <f>197511</f>
        <v>197511</v>
      </c>
      <c r="CP33">
        <f>285162</f>
        <v>285162</v>
      </c>
      <c r="CQ33">
        <f>280296</f>
        <v>280296</v>
      </c>
      <c r="CR33">
        <f>281171</f>
        <v>281171</v>
      </c>
      <c r="CS33">
        <f>226852</f>
        <v>226852</v>
      </c>
      <c r="CT33">
        <f>233950</f>
        <v>233950</v>
      </c>
      <c r="CU33">
        <f>247473</f>
        <v>247473</v>
      </c>
      <c r="CV33">
        <f>207013</f>
        <v>207013</v>
      </c>
      <c r="CW33">
        <f>275601</f>
        <v>275601</v>
      </c>
      <c r="CX33">
        <f>308542</f>
        <v>308542</v>
      </c>
      <c r="CY33">
        <f>325187</f>
        <v>325187</v>
      </c>
      <c r="CZ33">
        <f>331874</f>
        <v>331874</v>
      </c>
      <c r="DA33">
        <f>305600</f>
        <v>305600</v>
      </c>
      <c r="DB33">
        <f>319894</f>
        <v>319894</v>
      </c>
      <c r="DC33">
        <f>320182</f>
        <v>320182</v>
      </c>
      <c r="DD33">
        <f>327562</f>
        <v>327562</v>
      </c>
      <c r="DE33">
        <f>330693</f>
        <v>330693</v>
      </c>
      <c r="DF33">
        <f>252536</f>
        <v>252536</v>
      </c>
      <c r="DG33">
        <f>252612</f>
        <v>252612</v>
      </c>
      <c r="DH33">
        <f>254617</f>
        <v>254617</v>
      </c>
      <c r="DI33">
        <f>240583</f>
        <v>240583</v>
      </c>
      <c r="DJ33">
        <f>327146</f>
        <v>327146</v>
      </c>
      <c r="DK33">
        <f>311855</f>
        <v>311855</v>
      </c>
      <c r="DL33">
        <f>336695</f>
        <v>336695</v>
      </c>
      <c r="DM33">
        <f>265593</f>
        <v>265593</v>
      </c>
      <c r="DN33">
        <f>302003</f>
        <v>302003</v>
      </c>
      <c r="DO33">
        <f>371855</f>
        <v>371855</v>
      </c>
      <c r="DP33">
        <f>337271</f>
        <v>337271</v>
      </c>
      <c r="DQ33">
        <f>332258</f>
        <v>332258</v>
      </c>
      <c r="DR33">
        <f>280733</f>
        <v>280733</v>
      </c>
      <c r="DS33">
        <f>319972</f>
        <v>319972</v>
      </c>
      <c r="DT33">
        <f>321302</f>
        <v>321302</v>
      </c>
      <c r="DU33">
        <f>315721</f>
        <v>315721</v>
      </c>
      <c r="DV33">
        <f>359384</f>
        <v>359384</v>
      </c>
      <c r="DW33">
        <f>302737</f>
        <v>302737</v>
      </c>
      <c r="DX33">
        <f>300341</f>
        <v>300341</v>
      </c>
      <c r="DY33">
        <f>303559</f>
        <v>303559</v>
      </c>
      <c r="DZ33">
        <f>275171</f>
        <v>275171</v>
      </c>
      <c r="EA33">
        <f>276230</f>
        <v>276230</v>
      </c>
      <c r="EB33">
        <f>278223</f>
        <v>278223</v>
      </c>
      <c r="EC33">
        <f>237696</f>
        <v>237696</v>
      </c>
      <c r="ED33">
        <f>231560</f>
        <v>231560</v>
      </c>
      <c r="EE33">
        <f>265599</f>
        <v>265599</v>
      </c>
      <c r="EF33">
        <f>271868</f>
        <v>271868</v>
      </c>
      <c r="EG33">
        <f>257943</f>
        <v>257943</v>
      </c>
      <c r="EH33">
        <f>272899</f>
        <v>272899</v>
      </c>
      <c r="EI33">
        <f>303835</f>
        <v>303835</v>
      </c>
      <c r="EJ33">
        <f>295765</f>
        <v>295765</v>
      </c>
      <c r="EK33">
        <f>301174</f>
        <v>301174</v>
      </c>
      <c r="EL33">
        <f>285593</f>
        <v>285593</v>
      </c>
      <c r="EM33">
        <f>276115</f>
        <v>276115</v>
      </c>
      <c r="EN33">
        <f>290630</f>
        <v>290630</v>
      </c>
      <c r="EO33">
        <f>269681</f>
        <v>269681</v>
      </c>
      <c r="EP33">
        <f>259831</f>
        <v>259831</v>
      </c>
      <c r="EQ33">
        <f>313527</f>
        <v>313527</v>
      </c>
      <c r="ER33">
        <f>271715</f>
        <v>271715</v>
      </c>
      <c r="ES33">
        <f>305325</f>
        <v>305325</v>
      </c>
      <c r="ET33">
        <f>299258</f>
        <v>299258</v>
      </c>
      <c r="EU33">
        <f>310982</f>
        <v>310982</v>
      </c>
      <c r="EV33">
        <f>273638</f>
        <v>273638</v>
      </c>
      <c r="EW33">
        <f>298093</f>
        <v>298093</v>
      </c>
      <c r="EX33">
        <f>285082</f>
        <v>285082</v>
      </c>
      <c r="EY33">
        <f>292273</f>
        <v>292273</v>
      </c>
      <c r="EZ33">
        <f>258869</f>
        <v>258869</v>
      </c>
      <c r="FA33">
        <f>286563</f>
        <v>286563</v>
      </c>
      <c r="FB33">
        <f>248583</f>
        <v>248583</v>
      </c>
      <c r="FC33">
        <f>266071</f>
        <v>266071</v>
      </c>
      <c r="FD33">
        <f>270488</f>
        <v>270488</v>
      </c>
      <c r="FE33">
        <f>289576</f>
        <v>289576</v>
      </c>
      <c r="FF33">
        <f>277257</f>
        <v>277257</v>
      </c>
      <c r="FG33">
        <f>284965</f>
        <v>284965</v>
      </c>
      <c r="FH33">
        <f>278538</f>
        <v>278538</v>
      </c>
      <c r="FI33">
        <f>292867</f>
        <v>292867</v>
      </c>
      <c r="FJ33">
        <f>270895</f>
        <v>270895</v>
      </c>
      <c r="FK33">
        <f>289948</f>
        <v>289948</v>
      </c>
      <c r="FL33">
        <f>257451</f>
        <v>257451</v>
      </c>
      <c r="FM33">
        <f>250204</f>
        <v>250204</v>
      </c>
      <c r="FN33">
        <f>250514</f>
        <v>250514</v>
      </c>
      <c r="FO33">
        <f>239522</f>
        <v>239522</v>
      </c>
      <c r="FP33">
        <f>239090</f>
        <v>239090</v>
      </c>
      <c r="FQ33">
        <f>245883</f>
        <v>245883</v>
      </c>
    </row>
    <row r="34" spans="1:173" x14ac:dyDescent="0.25">
      <c r="A34" t="str">
        <f>"    Ports of Seattle/Tacoma Seaport Alliance (TEU)"</f>
        <v xml:space="preserve">    Ports of Seattle/Tacoma Seaport Alliance (TEU)</v>
      </c>
      <c r="B34" t="str">
        <f>"SEAXTOTL Index"</f>
        <v>SEAXTOTL Index</v>
      </c>
      <c r="C34" t="str">
        <f t="shared" si="0"/>
        <v>PX385</v>
      </c>
      <c r="D34" t="str">
        <f t="shared" si="1"/>
        <v>INTERVAL_SUM</v>
      </c>
      <c r="E34" t="str">
        <f t="shared" si="2"/>
        <v>Dynamic</v>
      </c>
      <c r="F34" t="str">
        <f ca="1">IF(AND(ISNUMBER($F$96),$B$69=1),$F$96,HLOOKUP(INDIRECT(ADDRESS(2,COLUMN())),OFFSET($CL$2,0,0,ROW()-1,84),ROW()-1,FALSE))</f>
        <v/>
      </c>
      <c r="G34">
        <f ca="1">IF(AND(ISNUMBER($G$96),$B$69=1),$G$96,HLOOKUP(INDIRECT(ADDRESS(2,COLUMN())),OFFSET($CL$2,0,0,ROW()-1,84),ROW()-1,FALSE))</f>
        <v>329609</v>
      </c>
      <c r="H34">
        <f ca="1">IF(AND(ISNUMBER($H$96),$B$69=1),$H$96,HLOOKUP(INDIRECT(ADDRESS(2,COLUMN())),OFFSET($CL$2,0,0,ROW()-1,84),ROW()-1,FALSE))</f>
        <v>242700</v>
      </c>
      <c r="I34">
        <f ca="1">IF(AND(ISNUMBER($I$96),$B$69=1),$I$96,HLOOKUP(INDIRECT(ADDRESS(2,COLUMN())),OFFSET($CL$2,0,0,ROW()-1,84),ROW()-1,FALSE))</f>
        <v>234875</v>
      </c>
      <c r="J34">
        <f ca="1">IF(AND(ISNUMBER($J$96),$B$69=1),$J$96,HLOOKUP(INDIRECT(ADDRESS(2,COLUMN())),OFFSET($CL$2,0,0,ROW()-1,84),ROW()-1,FALSE))</f>
        <v>254458</v>
      </c>
      <c r="K34">
        <f ca="1">IF(AND(ISNUMBER($K$96),$B$69=1),$K$96,HLOOKUP(INDIRECT(ADDRESS(2,COLUMN())),OFFSET($CL$2,0,0,ROW()-1,84),ROW()-1,FALSE))</f>
        <v>229974</v>
      </c>
      <c r="L34">
        <f ca="1">IF(AND(ISNUMBER($L$96),$B$69=1),$L$96,HLOOKUP(INDIRECT(ADDRESS(2,COLUMN())),OFFSET($CL$2,0,0,ROW()-1,84),ROW()-1,FALSE))</f>
        <v>232321</v>
      </c>
      <c r="M34">
        <f ca="1">IF(AND(ISNUMBER($M$96),$B$69=1),$M$96,HLOOKUP(INDIRECT(ADDRESS(2,COLUMN())),OFFSET($CL$2,0,0,ROW()-1,84),ROW()-1,FALSE))</f>
        <v>240979</v>
      </c>
      <c r="N34">
        <f ca="1">IF(AND(ISNUMBER($N$96),$B$69=1),$N$96,HLOOKUP(INDIRECT(ADDRESS(2,COLUMN())),OFFSET($CL$2,0,0,ROW()-1,84),ROW()-1,FALSE))</f>
        <v>225747</v>
      </c>
      <c r="O34">
        <f ca="1">IF(AND(ISNUMBER($O$96),$B$69=1),$O$96,HLOOKUP(INDIRECT(ADDRESS(2,COLUMN())),OFFSET($CL$2,0,0,ROW()-1,84),ROW()-1,FALSE))</f>
        <v>213095</v>
      </c>
      <c r="P34">
        <f ca="1">IF(AND(ISNUMBER($P$96),$B$69=1),$P$96,HLOOKUP(INDIRECT(ADDRESS(2,COLUMN())),OFFSET($CL$2,0,0,ROW()-1,84),ROW()-1,FALSE))</f>
        <v>231799</v>
      </c>
      <c r="Q34">
        <f ca="1">IF(AND(ISNUMBER($Q$96),$B$69=1),$Q$96,HLOOKUP(INDIRECT(ADDRESS(2,COLUMN())),OFFSET($CL$2,0,0,ROW()-1,84),ROW()-1,FALSE))</f>
        <v>247037</v>
      </c>
      <c r="R34">
        <f ca="1">IF(AND(ISNUMBER($R$96),$B$69=1),$R$96,HLOOKUP(INDIRECT(ADDRESS(2,COLUMN())),OFFSET($CL$2,0,0,ROW()-1,84),ROW()-1,FALSE))</f>
        <v>272129</v>
      </c>
      <c r="S34">
        <f ca="1">IF(AND(ISNUMBER($S$96),$B$69=1),$S$96,HLOOKUP(INDIRECT(ADDRESS(2,COLUMN())),OFFSET($CL$2,0,0,ROW()-1,84),ROW()-1,FALSE))</f>
        <v>285315</v>
      </c>
      <c r="T34">
        <f ca="1">IF(AND(ISNUMBER($T$96),$B$69=1),$T$96,HLOOKUP(INDIRECT(ADDRESS(2,COLUMN())),OFFSET($CL$2,0,0,ROW()-1,84),ROW()-1,FALSE))</f>
        <v>280436</v>
      </c>
      <c r="U34">
        <f ca="1">IF(AND(ISNUMBER($U$96),$B$69=1),$U$96,HLOOKUP(INDIRECT(ADDRESS(2,COLUMN())),OFFSET($CL$2,0,0,ROW()-1,84),ROW()-1,FALSE))</f>
        <v>260572</v>
      </c>
      <c r="V34">
        <f ca="1">IF(AND(ISNUMBER($V$96),$B$69=1),$V$96,HLOOKUP(INDIRECT(ADDRESS(2,COLUMN())),OFFSET($CL$2,0,0,ROW()-1,84),ROW()-1,FALSE))</f>
        <v>309123</v>
      </c>
      <c r="W34">
        <f ca="1">IF(AND(ISNUMBER($W$96),$B$69=1),$W$96,HLOOKUP(INDIRECT(ADDRESS(2,COLUMN())),OFFSET($CL$2,0,0,ROW()-1,84),ROW()-1,FALSE))</f>
        <v>329740</v>
      </c>
      <c r="X34">
        <f ca="1">IF(AND(ISNUMBER($X$96),$B$69=1),$X$96,HLOOKUP(INDIRECT(ADDRESS(2,COLUMN())),OFFSET($CL$2,0,0,ROW()-1,84),ROW()-1,FALSE))</f>
        <v>266635</v>
      </c>
      <c r="Y34">
        <f ca="1">IF(AND(ISNUMBER($Y$96),$B$69=1),$Y$96,HLOOKUP(INDIRECT(ADDRESS(2,COLUMN())),OFFSET($CL$2,0,0,ROW()-1,84),ROW()-1,FALSE))</f>
        <v>330906</v>
      </c>
      <c r="Z34">
        <f ca="1">IF(AND(ISNUMBER($Z$96),$B$69=1),$Z$96,HLOOKUP(INDIRECT(ADDRESS(2,COLUMN())),OFFSET($CL$2,0,0,ROW()-1,84),ROW()-1,FALSE))</f>
        <v>298046</v>
      </c>
      <c r="AA34">
        <f ca="1">IF(AND(ISNUMBER($AA$96),$B$69=1),$AA$96,HLOOKUP(INDIRECT(ADDRESS(2,COLUMN())),OFFSET($CL$2,0,0,ROW()-1,84),ROW()-1,FALSE))</f>
        <v>272281</v>
      </c>
      <c r="AB34">
        <f ca="1">IF(AND(ISNUMBER($AB$96),$B$69=1),$AB$96,HLOOKUP(INDIRECT(ADDRESS(2,COLUMN())),OFFSET($CL$2,0,0,ROW()-1,84),ROW()-1,FALSE))</f>
        <v>254102</v>
      </c>
      <c r="AC34">
        <f ca="1">IF(AND(ISNUMBER($AC$96),$B$69=1),$AC$96,HLOOKUP(INDIRECT(ADDRESS(2,COLUMN())),OFFSET($CL$2,0,0,ROW()-1,84),ROW()-1,FALSE))</f>
        <v>325604</v>
      </c>
      <c r="AD34">
        <f ca="1">IF(AND(ISNUMBER($AD$96),$B$69=1),$AD$96,HLOOKUP(INDIRECT(ADDRESS(2,COLUMN())),OFFSET($CL$2,0,0,ROW()-1,84),ROW()-1,FALSE))</f>
        <v>314801</v>
      </c>
      <c r="AE34">
        <f ca="1">IF(AND(ISNUMBER($AE$96),$B$69=1),$AE$96,HLOOKUP(INDIRECT(ADDRESS(2,COLUMN())),OFFSET($CL$2,0,0,ROW()-1,84),ROW()-1,FALSE))</f>
        <v>337513</v>
      </c>
      <c r="AF34">
        <f ca="1">IF(AND(ISNUMBER($AF$96),$B$69=1),$AF$96,HLOOKUP(INDIRECT(ADDRESS(2,COLUMN())),OFFSET($CL$2,0,0,ROW()-1,84),ROW()-1,FALSE))</f>
        <v>313127</v>
      </c>
      <c r="AG34">
        <f ca="1">IF(AND(ISNUMBER($AG$96),$B$69=1),$AG$96,HLOOKUP(INDIRECT(ADDRESS(2,COLUMN())),OFFSET($CL$2,0,0,ROW()-1,84),ROW()-1,FALSE))</f>
        <v>309722</v>
      </c>
      <c r="AH34">
        <f ca="1">IF(AND(ISNUMBER($AH$96),$B$69=1),$AH$96,HLOOKUP(INDIRECT(ADDRESS(2,COLUMN())),OFFSET($CL$2,0,0,ROW()-1,84),ROW()-1,FALSE))</f>
        <v>344573</v>
      </c>
      <c r="AI34">
        <f ca="1">IF(AND(ISNUMBER($AI$96),$B$69=1),$AI$96,HLOOKUP(INDIRECT(ADDRESS(2,COLUMN())),OFFSET($CL$2,0,0,ROW()-1,84),ROW()-1,FALSE))</f>
        <v>336397</v>
      </c>
      <c r="AJ34">
        <f ca="1">IF(AND(ISNUMBER($AJ$96),$B$69=1),$AJ$96,HLOOKUP(INDIRECT(ADDRESS(2,COLUMN())),OFFSET($CL$2,0,0,ROW()-1,84),ROW()-1,FALSE))</f>
        <v>303642</v>
      </c>
      <c r="AK34">
        <f ca="1">IF(AND(ISNUMBER($AK$96),$B$69=1),$AK$96,HLOOKUP(INDIRECT(ADDRESS(2,COLUMN())),OFFSET($CL$2,0,0,ROW()-1,84),ROW()-1,FALSE))</f>
        <v>339322</v>
      </c>
      <c r="AL34">
        <f ca="1">IF(AND(ISNUMBER($AL$96),$B$69=1),$AL$96,HLOOKUP(INDIRECT(ADDRESS(2,COLUMN())),OFFSET($CL$2,0,0,ROW()-1,84),ROW()-1,FALSE))</f>
        <v>268216</v>
      </c>
      <c r="AM34">
        <f ca="1">IF(AND(ISNUMBER($AM$96),$B$69=1),$AM$96,HLOOKUP(INDIRECT(ADDRESS(2,COLUMN())),OFFSET($CL$2,0,0,ROW()-1,84),ROW()-1,FALSE))</f>
        <v>289187</v>
      </c>
      <c r="AN34">
        <f ca="1">IF(AND(ISNUMBER($AN$96),$B$69=1),$AN$96,HLOOKUP(INDIRECT(ADDRESS(2,COLUMN())),OFFSET($CL$2,0,0,ROW()-1,84),ROW()-1,FALSE))</f>
        <v>301814</v>
      </c>
      <c r="AO34">
        <f ca="1">IF(AND(ISNUMBER($AO$96),$B$69=1),$AO$96,HLOOKUP(INDIRECT(ADDRESS(2,COLUMN())),OFFSET($CL$2,0,0,ROW()-1,84),ROW()-1,FALSE))</f>
        <v>301932</v>
      </c>
      <c r="AP34">
        <f ca="1">IF(AND(ISNUMBER($AP$96),$B$69=1),$AP$96,HLOOKUP(INDIRECT(ADDRESS(2,COLUMN())),OFFSET($CL$2,0,0,ROW()-1,84),ROW()-1,FALSE))</f>
        <v>296892</v>
      </c>
      <c r="AQ34">
        <f ca="1">IF(AND(ISNUMBER($AQ$96),$B$69=1),$AQ$96,HLOOKUP(INDIRECT(ADDRESS(2,COLUMN())),OFFSET($CL$2,0,0,ROW()-1,84),ROW()-1,FALSE))</f>
        <v>308682</v>
      </c>
      <c r="AR34">
        <f ca="1">IF(AND(ISNUMBER($AR$96),$B$69=1),$AR$96,HLOOKUP(INDIRECT(ADDRESS(2,COLUMN())),OFFSET($CL$2,0,0,ROW()-1,84),ROW()-1,FALSE))</f>
        <v>276407</v>
      </c>
      <c r="AS34">
        <f ca="1">IF(AND(ISNUMBER($AS$96),$B$69=1),$AS$96,HLOOKUP(INDIRECT(ADDRESS(2,COLUMN())),OFFSET($CL$2,0,0,ROW()-1,84),ROW()-1,FALSE))</f>
        <v>270388</v>
      </c>
      <c r="AT34">
        <f ca="1">IF(AND(ISNUMBER($AT$96),$B$69=1),$AT$96,HLOOKUP(INDIRECT(ADDRESS(2,COLUMN())),OFFSET($CL$2,0,0,ROW()-1,84),ROW()-1,FALSE))</f>
        <v>287036</v>
      </c>
      <c r="AU34">
        <f ca="1">IF(AND(ISNUMBER($AU$96),$B$69=1),$AU$96,HLOOKUP(INDIRECT(ADDRESS(2,COLUMN())),OFFSET($CL$2,0,0,ROW()-1,84),ROW()-1,FALSE))</f>
        <v>240671</v>
      </c>
      <c r="AV34">
        <f ca="1">IF(AND(ISNUMBER($AV$96),$B$69=1),$AV$96,HLOOKUP(INDIRECT(ADDRESS(2,COLUMN())),OFFSET($CL$2,0,0,ROW()-1,84),ROW()-1,FALSE))</f>
        <v>247675</v>
      </c>
      <c r="AW34">
        <f ca="1">IF(AND(ISNUMBER($AW$96),$B$69=1),$AW$96,HLOOKUP(INDIRECT(ADDRESS(2,COLUMN())),OFFSET($CL$2,0,0,ROW()-1,84),ROW()-1,FALSE))</f>
        <v>264133</v>
      </c>
      <c r="AX34">
        <f ca="1">IF(AND(ISNUMBER($AX$96),$B$69=1),$AX$96,HLOOKUP(INDIRECT(ADDRESS(2,COLUMN())),OFFSET($CL$2,0,0,ROW()-1,84),ROW()-1,FALSE))</f>
        <v>260932</v>
      </c>
      <c r="AY34">
        <f ca="1">IF(AND(ISNUMBER($AY$96),$B$69=1),$AY$96,HLOOKUP(INDIRECT(ADDRESS(2,COLUMN())),OFFSET($CL$2,0,0,ROW()-1,84),ROW()-1,FALSE))</f>
        <v>263816</v>
      </c>
      <c r="AZ34">
        <f ca="1">IF(AND(ISNUMBER($AZ$96),$B$69=1),$AZ$96,HLOOKUP(INDIRECT(ADDRESS(2,COLUMN())),OFFSET($CL$2,0,0,ROW()-1,84),ROW()-1,FALSE))</f>
        <v>284452</v>
      </c>
      <c r="BA34">
        <f ca="1">IF(AND(ISNUMBER($BA$96),$B$69=1),$BA$96,HLOOKUP(INDIRECT(ADDRESS(2,COLUMN())),OFFSET($CL$2,0,0,ROW()-1,84),ROW()-1,FALSE))</f>
        <v>271178</v>
      </c>
      <c r="BB34">
        <f ca="1">IF(AND(ISNUMBER($BB$96),$B$69=1),$BB$96,HLOOKUP(INDIRECT(ADDRESS(2,COLUMN())),OFFSET($CL$2,0,0,ROW()-1,84),ROW()-1,FALSE))</f>
        <v>310066</v>
      </c>
      <c r="BC34">
        <f ca="1">IF(AND(ISNUMBER($BC$96),$B$69=1),$BC$96,HLOOKUP(INDIRECT(ADDRESS(2,COLUMN())),OFFSET($CL$2,0,0,ROW()-1,84),ROW()-1,FALSE))</f>
        <v>347278</v>
      </c>
      <c r="BD34">
        <f ca="1">IF(AND(ISNUMBER($BD$96),$B$69=1),$BD$96,HLOOKUP(INDIRECT(ADDRESS(2,COLUMN())),OFFSET($CL$2,0,0,ROW()-1,84),ROW()-1,FALSE))</f>
        <v>320564</v>
      </c>
      <c r="BE34">
        <f ca="1">IF(AND(ISNUMBER($BE$96),$B$69=1),$BE$96,HLOOKUP(INDIRECT(ADDRESS(2,COLUMN())),OFFSET($CL$2,0,0,ROW()-1,84),ROW()-1,FALSE))</f>
        <v>326515</v>
      </c>
      <c r="BF34">
        <f ca="1">IF(AND(ISNUMBER($BF$96),$B$69=1),$BF$96,HLOOKUP(INDIRECT(ADDRESS(2,COLUMN())),OFFSET($CL$2,0,0,ROW()-1,84),ROW()-1,FALSE))</f>
        <v>343221</v>
      </c>
      <c r="BG34">
        <f ca="1">IF(AND(ISNUMBER($BG$96),$B$69=1),$BG$96,HLOOKUP(INDIRECT(ADDRESS(2,COLUMN())),OFFSET($CL$2,0,0,ROW()-1,84),ROW()-1,FALSE))</f>
        <v>315792</v>
      </c>
      <c r="BH34">
        <f ca="1">IF(AND(ISNUMBER($BH$96),$B$69=1),$BH$96,HLOOKUP(INDIRECT(ADDRESS(2,COLUMN())),OFFSET($CL$2,0,0,ROW()-1,84),ROW()-1,FALSE))</f>
        <v>323948</v>
      </c>
      <c r="BI34">
        <f ca="1">IF(AND(ISNUMBER($BI$96),$B$69=1),$BI$96,HLOOKUP(INDIRECT(ADDRESS(2,COLUMN())),OFFSET($CL$2,0,0,ROW()-1,84),ROW()-1,FALSE))</f>
        <v>336828</v>
      </c>
      <c r="BJ34">
        <f ca="1">IF(AND(ISNUMBER($BJ$96),$B$69=1),$BJ$96,HLOOKUP(INDIRECT(ADDRESS(2,COLUMN())),OFFSET($CL$2,0,0,ROW()-1,84),ROW()-1,FALSE))</f>
        <v>269233</v>
      </c>
      <c r="BK34">
        <f ca="1">IF(AND(ISNUMBER($BK$96),$B$69=1),$BK$96,HLOOKUP(INDIRECT(ADDRESS(2,COLUMN())),OFFSET($CL$2,0,0,ROW()-1,84),ROW()-1,FALSE))</f>
        <v>326228</v>
      </c>
      <c r="BL34">
        <f ca="1">IF(AND(ISNUMBER($BL$96),$B$69=1),$BL$96,HLOOKUP(INDIRECT(ADDRESS(2,COLUMN())),OFFSET($CL$2,0,0,ROW()-1,84),ROW()-1,FALSE))</f>
        <v>349055</v>
      </c>
      <c r="BM34">
        <f ca="1">IF(AND(ISNUMBER($BM$96),$B$69=1),$BM$96,HLOOKUP(INDIRECT(ADDRESS(2,COLUMN())),OFFSET($CL$2,0,0,ROW()-1,84),ROW()-1,FALSE))</f>
        <v>319242</v>
      </c>
      <c r="BN34">
        <f ca="1">IF(AND(ISNUMBER($BN$96),$B$69=1),$BN$96,HLOOKUP(INDIRECT(ADDRESS(2,COLUMN())),OFFSET($CL$2,0,0,ROW()-1,84),ROW()-1,FALSE))</f>
        <v>333995</v>
      </c>
      <c r="BO34">
        <f ca="1">IF(AND(ISNUMBER($BO$96),$B$69=1),$BO$96,HLOOKUP(INDIRECT(ADDRESS(2,COLUMN())),OFFSET($CL$2,0,0,ROW()-1,84),ROW()-1,FALSE))</f>
        <v>373845</v>
      </c>
      <c r="BP34">
        <f ca="1">IF(AND(ISNUMBER($BP$96),$B$69=1),$BP$96,HLOOKUP(INDIRECT(ADDRESS(2,COLUMN())),OFFSET($CL$2,0,0,ROW()-1,84),ROW()-1,FALSE))</f>
        <v>314321</v>
      </c>
      <c r="BQ34">
        <f ca="1">IF(AND(ISNUMBER($BQ$96),$B$69=1),$BQ$96,HLOOKUP(INDIRECT(ADDRESS(2,COLUMN())),OFFSET($CL$2,0,0,ROW()-1,84),ROW()-1,FALSE))</f>
        <v>327462</v>
      </c>
      <c r="BR34">
        <f ca="1">IF(AND(ISNUMBER($BR$96),$B$69=1),$BR$96,HLOOKUP(INDIRECT(ADDRESS(2,COLUMN())),OFFSET($CL$2,0,0,ROW()-1,84),ROW()-1,FALSE))</f>
        <v>351284</v>
      </c>
      <c r="BS34">
        <f ca="1">IF(AND(ISNUMBER($BS$96),$B$69=1),$BS$96,HLOOKUP(INDIRECT(ADDRESS(2,COLUMN())),OFFSET($CL$2,0,0,ROW()-1,84),ROW()-1,FALSE))</f>
        <v>309243</v>
      </c>
      <c r="BT34">
        <f ca="1">IF(AND(ISNUMBER($BT$96),$B$69=1),$BT$96,HLOOKUP(INDIRECT(ADDRESS(2,COLUMN())),OFFSET($CL$2,0,0,ROW()-1,84),ROW()-1,FALSE))</f>
        <v>279715</v>
      </c>
      <c r="BU34">
        <f ca="1">IF(AND(ISNUMBER($BU$96),$B$69=1),$BU$96,HLOOKUP(INDIRECT(ADDRESS(2,COLUMN())),OFFSET($CL$2,0,0,ROW()-1,84),ROW()-1,FALSE))</f>
        <v>302516</v>
      </c>
      <c r="BV34">
        <f ca="1">IF(AND(ISNUMBER($BV$96),$B$69=1),$BV$96,HLOOKUP(INDIRECT(ADDRESS(2,COLUMN())),OFFSET($CL$2,0,0,ROW()-1,84),ROW()-1,FALSE))</f>
        <v>280737</v>
      </c>
      <c r="BW34">
        <f ca="1">IF(AND(ISNUMBER($BW$96),$B$69=1),$BW$96,HLOOKUP(INDIRECT(ADDRESS(2,COLUMN())),OFFSET($CL$2,0,0,ROW()-1,84),ROW()-1,FALSE))</f>
        <v>256212</v>
      </c>
      <c r="BX34">
        <f ca="1">IF(AND(ISNUMBER($BX$96),$B$69=1),$BX$96,HLOOKUP(INDIRECT(ADDRESS(2,COLUMN())),OFFSET($CL$2,0,0,ROW()-1,84),ROW()-1,FALSE))</f>
        <v>312782</v>
      </c>
      <c r="BY34">
        <f ca="1">IF(AND(ISNUMBER($BY$96),$B$69=1),$BY$96,HLOOKUP(INDIRECT(ADDRESS(2,COLUMN())),OFFSET($CL$2,0,0,ROW()-1,84),ROW()-1,FALSE))</f>
        <v>299150</v>
      </c>
      <c r="BZ34">
        <f ca="1">IF(AND(ISNUMBER($BZ$96),$B$69=1),$BZ$96,HLOOKUP(INDIRECT(ADDRESS(2,COLUMN())),OFFSET($CL$2,0,0,ROW()-1,84),ROW()-1,FALSE))</f>
        <v>303951</v>
      </c>
      <c r="CA34">
        <f ca="1">IF(AND(ISNUMBER($CA$96),$B$69=1),$CA$96,HLOOKUP(INDIRECT(ADDRESS(2,COLUMN())),OFFSET($CL$2,0,0,ROW()-1,84),ROW()-1,FALSE))</f>
        <v>323477</v>
      </c>
      <c r="CB34">
        <f ca="1">IF(AND(ISNUMBER($CB$96),$B$69=1),$CB$96,HLOOKUP(INDIRECT(ADDRESS(2,COLUMN())),OFFSET($CL$2,0,0,ROW()-1,84),ROW()-1,FALSE))</f>
        <v>337719</v>
      </c>
      <c r="CC34">
        <f ca="1">IF(AND(ISNUMBER($CC$96),$B$69=1),$CC$96,HLOOKUP(INDIRECT(ADDRESS(2,COLUMN())),OFFSET($CL$2,0,0,ROW()-1,84),ROW()-1,FALSE))</f>
        <v>295968</v>
      </c>
      <c r="CD34">
        <f ca="1">IF(AND(ISNUMBER($CD$96),$B$69=1),$CD$96,HLOOKUP(INDIRECT(ADDRESS(2,COLUMN())),OFFSET($CL$2,0,0,ROW()-1,84),ROW()-1,FALSE))</f>
        <v>323409</v>
      </c>
      <c r="CE34">
        <f ca="1">IF(AND(ISNUMBER($CE$96),$B$69=1),$CE$96,HLOOKUP(INDIRECT(ADDRESS(2,COLUMN())),OFFSET($CL$2,0,0,ROW()-1,84),ROW()-1,FALSE))</f>
        <v>323581</v>
      </c>
      <c r="CF34">
        <f ca="1">IF(AND(ISNUMBER($CF$96),$B$69=1),$CF$96,HLOOKUP(INDIRECT(ADDRESS(2,COLUMN())),OFFSET($CL$2,0,0,ROW()-1,84),ROW()-1,FALSE))</f>
        <v>282772</v>
      </c>
      <c r="CG34">
        <f ca="1">IF(AND(ISNUMBER($CG$96),$B$69=1),$CG$96,HLOOKUP(INDIRECT(ADDRESS(2,COLUMN())),OFFSET($CL$2,0,0,ROW()-1,84),ROW()-1,FALSE))</f>
        <v>334473</v>
      </c>
      <c r="CH34">
        <f ca="1">IF(AND(ISNUMBER($CH$96),$B$69=1),$CH$96,HLOOKUP(INDIRECT(ADDRESS(2,COLUMN())),OFFSET($CL$2,0,0,ROW()-1,84),ROW()-1,FALSE))</f>
        <v>263718</v>
      </c>
      <c r="CI34">
        <f ca="1">IF(AND(ISNUMBER($CI$96),$B$69=1),$CI$96,HLOOKUP(INDIRECT(ADDRESS(2,COLUMN())),OFFSET($CL$2,0,0,ROW()-1,84),ROW()-1,FALSE))</f>
        <v>301174</v>
      </c>
      <c r="CJ34">
        <f ca="1">IF(AND(ISNUMBER($CJ$96),$B$69=1),$CJ$96,HLOOKUP(INDIRECT(ADDRESS(2,COLUMN())),OFFSET($CL$2,0,0,ROW()-1,84),ROW()-1,FALSE))</f>
        <v>316217</v>
      </c>
      <c r="CK34">
        <f ca="1">IF(AND(ISNUMBER($CK$96),$B$69=1),$CK$96,HLOOKUP(INDIRECT(ADDRESS(2,COLUMN())),OFFSET($CL$2,0,0,ROW()-1,84),ROW()-1,FALSE))</f>
        <v>336379</v>
      </c>
      <c r="CL34" t="str">
        <f>""</f>
        <v/>
      </c>
      <c r="CM34">
        <f>329609</f>
        <v>329609</v>
      </c>
      <c r="CN34">
        <f>242700</f>
        <v>242700</v>
      </c>
      <c r="CO34">
        <f>234875</f>
        <v>234875</v>
      </c>
      <c r="CP34">
        <f>254458</f>
        <v>254458</v>
      </c>
      <c r="CQ34">
        <f>229974</f>
        <v>229974</v>
      </c>
      <c r="CR34">
        <f>232321</f>
        <v>232321</v>
      </c>
      <c r="CS34">
        <f>240979</f>
        <v>240979</v>
      </c>
      <c r="CT34">
        <f>225747</f>
        <v>225747</v>
      </c>
      <c r="CU34">
        <f>213095</f>
        <v>213095</v>
      </c>
      <c r="CV34">
        <f>231799</f>
        <v>231799</v>
      </c>
      <c r="CW34">
        <f>247037</f>
        <v>247037</v>
      </c>
      <c r="CX34">
        <f>272129</f>
        <v>272129</v>
      </c>
      <c r="CY34">
        <f>285315</f>
        <v>285315</v>
      </c>
      <c r="CZ34">
        <f>280436</f>
        <v>280436</v>
      </c>
      <c r="DA34">
        <f>260572</f>
        <v>260572</v>
      </c>
      <c r="DB34">
        <f>309123</f>
        <v>309123</v>
      </c>
      <c r="DC34">
        <f>329740</f>
        <v>329740</v>
      </c>
      <c r="DD34">
        <f>266635</f>
        <v>266635</v>
      </c>
      <c r="DE34">
        <f>330906</f>
        <v>330906</v>
      </c>
      <c r="DF34">
        <f>298046</f>
        <v>298046</v>
      </c>
      <c r="DG34">
        <f>272281</f>
        <v>272281</v>
      </c>
      <c r="DH34">
        <f>254102</f>
        <v>254102</v>
      </c>
      <c r="DI34">
        <f>325604</f>
        <v>325604</v>
      </c>
      <c r="DJ34">
        <f>314801</f>
        <v>314801</v>
      </c>
      <c r="DK34">
        <f>337513</f>
        <v>337513</v>
      </c>
      <c r="DL34">
        <f>313127</f>
        <v>313127</v>
      </c>
      <c r="DM34">
        <f>309722</f>
        <v>309722</v>
      </c>
      <c r="DN34">
        <f>344573</f>
        <v>344573</v>
      </c>
      <c r="DO34">
        <f>336397</f>
        <v>336397</v>
      </c>
      <c r="DP34">
        <f>303642</f>
        <v>303642</v>
      </c>
      <c r="DQ34">
        <f>339322</f>
        <v>339322</v>
      </c>
      <c r="DR34">
        <f>268216</f>
        <v>268216</v>
      </c>
      <c r="DS34">
        <f>289187</f>
        <v>289187</v>
      </c>
      <c r="DT34">
        <f>301814</f>
        <v>301814</v>
      </c>
      <c r="DU34">
        <f>301932</f>
        <v>301932</v>
      </c>
      <c r="DV34">
        <f>296892</f>
        <v>296892</v>
      </c>
      <c r="DW34">
        <f>308682</f>
        <v>308682</v>
      </c>
      <c r="DX34">
        <f>276407</f>
        <v>276407</v>
      </c>
      <c r="DY34">
        <f>270388</f>
        <v>270388</v>
      </c>
      <c r="DZ34">
        <f>287036</f>
        <v>287036</v>
      </c>
      <c r="EA34">
        <f>240671</f>
        <v>240671</v>
      </c>
      <c r="EB34">
        <f>247675</f>
        <v>247675</v>
      </c>
      <c r="EC34">
        <f>264133</f>
        <v>264133</v>
      </c>
      <c r="ED34">
        <f>260932</f>
        <v>260932</v>
      </c>
      <c r="EE34">
        <f>263816</f>
        <v>263816</v>
      </c>
      <c r="EF34">
        <f>284452</f>
        <v>284452</v>
      </c>
      <c r="EG34">
        <f>271178</f>
        <v>271178</v>
      </c>
      <c r="EH34">
        <f>310066</f>
        <v>310066</v>
      </c>
      <c r="EI34">
        <f>347278</f>
        <v>347278</v>
      </c>
      <c r="EJ34">
        <f>320564</f>
        <v>320564</v>
      </c>
      <c r="EK34">
        <f>326515</f>
        <v>326515</v>
      </c>
      <c r="EL34">
        <f>343221</f>
        <v>343221</v>
      </c>
      <c r="EM34">
        <f>315792</f>
        <v>315792</v>
      </c>
      <c r="EN34">
        <f>323948</f>
        <v>323948</v>
      </c>
      <c r="EO34">
        <f>336828</f>
        <v>336828</v>
      </c>
      <c r="EP34">
        <f>269233</f>
        <v>269233</v>
      </c>
      <c r="EQ34">
        <f>326228</f>
        <v>326228</v>
      </c>
      <c r="ER34">
        <f>349055</f>
        <v>349055</v>
      </c>
      <c r="ES34">
        <f>319242</f>
        <v>319242</v>
      </c>
      <c r="ET34">
        <f>333995</f>
        <v>333995</v>
      </c>
      <c r="EU34">
        <f>373845</f>
        <v>373845</v>
      </c>
      <c r="EV34">
        <f>314321</f>
        <v>314321</v>
      </c>
      <c r="EW34">
        <f>327462</f>
        <v>327462</v>
      </c>
      <c r="EX34">
        <f>351284</f>
        <v>351284</v>
      </c>
      <c r="EY34">
        <f>309243</f>
        <v>309243</v>
      </c>
      <c r="EZ34">
        <f>279715</f>
        <v>279715</v>
      </c>
      <c r="FA34">
        <f>302516</f>
        <v>302516</v>
      </c>
      <c r="FB34">
        <f>280737</f>
        <v>280737</v>
      </c>
      <c r="FC34">
        <f>256212</f>
        <v>256212</v>
      </c>
      <c r="FD34">
        <f>312782</f>
        <v>312782</v>
      </c>
      <c r="FE34">
        <f>299150</f>
        <v>299150</v>
      </c>
      <c r="FF34">
        <f>303951</f>
        <v>303951</v>
      </c>
      <c r="FG34">
        <f>323477</f>
        <v>323477</v>
      </c>
      <c r="FH34">
        <f>337719</f>
        <v>337719</v>
      </c>
      <c r="FI34">
        <f>295968</f>
        <v>295968</v>
      </c>
      <c r="FJ34">
        <f>323409</f>
        <v>323409</v>
      </c>
      <c r="FK34">
        <f>323581</f>
        <v>323581</v>
      </c>
      <c r="FL34">
        <f>282772</f>
        <v>282772</v>
      </c>
      <c r="FM34">
        <f>334473</f>
        <v>334473</v>
      </c>
      <c r="FN34">
        <f>263718</f>
        <v>263718</v>
      </c>
      <c r="FO34">
        <f>301174</f>
        <v>301174</v>
      </c>
      <c r="FP34">
        <f>316217</f>
        <v>316217</v>
      </c>
      <c r="FQ34">
        <f>336379</f>
        <v>336379</v>
      </c>
    </row>
    <row r="35" spans="1:173" x14ac:dyDescent="0.25">
      <c r="A35" t="str">
        <f>"    Port of Oakland (TEU)"</f>
        <v xml:space="preserve">    Port of Oakland (TEU)</v>
      </c>
      <c r="B35" t="str">
        <f>"POOKTOTL Index"</f>
        <v>POOKTOTL Index</v>
      </c>
      <c r="C35" t="str">
        <f t="shared" si="0"/>
        <v>PX385</v>
      </c>
      <c r="D35" t="str">
        <f t="shared" si="1"/>
        <v>INTERVAL_SUM</v>
      </c>
      <c r="E35" t="str">
        <f t="shared" si="2"/>
        <v>Dynamic</v>
      </c>
      <c r="F35" t="str">
        <f ca="1">IF(AND(ISNUMBER($F$97),$B$69=1),$F$97,HLOOKUP(INDIRECT(ADDRESS(2,COLUMN())),OFFSET($CL$2,0,0,ROW()-1,84),ROW()-1,FALSE))</f>
        <v/>
      </c>
      <c r="G35">
        <f ca="1">IF(AND(ISNUMBER($G$97),$B$69=1),$G$97,HLOOKUP(INDIRECT(ADDRESS(2,COLUMN())),OFFSET($CL$2,0,0,ROW()-1,84),ROW()-1,FALSE))</f>
        <v>171822</v>
      </c>
      <c r="H35">
        <f ca="1">IF(AND(ISNUMBER($H$97),$B$69=1),$H$97,HLOOKUP(INDIRECT(ADDRESS(2,COLUMN())),OFFSET($CL$2,0,0,ROW()-1,84),ROW()-1,FALSE))</f>
        <v>179160.5</v>
      </c>
      <c r="I35">
        <f ca="1">IF(AND(ISNUMBER($I$97),$B$69=1),$I$97,HLOOKUP(INDIRECT(ADDRESS(2,COLUMN())),OFFSET($CL$2,0,0,ROW()-1,84),ROW()-1,FALSE))</f>
        <v>181555.25</v>
      </c>
      <c r="J35">
        <f ca="1">IF(AND(ISNUMBER($J$97),$B$69=1),$J$97,HLOOKUP(INDIRECT(ADDRESS(2,COLUMN())),OFFSET($CL$2,0,0,ROW()-1,84),ROW()-1,FALSE))</f>
        <v>155827.25</v>
      </c>
      <c r="K35">
        <f ca="1">IF(AND(ISNUMBER($K$97),$B$69=1),$K$97,HLOOKUP(INDIRECT(ADDRESS(2,COLUMN())),OFFSET($CL$2,0,0,ROW()-1,84),ROW()-1,FALSE))</f>
        <v>178513.25</v>
      </c>
      <c r="L35">
        <f ca="1">IF(AND(ISNUMBER($L$97),$B$69=1),$L$97,HLOOKUP(INDIRECT(ADDRESS(2,COLUMN())),OFFSET($CL$2,0,0,ROW()-1,84),ROW()-1,FALSE))</f>
        <v>174481.5</v>
      </c>
      <c r="M35">
        <f ca="1">IF(AND(ISNUMBER($M$97),$B$69=1),$M$97,HLOOKUP(INDIRECT(ADDRESS(2,COLUMN())),OFFSET($CL$2,0,0,ROW()-1,84),ROW()-1,FALSE))</f>
        <v>170267.5</v>
      </c>
      <c r="N35">
        <f ca="1">IF(AND(ISNUMBER($N$97),$B$69=1),$N$97,HLOOKUP(INDIRECT(ADDRESS(2,COLUMN())),OFFSET($CL$2,0,0,ROW()-1,84),ROW()-1,FALSE))</f>
        <v>153836.75</v>
      </c>
      <c r="O35">
        <f ca="1">IF(AND(ISNUMBER($O$97),$B$69=1),$O$97,HLOOKUP(INDIRECT(ADDRESS(2,COLUMN())),OFFSET($CL$2,0,0,ROW()-1,84),ROW()-1,FALSE))</f>
        <v>179227.75</v>
      </c>
      <c r="P35">
        <f ca="1">IF(AND(ISNUMBER($P$97),$B$69=1),$P$97,HLOOKUP(INDIRECT(ADDRESS(2,COLUMN())),OFFSET($CL$2,0,0,ROW()-1,84),ROW()-1,FALSE))</f>
        <v>163027.25</v>
      </c>
      <c r="Q35">
        <f ca="1">IF(AND(ISNUMBER($Q$97),$B$69=1),$Q$97,HLOOKUP(INDIRECT(ADDRESS(2,COLUMN())),OFFSET($CL$2,0,0,ROW()-1,84),ROW()-1,FALSE))</f>
        <v>184606.25</v>
      </c>
      <c r="R35">
        <f ca="1">IF(AND(ISNUMBER($R$97),$B$69=1),$R$97,HLOOKUP(INDIRECT(ADDRESS(2,COLUMN())),OFFSET($CL$2,0,0,ROW()-1,84),ROW()-1,FALSE))</f>
        <v>202487</v>
      </c>
      <c r="S35">
        <f ca="1">IF(AND(ISNUMBER($S$97),$B$69=1),$S$97,HLOOKUP(INDIRECT(ADDRESS(2,COLUMN())),OFFSET($CL$2,0,0,ROW()-1,84),ROW()-1,FALSE))</f>
        <v>184729.45</v>
      </c>
      <c r="T35">
        <f ca="1">IF(AND(ISNUMBER($T$97),$B$69=1),$T$97,HLOOKUP(INDIRECT(ADDRESS(2,COLUMN())),OFFSET($CL$2,0,0,ROW()-1,84),ROW()-1,FALSE))</f>
        <v>211122.5</v>
      </c>
      <c r="U35">
        <f ca="1">IF(AND(ISNUMBER($U$97),$B$69=1),$U$97,HLOOKUP(INDIRECT(ADDRESS(2,COLUMN())),OFFSET($CL$2,0,0,ROW()-1,84),ROW()-1,FALSE))</f>
        <v>160356</v>
      </c>
      <c r="V35">
        <f ca="1">IF(AND(ISNUMBER($V$97),$B$69=1),$V$97,HLOOKUP(INDIRECT(ADDRESS(2,COLUMN())),OFFSET($CL$2,0,0,ROW()-1,84),ROW()-1,FALSE))</f>
        <v>216096</v>
      </c>
      <c r="W35">
        <f ca="1">IF(AND(ISNUMBER($W$97),$B$69=1),$W$97,HLOOKUP(INDIRECT(ADDRESS(2,COLUMN())),OFFSET($CL$2,0,0,ROW()-1,84),ROW()-1,FALSE))</f>
        <v>224301.5</v>
      </c>
      <c r="X35">
        <f ca="1">IF(AND(ISNUMBER($X$97),$B$69=1),$X$97,HLOOKUP(INDIRECT(ADDRESS(2,COLUMN())),OFFSET($CL$2,0,0,ROW()-1,84),ROW()-1,FALSE))</f>
        <v>188442</v>
      </c>
      <c r="Y35">
        <f ca="1">IF(AND(ISNUMBER($Y$97),$B$69=1),$Y$97,HLOOKUP(INDIRECT(ADDRESS(2,COLUMN())),OFFSET($CL$2,0,0,ROW()-1,84),ROW()-1,FALSE))</f>
        <v>214460.5</v>
      </c>
      <c r="Z35">
        <f ca="1">IF(AND(ISNUMBER($Z$97),$B$69=1),$Z$97,HLOOKUP(INDIRECT(ADDRESS(2,COLUMN())),OFFSET($CL$2,0,0,ROW()-1,84),ROW()-1,FALSE))</f>
        <v>194784</v>
      </c>
      <c r="AA35">
        <f ca="1">IF(AND(ISNUMBER($AA$97),$B$69=1),$AA$97,HLOOKUP(INDIRECT(ADDRESS(2,COLUMN())),OFFSET($CL$2,0,0,ROW()-1,84),ROW()-1,FALSE))</f>
        <v>193194.75</v>
      </c>
      <c r="AB35">
        <f ca="1">IF(AND(ISNUMBER($AB$97),$B$69=1),$AB$97,HLOOKUP(INDIRECT(ADDRESS(2,COLUMN())),OFFSET($CL$2,0,0,ROW()-1,84),ROW()-1,FALSE))</f>
        <v>169650</v>
      </c>
      <c r="AC35">
        <f ca="1">IF(AND(ISNUMBER($AC$97),$B$69=1),$AC$97,HLOOKUP(INDIRECT(ADDRESS(2,COLUMN())),OFFSET($CL$2,0,0,ROW()-1,84),ROW()-1,FALSE))</f>
        <v>189096.1</v>
      </c>
      <c r="AD35">
        <f ca="1">IF(AND(ISNUMBER($AD$97),$B$69=1),$AD$97,HLOOKUP(INDIRECT(ADDRESS(2,COLUMN())),OFFSET($CL$2,0,0,ROW()-1,84),ROW()-1,FALSE))</f>
        <v>173307.85</v>
      </c>
      <c r="AE35">
        <f ca="1">IF(AND(ISNUMBER($AE$97),$B$69=1),$AE$97,HLOOKUP(INDIRECT(ADDRESS(2,COLUMN())),OFFSET($CL$2,0,0,ROW()-1,84),ROW()-1,FALSE))</f>
        <v>183272.75</v>
      </c>
      <c r="AF35">
        <f ca="1">IF(AND(ISNUMBER($AF$97),$B$69=1),$AF$97,HLOOKUP(INDIRECT(ADDRESS(2,COLUMN())),OFFSET($CL$2,0,0,ROW()-1,84),ROW()-1,FALSE))</f>
        <v>220050.3</v>
      </c>
      <c r="AG35">
        <f ca="1">IF(AND(ISNUMBER($AG$97),$B$69=1),$AG$97,HLOOKUP(INDIRECT(ADDRESS(2,COLUMN())),OFFSET($CL$2,0,0,ROW()-1,84),ROW()-1,FALSE))</f>
        <v>211394.35</v>
      </c>
      <c r="AH35">
        <f ca="1">IF(AND(ISNUMBER($AH$97),$B$69=1),$AH$97,HLOOKUP(INDIRECT(ADDRESS(2,COLUMN())),OFFSET($CL$2,0,0,ROW()-1,84),ROW()-1,FALSE))</f>
        <v>222482.9</v>
      </c>
      <c r="AI35">
        <f ca="1">IF(AND(ISNUMBER($AI$97),$B$69=1),$AI$97,HLOOKUP(INDIRECT(ADDRESS(2,COLUMN())),OFFSET($CL$2,0,0,ROW()-1,84),ROW()-1,FALSE))</f>
        <v>226407.9</v>
      </c>
      <c r="AJ35">
        <f ca="1">IF(AND(ISNUMBER($AJ$97),$B$69=1),$AJ$97,HLOOKUP(INDIRECT(ADDRESS(2,COLUMN())),OFFSET($CL$2,0,0,ROW()-1,84),ROW()-1,FALSE))</f>
        <v>221837.5</v>
      </c>
      <c r="AK35">
        <f ca="1">IF(AND(ISNUMBER($AK$97),$B$69=1),$AK$97,HLOOKUP(INDIRECT(ADDRESS(2,COLUMN())),OFFSET($CL$2,0,0,ROW()-1,84),ROW()-1,FALSE))</f>
        <v>241467.15</v>
      </c>
      <c r="AL35">
        <f ca="1">IF(AND(ISNUMBER($AL$97),$B$69=1),$AL$97,HLOOKUP(INDIRECT(ADDRESS(2,COLUMN())),OFFSET($CL$2,0,0,ROW()-1,84),ROW()-1,FALSE))</f>
        <v>190488.5</v>
      </c>
      <c r="AM35">
        <f ca="1">IF(AND(ISNUMBER($AM$97),$B$69=1),$AM$97,HLOOKUP(INDIRECT(ADDRESS(2,COLUMN())),OFFSET($CL$2,0,0,ROW()-1,84),ROW()-1,FALSE))</f>
        <v>199097.7</v>
      </c>
      <c r="AN35">
        <f ca="1">IF(AND(ISNUMBER($AN$97),$B$69=1),$AN$97,HLOOKUP(INDIRECT(ADDRESS(2,COLUMN())),OFFSET($CL$2,0,0,ROW()-1,84),ROW()-1,FALSE))</f>
        <v>208339.25</v>
      </c>
      <c r="AO35">
        <f ca="1">IF(AND(ISNUMBER($AO$97),$B$69=1),$AO$97,HLOOKUP(INDIRECT(ADDRESS(2,COLUMN())),OFFSET($CL$2,0,0,ROW()-1,84),ROW()-1,FALSE))</f>
        <v>197694.7</v>
      </c>
      <c r="AP35">
        <f ca="1">IF(AND(ISNUMBER($AP$97),$B$69=1),$AP$97,HLOOKUP(INDIRECT(ADDRESS(2,COLUMN())),OFFSET($CL$2,0,0,ROW()-1,84),ROW()-1,FALSE))</f>
        <v>216664</v>
      </c>
      <c r="AQ35">
        <f ca="1">IF(AND(ISNUMBER($AQ$97),$B$69=1),$AQ$97,HLOOKUP(INDIRECT(ADDRESS(2,COLUMN())),OFFSET($CL$2,0,0,ROW()-1,84),ROW()-1,FALSE))</f>
        <v>225806.5</v>
      </c>
      <c r="AR35">
        <f ca="1">IF(AND(ISNUMBER($AR$97),$B$69=1),$AR$97,HLOOKUP(INDIRECT(ADDRESS(2,COLUMN())),OFFSET($CL$2,0,0,ROW()-1,84),ROW()-1,FALSE))</f>
        <v>225489.15</v>
      </c>
      <c r="AS35">
        <f ca="1">IF(AND(ISNUMBER($AS$97),$B$69=1),$AS$97,HLOOKUP(INDIRECT(ADDRESS(2,COLUMN())),OFFSET($CL$2,0,0,ROW()-1,84),ROW()-1,FALSE))</f>
        <v>219080.3</v>
      </c>
      <c r="AT35">
        <f ca="1">IF(AND(ISNUMBER($AT$97),$B$69=1),$AT$97,HLOOKUP(INDIRECT(ADDRESS(2,COLUMN())),OFFSET($CL$2,0,0,ROW()-1,84),ROW()-1,FALSE))</f>
        <v>199011.45</v>
      </c>
      <c r="AU35">
        <f ca="1">IF(AND(ISNUMBER($AU$97),$B$69=1),$AU$97,HLOOKUP(INDIRECT(ADDRESS(2,COLUMN())),OFFSET($CL$2,0,0,ROW()-1,84),ROW()-1,FALSE))</f>
        <v>185594.7</v>
      </c>
      <c r="AV35">
        <f ca="1">IF(AND(ISNUMBER($AV$97),$B$69=1),$AV$97,HLOOKUP(INDIRECT(ADDRESS(2,COLUMN())),OFFSET($CL$2,0,0,ROW()-1,84),ROW()-1,FALSE))</f>
        <v>201918.4</v>
      </c>
      <c r="AW35">
        <f ca="1">IF(AND(ISNUMBER($AW$97),$B$69=1),$AW$97,HLOOKUP(INDIRECT(ADDRESS(2,COLUMN())),OFFSET($CL$2,0,0,ROW()-1,84),ROW()-1,FALSE))</f>
        <v>190187.7</v>
      </c>
      <c r="AX35">
        <f ca="1">IF(AND(ISNUMBER($AX$97),$B$69=1),$AX$97,HLOOKUP(INDIRECT(ADDRESS(2,COLUMN())),OFFSET($CL$2,0,0,ROW()-1,84),ROW()-1,FALSE))</f>
        <v>180874.9</v>
      </c>
      <c r="AY35">
        <f ca="1">IF(AND(ISNUMBER($AY$97),$B$69=1),$AY$97,HLOOKUP(INDIRECT(ADDRESS(2,COLUMN())),OFFSET($CL$2,0,0,ROW()-1,84),ROW()-1,FALSE))</f>
        <v>211227.95</v>
      </c>
      <c r="AZ35">
        <f ca="1">IF(AND(ISNUMBER($AZ$97),$B$69=1),$AZ$97,HLOOKUP(INDIRECT(ADDRESS(2,COLUMN())),OFFSET($CL$2,0,0,ROW()-1,84),ROW()-1,FALSE))</f>
        <v>193963.3</v>
      </c>
      <c r="BA35">
        <f ca="1">IF(AND(ISNUMBER($BA$97),$B$69=1),$BA$97,HLOOKUP(INDIRECT(ADDRESS(2,COLUMN())),OFFSET($CL$2,0,0,ROW()-1,84),ROW()-1,FALSE))</f>
        <v>197360.35</v>
      </c>
      <c r="BB35">
        <f ca="1">IF(AND(ISNUMBER($BB$97),$B$69=1),$BB$97,HLOOKUP(INDIRECT(ADDRESS(2,COLUMN())),OFFSET($CL$2,0,0,ROW()-1,84),ROW()-1,FALSE))</f>
        <v>204879.8</v>
      </c>
      <c r="BC35">
        <f ca="1">IF(AND(ISNUMBER($BC$97),$B$69=1),$BC$97,HLOOKUP(INDIRECT(ADDRESS(2,COLUMN())),OFFSET($CL$2,0,0,ROW()-1,84),ROW()-1,FALSE))</f>
        <v>206544.2</v>
      </c>
      <c r="BD35">
        <f ca="1">IF(AND(ISNUMBER($BD$97),$B$69=1),$BD$97,HLOOKUP(INDIRECT(ADDRESS(2,COLUMN())),OFFSET($CL$2,0,0,ROW()-1,84),ROW()-1,FALSE))</f>
        <v>224537</v>
      </c>
      <c r="BE35">
        <f ca="1">IF(AND(ISNUMBER($BE$97),$B$69=1),$BE$97,HLOOKUP(INDIRECT(ADDRESS(2,COLUMN())),OFFSET($CL$2,0,0,ROW()-1,84),ROW()-1,FALSE))</f>
        <v>218191.45</v>
      </c>
      <c r="BF35">
        <f ca="1">IF(AND(ISNUMBER($BF$97),$B$69=1),$BF$97,HLOOKUP(INDIRECT(ADDRESS(2,COLUMN())),OFFSET($CL$2,0,0,ROW()-1,84),ROW()-1,FALSE))</f>
        <v>203730.15</v>
      </c>
      <c r="BG35">
        <f ca="1">IF(AND(ISNUMBER($BG$97),$B$69=1),$BG$97,HLOOKUP(INDIRECT(ADDRESS(2,COLUMN())),OFFSET($CL$2,0,0,ROW()-1,84),ROW()-1,FALSE))</f>
        <v>223101.15</v>
      </c>
      <c r="BH35">
        <f ca="1">IF(AND(ISNUMBER($BH$97),$B$69=1),$BH$97,HLOOKUP(INDIRECT(ADDRESS(2,COLUMN())),OFFSET($CL$2,0,0,ROW()-1,84),ROW()-1,FALSE))</f>
        <v>216002.8</v>
      </c>
      <c r="BI35">
        <f ca="1">IF(AND(ISNUMBER($BI$97),$B$69=1),$BI$97,HLOOKUP(INDIRECT(ADDRESS(2,COLUMN())),OFFSET($CL$2,0,0,ROW()-1,84),ROW()-1,FALSE))</f>
        <v>213972.45</v>
      </c>
      <c r="BJ35">
        <f ca="1">IF(AND(ISNUMBER($BJ$97),$B$69=1),$BJ$97,HLOOKUP(INDIRECT(ADDRESS(2,COLUMN())),OFFSET($CL$2,0,0,ROW()-1,84),ROW()-1,FALSE))</f>
        <v>185684.75</v>
      </c>
      <c r="BK35">
        <f ca="1">IF(AND(ISNUMBER($BK$97),$B$69=1),$BK$97,HLOOKUP(INDIRECT(ADDRESS(2,COLUMN())),OFFSET($CL$2,0,0,ROW()-1,84),ROW()-1,FALSE))</f>
        <v>212493.3</v>
      </c>
      <c r="BL35">
        <f ca="1">IF(AND(ISNUMBER($BL$97),$B$69=1),$BL$97,HLOOKUP(INDIRECT(ADDRESS(2,COLUMN())),OFFSET($CL$2,0,0,ROW()-1,84),ROW()-1,FALSE))</f>
        <v>220922.3</v>
      </c>
      <c r="BM35">
        <f ca="1">IF(AND(ISNUMBER($BM$97),$B$69=1),$BM$97,HLOOKUP(INDIRECT(ADDRESS(2,COLUMN())),OFFSET($CL$2,0,0,ROW()-1,84),ROW()-1,FALSE))</f>
        <v>219124.6</v>
      </c>
      <c r="BN35">
        <f ca="1">IF(AND(ISNUMBER($BN$97),$B$69=1),$BN$97,HLOOKUP(INDIRECT(ADDRESS(2,COLUMN())),OFFSET($CL$2,0,0,ROW()-1,84),ROW()-1,FALSE))</f>
        <v>226052.4</v>
      </c>
      <c r="BO35">
        <f ca="1">IF(AND(ISNUMBER($BO$97),$B$69=1),$BO$97,HLOOKUP(INDIRECT(ADDRESS(2,COLUMN())),OFFSET($CL$2,0,0,ROW()-1,84),ROW()-1,FALSE))</f>
        <v>220068.2</v>
      </c>
      <c r="BP35">
        <f ca="1">IF(AND(ISNUMBER($BP$97),$B$69=1),$BP$97,HLOOKUP(INDIRECT(ADDRESS(2,COLUMN())),OFFSET($CL$2,0,0,ROW()-1,84),ROW()-1,FALSE))</f>
        <v>231188.3</v>
      </c>
      <c r="BQ35">
        <f ca="1">IF(AND(ISNUMBER($BQ$97),$B$69=1),$BQ$97,HLOOKUP(INDIRECT(ADDRESS(2,COLUMN())),OFFSET($CL$2,0,0,ROW()-1,84),ROW()-1,FALSE))</f>
        <v>217407.35</v>
      </c>
      <c r="BR35">
        <f ca="1">IF(AND(ISNUMBER($BR$97),$B$69=1),$BR$97,HLOOKUP(INDIRECT(ADDRESS(2,COLUMN())),OFFSET($CL$2,0,0,ROW()-1,84),ROW()-1,FALSE))</f>
        <v>215496</v>
      </c>
      <c r="BS35">
        <f ca="1">IF(AND(ISNUMBER($BS$97),$B$69=1),$BS$97,HLOOKUP(INDIRECT(ADDRESS(2,COLUMN())),OFFSET($CL$2,0,0,ROW()-1,84),ROW()-1,FALSE))</f>
        <v>204766.6</v>
      </c>
      <c r="BT35">
        <f ca="1">IF(AND(ISNUMBER($BT$97),$B$69=1),$BT$97,HLOOKUP(INDIRECT(ADDRESS(2,COLUMN())),OFFSET($CL$2,0,0,ROW()-1,84),ROW()-1,FALSE))</f>
        <v>204017.05</v>
      </c>
      <c r="BU35">
        <f ca="1">IF(AND(ISNUMBER($BU$97),$B$69=1),$BU$97,HLOOKUP(INDIRECT(ADDRESS(2,COLUMN())),OFFSET($CL$2,0,0,ROW()-1,84),ROW()-1,FALSE))</f>
        <v>193340.9</v>
      </c>
      <c r="BV35">
        <f ca="1">IF(AND(ISNUMBER($BV$97),$B$69=1),$BV$97,HLOOKUP(INDIRECT(ADDRESS(2,COLUMN())),OFFSET($CL$2,0,0,ROW()-1,84),ROW()-1,FALSE))</f>
        <v>188174.7</v>
      </c>
      <c r="BW35">
        <f ca="1">IF(AND(ISNUMBER($BW$97),$B$69=1),$BW$97,HLOOKUP(INDIRECT(ADDRESS(2,COLUMN())),OFFSET($CL$2,0,0,ROW()-1,84),ROW()-1,FALSE))</f>
        <v>205840.25</v>
      </c>
      <c r="BX35">
        <f ca="1">IF(AND(ISNUMBER($BX$97),$B$69=1),$BX$97,HLOOKUP(INDIRECT(ADDRESS(2,COLUMN())),OFFSET($CL$2,0,0,ROW()-1,84),ROW()-1,FALSE))</f>
        <v>206835.75</v>
      </c>
      <c r="BY35">
        <f ca="1">IF(AND(ISNUMBER($BY$97),$B$69=1),$BY$97,HLOOKUP(INDIRECT(ADDRESS(2,COLUMN())),OFFSET($CL$2,0,0,ROW()-1,84),ROW()-1,FALSE))</f>
        <v>186068.85</v>
      </c>
      <c r="BZ35">
        <f ca="1">IF(AND(ISNUMBER($BZ$97),$B$69=1),$BZ$97,HLOOKUP(INDIRECT(ADDRESS(2,COLUMN())),OFFSET($CL$2,0,0,ROW()-1,84),ROW()-1,FALSE))</f>
        <v>209913.55</v>
      </c>
      <c r="CA35">
        <f ca="1">IF(AND(ISNUMBER($CA$97),$B$69=1),$CA$97,HLOOKUP(INDIRECT(ADDRESS(2,COLUMN())),OFFSET($CL$2,0,0,ROW()-1,84),ROW()-1,FALSE))</f>
        <v>211470.15</v>
      </c>
      <c r="CB35">
        <f ca="1">IF(AND(ISNUMBER($CB$97),$B$69=1),$CB$97,HLOOKUP(INDIRECT(ADDRESS(2,COLUMN())),OFFSET($CL$2,0,0,ROW()-1,84),ROW()-1,FALSE))</f>
        <v>212655.1</v>
      </c>
      <c r="CC35">
        <f ca="1">IF(AND(ISNUMBER($CC$97),$B$69=1),$CC$97,HLOOKUP(INDIRECT(ADDRESS(2,COLUMN())),OFFSET($CL$2,0,0,ROW()-1,84),ROW()-1,FALSE))</f>
        <v>209889.5</v>
      </c>
      <c r="CD35">
        <f ca="1">IF(AND(ISNUMBER($CD$97),$B$69=1),$CD$97,HLOOKUP(INDIRECT(ADDRESS(2,COLUMN())),OFFSET($CL$2,0,0,ROW()-1,84),ROW()-1,FALSE))</f>
        <v>204255.1</v>
      </c>
      <c r="CE35">
        <f ca="1">IF(AND(ISNUMBER($CE$97),$B$69=1),$CE$97,HLOOKUP(INDIRECT(ADDRESS(2,COLUMN())),OFFSET($CL$2,0,0,ROW()-1,84),ROW()-1,FALSE))</f>
        <v>210959.95</v>
      </c>
      <c r="CF35">
        <f ca="1">IF(AND(ISNUMBER($CF$97),$B$69=1),$CF$97,HLOOKUP(INDIRECT(ADDRESS(2,COLUMN())),OFFSET($CL$2,0,0,ROW()-1,84),ROW()-1,FALSE))</f>
        <v>197500.75</v>
      </c>
      <c r="CG35">
        <f ca="1">IF(AND(ISNUMBER($CG$97),$B$69=1),$CG$97,HLOOKUP(INDIRECT(ADDRESS(2,COLUMN())),OFFSET($CL$2,0,0,ROW()-1,84),ROW()-1,FALSE))</f>
        <v>199076.55</v>
      </c>
      <c r="CH35">
        <f ca="1">IF(AND(ISNUMBER($CH$97),$B$69=1),$CH$97,HLOOKUP(INDIRECT(ADDRESS(2,COLUMN())),OFFSET($CL$2,0,0,ROW()-1,84),ROW()-1,FALSE))</f>
        <v>174901.7</v>
      </c>
      <c r="CI35">
        <f ca="1">IF(AND(ISNUMBER($CI$97),$B$69=1),$CI$97,HLOOKUP(INDIRECT(ADDRESS(2,COLUMN())),OFFSET($CL$2,0,0,ROW()-1,84),ROW()-1,FALSE))</f>
        <v>197309.6</v>
      </c>
      <c r="CJ35">
        <f ca="1">IF(AND(ISNUMBER($CJ$97),$B$69=1),$CJ$97,HLOOKUP(INDIRECT(ADDRESS(2,COLUMN())),OFFSET($CL$2,0,0,ROW()-1,84),ROW()-1,FALSE))</f>
        <v>199155</v>
      </c>
      <c r="CK35">
        <f ca="1">IF(AND(ISNUMBER($CK$97),$B$69=1),$CK$97,HLOOKUP(INDIRECT(ADDRESS(2,COLUMN())),OFFSET($CL$2,0,0,ROW()-1,84),ROW()-1,FALSE))</f>
        <v>196980</v>
      </c>
      <c r="CL35" t="str">
        <f>""</f>
        <v/>
      </c>
      <c r="CM35">
        <f>171822</f>
        <v>171822</v>
      </c>
      <c r="CN35">
        <f>179160.5</f>
        <v>179160.5</v>
      </c>
      <c r="CO35">
        <f>181555.25</f>
        <v>181555.25</v>
      </c>
      <c r="CP35">
        <f>155827.25</f>
        <v>155827.25</v>
      </c>
      <c r="CQ35">
        <f>178513.25</f>
        <v>178513.25</v>
      </c>
      <c r="CR35">
        <f>174481.5</f>
        <v>174481.5</v>
      </c>
      <c r="CS35">
        <f>170267.5</f>
        <v>170267.5</v>
      </c>
      <c r="CT35">
        <f>153836.75</f>
        <v>153836.75</v>
      </c>
      <c r="CU35">
        <f>179227.75</f>
        <v>179227.75</v>
      </c>
      <c r="CV35">
        <f>163027.25</f>
        <v>163027.25</v>
      </c>
      <c r="CW35">
        <f>184606.25</f>
        <v>184606.25</v>
      </c>
      <c r="CX35">
        <f>202487</f>
        <v>202487</v>
      </c>
      <c r="CY35">
        <f>184729.45</f>
        <v>184729.45</v>
      </c>
      <c r="CZ35">
        <f>211122.5</f>
        <v>211122.5</v>
      </c>
      <c r="DA35">
        <f>160356</f>
        <v>160356</v>
      </c>
      <c r="DB35">
        <f>216096</f>
        <v>216096</v>
      </c>
      <c r="DC35">
        <f>224301.5</f>
        <v>224301.5</v>
      </c>
      <c r="DD35">
        <f>188442</f>
        <v>188442</v>
      </c>
      <c r="DE35">
        <f>214460.5</f>
        <v>214460.5</v>
      </c>
      <c r="DF35">
        <f>194784</f>
        <v>194784</v>
      </c>
      <c r="DG35">
        <f>193194.75</f>
        <v>193194.75</v>
      </c>
      <c r="DH35">
        <f>169650</f>
        <v>169650</v>
      </c>
      <c r="DI35">
        <f>189096.1</f>
        <v>189096.1</v>
      </c>
      <c r="DJ35">
        <f>173307.85</f>
        <v>173307.85</v>
      </c>
      <c r="DK35">
        <f>183272.75</f>
        <v>183272.75</v>
      </c>
      <c r="DL35">
        <f>220050.3</f>
        <v>220050.3</v>
      </c>
      <c r="DM35">
        <f>211394.35</f>
        <v>211394.35</v>
      </c>
      <c r="DN35">
        <f>222482.9</f>
        <v>222482.9</v>
      </c>
      <c r="DO35">
        <f>226407.9</f>
        <v>226407.9</v>
      </c>
      <c r="DP35">
        <f>221837.5</f>
        <v>221837.5</v>
      </c>
      <c r="DQ35">
        <f>241467.15</f>
        <v>241467.15</v>
      </c>
      <c r="DR35">
        <f>190488.5</f>
        <v>190488.5</v>
      </c>
      <c r="DS35">
        <f>199097.7</f>
        <v>199097.7</v>
      </c>
      <c r="DT35">
        <f>208339.25</f>
        <v>208339.25</v>
      </c>
      <c r="DU35">
        <f>197694.7</f>
        <v>197694.7</v>
      </c>
      <c r="DV35">
        <f>216664</f>
        <v>216664</v>
      </c>
      <c r="DW35">
        <f>225806.5</f>
        <v>225806.5</v>
      </c>
      <c r="DX35">
        <f>225489.15</f>
        <v>225489.15</v>
      </c>
      <c r="DY35">
        <f>219080.3</f>
        <v>219080.3</v>
      </c>
      <c r="DZ35">
        <f>199011.45</f>
        <v>199011.45</v>
      </c>
      <c r="EA35">
        <f>185594.7</f>
        <v>185594.7</v>
      </c>
      <c r="EB35">
        <f>201918.4</f>
        <v>201918.4</v>
      </c>
      <c r="EC35">
        <f>190187.7</f>
        <v>190187.7</v>
      </c>
      <c r="ED35">
        <f>180874.9</f>
        <v>180874.9</v>
      </c>
      <c r="EE35">
        <f>211227.95</f>
        <v>211227.95</v>
      </c>
      <c r="EF35">
        <f>193963.3</f>
        <v>193963.3</v>
      </c>
      <c r="EG35">
        <f>197360.35</f>
        <v>197360.35</v>
      </c>
      <c r="EH35">
        <f>204879.8</f>
        <v>204879.8</v>
      </c>
      <c r="EI35">
        <f>206544.2</f>
        <v>206544.2</v>
      </c>
      <c r="EJ35">
        <f>224537</f>
        <v>224537</v>
      </c>
      <c r="EK35">
        <f>218191.45</f>
        <v>218191.45</v>
      </c>
      <c r="EL35">
        <f>203730.15</f>
        <v>203730.15</v>
      </c>
      <c r="EM35">
        <f>223101.15</f>
        <v>223101.15</v>
      </c>
      <c r="EN35">
        <f>216002.8</f>
        <v>216002.8</v>
      </c>
      <c r="EO35">
        <f>213972.45</f>
        <v>213972.45</v>
      </c>
      <c r="EP35">
        <f>185684.75</f>
        <v>185684.75</v>
      </c>
      <c r="EQ35">
        <f>212493.3</f>
        <v>212493.3</v>
      </c>
      <c r="ER35">
        <f>220922.3</f>
        <v>220922.3</v>
      </c>
      <c r="ES35">
        <f>219124.6</f>
        <v>219124.6</v>
      </c>
      <c r="ET35">
        <f>226052.4</f>
        <v>226052.4</v>
      </c>
      <c r="EU35">
        <f>220068.2</f>
        <v>220068.2</v>
      </c>
      <c r="EV35">
        <f>231188.3</f>
        <v>231188.3</v>
      </c>
      <c r="EW35">
        <f>217407.35</f>
        <v>217407.35</v>
      </c>
      <c r="EX35">
        <f>215496</f>
        <v>215496</v>
      </c>
      <c r="EY35">
        <f>204766.6</f>
        <v>204766.6</v>
      </c>
      <c r="EZ35">
        <f>204017.05</f>
        <v>204017.05</v>
      </c>
      <c r="FA35">
        <f>193340.9</f>
        <v>193340.9</v>
      </c>
      <c r="FB35">
        <f>188174.7</f>
        <v>188174.7</v>
      </c>
      <c r="FC35">
        <f>205840.25</f>
        <v>205840.25</v>
      </c>
      <c r="FD35">
        <f>206835.75</f>
        <v>206835.75</v>
      </c>
      <c r="FE35">
        <f>186068.85</f>
        <v>186068.85</v>
      </c>
      <c r="FF35">
        <f>209913.55</f>
        <v>209913.55</v>
      </c>
      <c r="FG35">
        <f>211470.15</f>
        <v>211470.15</v>
      </c>
      <c r="FH35">
        <f>212655.1</f>
        <v>212655.1</v>
      </c>
      <c r="FI35">
        <f>209889.5</f>
        <v>209889.5</v>
      </c>
      <c r="FJ35">
        <f>204255.1</f>
        <v>204255.1</v>
      </c>
      <c r="FK35">
        <f>210959.95</f>
        <v>210959.95</v>
      </c>
      <c r="FL35">
        <f>197500.75</f>
        <v>197500.75</v>
      </c>
      <c r="FM35">
        <f>199076.55</f>
        <v>199076.55</v>
      </c>
      <c r="FN35">
        <f>174901.7</f>
        <v>174901.7</v>
      </c>
      <c r="FO35">
        <f>197309.6</f>
        <v>197309.6</v>
      </c>
      <c r="FP35">
        <f>199155</f>
        <v>199155</v>
      </c>
      <c r="FQ35">
        <f>196980</f>
        <v>196980</v>
      </c>
    </row>
    <row r="36" spans="1:173" x14ac:dyDescent="0.25">
      <c r="A36" t="str">
        <f>"    Port of Virginia (TEU)"</f>
        <v xml:space="preserve">    Port of Virginia (TEU)</v>
      </c>
      <c r="B36" t="str">
        <f>"POVATOTL Index"</f>
        <v>POVATOTL Index</v>
      </c>
      <c r="C36" t="str">
        <f t="shared" si="0"/>
        <v>PX385</v>
      </c>
      <c r="D36" t="str">
        <f t="shared" si="1"/>
        <v>INTERVAL_SUM</v>
      </c>
      <c r="E36" t="str">
        <f t="shared" si="2"/>
        <v>Dynamic</v>
      </c>
      <c r="F36" t="str">
        <f ca="1">IF(AND(ISNUMBER($F$98),$B$69=1),$F$98,HLOOKUP(INDIRECT(ADDRESS(2,COLUMN())),OFFSET($CL$2,0,0,ROW()-1,84),ROW()-1,FALSE))</f>
        <v/>
      </c>
      <c r="G36" t="str">
        <f ca="1">IF(AND(ISNUMBER($G$98),$B$69=1),$G$98,HLOOKUP(INDIRECT(ADDRESS(2,COLUMN())),OFFSET($CL$2,0,0,ROW()-1,84),ROW()-1,FALSE))</f>
        <v/>
      </c>
      <c r="H36">
        <f ca="1">IF(AND(ISNUMBER($H$98),$B$69=1),$H$98,HLOOKUP(INDIRECT(ADDRESS(2,COLUMN())),OFFSET($CL$2,0,0,ROW()-1,84),ROW()-1,FALSE))</f>
        <v>287232.25</v>
      </c>
      <c r="I36">
        <f ca="1">IF(AND(ISNUMBER($I$98),$B$69=1),$I$98,HLOOKUP(INDIRECT(ADDRESS(2,COLUMN())),OFFSET($CL$2,0,0,ROW()-1,84),ROW()-1,FALSE))</f>
        <v>298202.25</v>
      </c>
      <c r="J36">
        <f ca="1">IF(AND(ISNUMBER($J$98),$B$69=1),$J$98,HLOOKUP(INDIRECT(ADDRESS(2,COLUMN())),OFFSET($CL$2,0,0,ROW()-1,84),ROW()-1,FALSE))</f>
        <v>263997.5</v>
      </c>
      <c r="K36">
        <f ca="1">IF(AND(ISNUMBER($K$98),$B$69=1),$K$98,HLOOKUP(INDIRECT(ADDRESS(2,COLUMN())),OFFSET($CL$2,0,0,ROW()-1,84),ROW()-1,FALSE))</f>
        <v>265874.5</v>
      </c>
      <c r="L36">
        <f ca="1">IF(AND(ISNUMBER($L$98),$B$69=1),$L$98,HLOOKUP(INDIRECT(ADDRESS(2,COLUMN())),OFFSET($CL$2,0,0,ROW()-1,84),ROW()-1,FALSE))</f>
        <v>256414.25</v>
      </c>
      <c r="M36">
        <f ca="1">IF(AND(ISNUMBER($M$98),$B$69=1),$M$98,HLOOKUP(INDIRECT(ADDRESS(2,COLUMN())),OFFSET($CL$2,0,0,ROW()-1,84),ROW()-1,FALSE))</f>
        <v>248814.5</v>
      </c>
      <c r="N36">
        <f ca="1">IF(AND(ISNUMBER($N$98),$B$69=1),$N$98,HLOOKUP(INDIRECT(ADDRESS(2,COLUMN())),OFFSET($CL$2,0,0,ROW()-1,84),ROW()-1,FALSE))</f>
        <v>256966.75</v>
      </c>
      <c r="O36">
        <f ca="1">IF(AND(ISNUMBER($O$98),$B$69=1),$O$98,HLOOKUP(INDIRECT(ADDRESS(2,COLUMN())),OFFSET($CL$2,0,0,ROW()-1,84),ROW()-1,FALSE))</f>
        <v>288379.5</v>
      </c>
      <c r="P36">
        <f ca="1">IF(AND(ISNUMBER($P$98),$B$69=1),$P$98,HLOOKUP(INDIRECT(ADDRESS(2,COLUMN())),OFFSET($CL$2,0,0,ROW()-1,84),ROW()-1,FALSE))</f>
        <v>273964.75</v>
      </c>
      <c r="Q36">
        <f ca="1">IF(AND(ISNUMBER($Q$98),$B$69=1),$Q$98,HLOOKUP(INDIRECT(ADDRESS(2,COLUMN())),OFFSET($CL$2,0,0,ROW()-1,84),ROW()-1,FALSE))</f>
        <v>285943.25</v>
      </c>
      <c r="R36">
        <f ca="1">IF(AND(ISNUMBER($R$98),$B$69=1),$R$98,HLOOKUP(INDIRECT(ADDRESS(2,COLUMN())),OFFSET($CL$2,0,0,ROW()-1,84),ROW()-1,FALSE))</f>
        <v>318452.25</v>
      </c>
      <c r="S36">
        <f ca="1">IF(AND(ISNUMBER($S$98),$B$69=1),$S$98,HLOOKUP(INDIRECT(ADDRESS(2,COLUMN())),OFFSET($CL$2,0,0,ROW()-1,84),ROW()-1,FALSE))</f>
        <v>312230.25</v>
      </c>
      <c r="T36">
        <f ca="1">IF(AND(ISNUMBER($T$98),$B$69=1),$T$98,HLOOKUP(INDIRECT(ADDRESS(2,COLUMN())),OFFSET($CL$2,0,0,ROW()-1,84),ROW()-1,FALSE))</f>
        <v>340925.5</v>
      </c>
      <c r="U36">
        <f ca="1">IF(AND(ISNUMBER($U$98),$B$69=1),$U$98,HLOOKUP(INDIRECT(ADDRESS(2,COLUMN())),OFFSET($CL$2,0,0,ROW()-1,84),ROW()-1,FALSE))</f>
        <v>317690.5</v>
      </c>
      <c r="V36">
        <f ca="1">IF(AND(ISNUMBER($V$98),$B$69=1),$V$98,HLOOKUP(INDIRECT(ADDRESS(2,COLUMN())),OFFSET($CL$2,0,0,ROW()-1,84),ROW()-1,FALSE))</f>
        <v>316249.5</v>
      </c>
      <c r="W36">
        <f ca="1">IF(AND(ISNUMBER($W$98),$B$69=1),$W$98,HLOOKUP(INDIRECT(ADDRESS(2,COLUMN())),OFFSET($CL$2,0,0,ROW()-1,84),ROW()-1,FALSE))</f>
        <v>341611</v>
      </c>
      <c r="X36">
        <f ca="1">IF(AND(ISNUMBER($X$98),$B$69=1),$X$98,HLOOKUP(INDIRECT(ADDRESS(2,COLUMN())),OFFSET($CL$2,0,0,ROW()-1,84),ROW()-1,FALSE))</f>
        <v>323244</v>
      </c>
      <c r="Y36">
        <f ca="1">IF(AND(ISNUMBER($Y$98),$B$69=1),$Y$98,HLOOKUP(INDIRECT(ADDRESS(2,COLUMN())),OFFSET($CL$2,0,0,ROW()-1,84),ROW()-1,FALSE))</f>
        <v>314698</v>
      </c>
      <c r="Z36">
        <f ca="1">IF(AND(ISNUMBER($Z$98),$B$69=1),$Z$98,HLOOKUP(INDIRECT(ADDRESS(2,COLUMN())),OFFSET($CL$2,0,0,ROW()-1,84),ROW()-1,FALSE))</f>
        <v>296201</v>
      </c>
      <c r="AA36">
        <f ca="1">IF(AND(ISNUMBER($AA$98),$B$69=1),$AA$98,HLOOKUP(INDIRECT(ADDRESS(2,COLUMN())),OFFSET($CL$2,0,0,ROW()-1,84),ROW()-1,FALSE))</f>
        <v>262019.75</v>
      </c>
      <c r="AB36">
        <f ca="1">IF(AND(ISNUMBER($AB$98),$B$69=1),$AB$98,HLOOKUP(INDIRECT(ADDRESS(2,COLUMN())),OFFSET($CL$2,0,0,ROW()-1,84),ROW()-1,FALSE))</f>
        <v>325527</v>
      </c>
      <c r="AC36">
        <f ca="1">IF(AND(ISNUMBER($AC$98),$B$69=1),$AC$98,HLOOKUP(INDIRECT(ADDRESS(2,COLUMN())),OFFSET($CL$2,0,0,ROW()-1,84),ROW()-1,FALSE))</f>
        <v>290759</v>
      </c>
      <c r="AD36">
        <f ca="1">IF(AND(ISNUMBER($AD$98),$B$69=1),$AD$98,HLOOKUP(INDIRECT(ADDRESS(2,COLUMN())),OFFSET($CL$2,0,0,ROW()-1,84),ROW()-1,FALSE))</f>
        <v>318481.5</v>
      </c>
      <c r="AE36">
        <f ca="1">IF(AND(ISNUMBER($AE$98),$B$69=1),$AE$98,HLOOKUP(INDIRECT(ADDRESS(2,COLUMN())),OFFSET($CL$2,0,0,ROW()-1,84),ROW()-1,FALSE))</f>
        <v>306215.75</v>
      </c>
      <c r="AF36">
        <f ca="1">IF(AND(ISNUMBER($AF$98),$B$69=1),$AF$98,HLOOKUP(INDIRECT(ADDRESS(2,COLUMN())),OFFSET($CL$2,0,0,ROW()-1,84),ROW()-1,FALSE))</f>
        <v>307023.25</v>
      </c>
      <c r="AG36">
        <f ca="1">IF(AND(ISNUMBER($AG$98),$B$69=1),$AG$98,HLOOKUP(INDIRECT(ADDRESS(2,COLUMN())),OFFSET($CL$2,0,0,ROW()-1,84),ROW()-1,FALSE))</f>
        <v>293126.25</v>
      </c>
      <c r="AH36">
        <f ca="1">IF(AND(ISNUMBER($AH$98),$B$69=1),$AH$98,HLOOKUP(INDIRECT(ADDRESS(2,COLUMN())),OFFSET($CL$2,0,0,ROW()-1,84),ROW()-1,FALSE))</f>
        <v>281346</v>
      </c>
      <c r="AI36">
        <f ca="1">IF(AND(ISNUMBER($AI$98),$B$69=1),$AI$98,HLOOKUP(INDIRECT(ADDRESS(2,COLUMN())),OFFSET($CL$2,0,0,ROW()-1,84),ROW()-1,FALSE))</f>
        <v>314941.5</v>
      </c>
      <c r="AJ36">
        <f ca="1">IF(AND(ISNUMBER($AJ$98),$B$69=1),$AJ$98,HLOOKUP(INDIRECT(ADDRESS(2,COLUMN())),OFFSET($CL$2,0,0,ROW()-1,84),ROW()-1,FALSE))</f>
        <v>286405.25</v>
      </c>
      <c r="AK36">
        <f ca="1">IF(AND(ISNUMBER($AK$98),$B$69=1),$AK$98,HLOOKUP(INDIRECT(ADDRESS(2,COLUMN())),OFFSET($CL$2,0,0,ROW()-1,84),ROW()-1,FALSE))</f>
        <v>279514</v>
      </c>
      <c r="AL36">
        <f ca="1">IF(AND(ISNUMBER($AL$98),$B$69=1),$AL$98,HLOOKUP(INDIRECT(ADDRESS(2,COLUMN())),OFFSET($CL$2,0,0,ROW()-1,84),ROW()-1,FALSE))</f>
        <v>248525.5</v>
      </c>
      <c r="AM36">
        <f ca="1">IF(AND(ISNUMBER($AM$98),$B$69=1),$AM$98,HLOOKUP(INDIRECT(ADDRESS(2,COLUMN())),OFFSET($CL$2,0,0,ROW()-1,84),ROW()-1,FALSE))</f>
        <v>270968.75</v>
      </c>
      <c r="AN36">
        <f ca="1">IF(AND(ISNUMBER($AN$98),$B$69=1),$AN$98,HLOOKUP(INDIRECT(ADDRESS(2,COLUMN())),OFFSET($CL$2,0,0,ROW()-1,84),ROW()-1,FALSE))</f>
        <v>260401</v>
      </c>
      <c r="AO36">
        <f ca="1">IF(AND(ISNUMBER($AO$98),$B$69=1),$AO$98,HLOOKUP(INDIRECT(ADDRESS(2,COLUMN())),OFFSET($CL$2,0,0,ROW()-1,84),ROW()-1,FALSE))</f>
        <v>279868.25</v>
      </c>
      <c r="AP36">
        <f ca="1">IF(AND(ISNUMBER($AP$98),$B$69=1),$AP$98,HLOOKUP(INDIRECT(ADDRESS(2,COLUMN())),OFFSET($CL$2,0,0,ROW()-1,84),ROW()-1,FALSE))</f>
        <v>274215</v>
      </c>
      <c r="AQ36">
        <f ca="1">IF(AND(ISNUMBER($AQ$98),$B$69=1),$AQ$98,HLOOKUP(INDIRECT(ADDRESS(2,COLUMN())),OFFSET($CL$2,0,0,ROW()-1,84),ROW()-1,FALSE))</f>
        <v>256438.5</v>
      </c>
      <c r="AR36">
        <f ca="1">IF(AND(ISNUMBER($AR$98),$B$69=1),$AR$98,HLOOKUP(INDIRECT(ADDRESS(2,COLUMN())),OFFSET($CL$2,0,0,ROW()-1,84),ROW()-1,FALSE))</f>
        <v>247348.5</v>
      </c>
      <c r="AS36">
        <f ca="1">IF(AND(ISNUMBER($AS$98),$B$69=1),$AS$98,HLOOKUP(INDIRECT(ADDRESS(2,COLUMN())),OFFSET($CL$2,0,0,ROW()-1,84),ROW()-1,FALSE))</f>
        <v>221028</v>
      </c>
      <c r="AT36">
        <f ca="1">IF(AND(ISNUMBER($AT$98),$B$69=1),$AT$98,HLOOKUP(INDIRECT(ADDRESS(2,COLUMN())),OFFSET($CL$2,0,0,ROW()-1,84),ROW()-1,FALSE))</f>
        <v>210669.25</v>
      </c>
      <c r="AU36">
        <f ca="1">IF(AND(ISNUMBER($AU$98),$B$69=1),$AU$98,HLOOKUP(INDIRECT(ADDRESS(2,COLUMN())),OFFSET($CL$2,0,0,ROW()-1,84),ROW()-1,FALSE))</f>
        <v>201837.25</v>
      </c>
      <c r="AV36">
        <f ca="1">IF(AND(ISNUMBER($AV$98),$B$69=1),$AV$98,HLOOKUP(INDIRECT(ADDRESS(2,COLUMN())),OFFSET($CL$2,0,0,ROW()-1,84),ROW()-1,FALSE))</f>
        <v>207244.25</v>
      </c>
      <c r="AW36">
        <f ca="1">IF(AND(ISNUMBER($AW$98),$B$69=1),$AW$98,HLOOKUP(INDIRECT(ADDRESS(2,COLUMN())),OFFSET($CL$2,0,0,ROW()-1,84),ROW()-1,FALSE))</f>
        <v>219315.25</v>
      </c>
      <c r="AX36">
        <f ca="1">IF(AND(ISNUMBER($AX$98),$B$69=1),$AX$98,HLOOKUP(INDIRECT(ADDRESS(2,COLUMN())),OFFSET($CL$2,0,0,ROW()-1,84),ROW()-1,FALSE))</f>
        <v>207815.75</v>
      </c>
      <c r="AY36">
        <f ca="1">IF(AND(ISNUMBER($AY$98),$B$69=1),$AY$98,HLOOKUP(INDIRECT(ADDRESS(2,COLUMN())),OFFSET($CL$2,0,0,ROW()-1,84),ROW()-1,FALSE))</f>
        <v>227233.5</v>
      </c>
      <c r="AZ36">
        <f ca="1">IF(AND(ISNUMBER($AZ$98),$B$69=1),$AZ$98,HLOOKUP(INDIRECT(ADDRESS(2,COLUMN())),OFFSET($CL$2,0,0,ROW()-1,84),ROW()-1,FALSE))</f>
        <v>224901.75</v>
      </c>
      <c r="BA36">
        <f ca="1">IF(AND(ISNUMBER($BA$98),$B$69=1),$BA$98,HLOOKUP(INDIRECT(ADDRESS(2,COLUMN())),OFFSET($CL$2,0,0,ROW()-1,84),ROW()-1,FALSE))</f>
        <v>226981.5</v>
      </c>
      <c r="BB36">
        <f ca="1">IF(AND(ISNUMBER($BB$98),$B$69=1),$BB$98,HLOOKUP(INDIRECT(ADDRESS(2,COLUMN())),OFFSET($CL$2,0,0,ROW()-1,84),ROW()-1,FALSE))</f>
        <v>266976</v>
      </c>
      <c r="BC36">
        <f ca="1">IF(AND(ISNUMBER($BC$98),$B$69=1),$BC$98,HLOOKUP(INDIRECT(ADDRESS(2,COLUMN())),OFFSET($CL$2,0,0,ROW()-1,84),ROW()-1,FALSE))</f>
        <v>241415.5</v>
      </c>
      <c r="BD36">
        <f ca="1">IF(AND(ISNUMBER($BD$98),$B$69=1),$BD$98,HLOOKUP(INDIRECT(ADDRESS(2,COLUMN())),OFFSET($CL$2,0,0,ROW()-1,84),ROW()-1,FALSE))</f>
        <v>257675.25</v>
      </c>
      <c r="BE36">
        <f ca="1">IF(AND(ISNUMBER($BE$98),$B$69=1),$BE$98,HLOOKUP(INDIRECT(ADDRESS(2,COLUMN())),OFFSET($CL$2,0,0,ROW()-1,84),ROW()-1,FALSE))</f>
        <v>265559.25</v>
      </c>
      <c r="BF36">
        <f ca="1">IF(AND(ISNUMBER($BF$98),$B$69=1),$BF$98,HLOOKUP(INDIRECT(ADDRESS(2,COLUMN())),OFFSET($CL$2,0,0,ROW()-1,84),ROW()-1,FALSE))</f>
        <v>239329</v>
      </c>
      <c r="BG36">
        <f ca="1">IF(AND(ISNUMBER($BG$98),$B$69=1),$BG$98,HLOOKUP(INDIRECT(ADDRESS(2,COLUMN())),OFFSET($CL$2,0,0,ROW()-1,84),ROW()-1,FALSE))</f>
        <v>260893.5</v>
      </c>
      <c r="BH36">
        <f ca="1">IF(AND(ISNUMBER($BH$98),$B$69=1),$BH$98,HLOOKUP(INDIRECT(ADDRESS(2,COLUMN())),OFFSET($CL$2,0,0,ROW()-1,84),ROW()-1,FALSE))</f>
        <v>245933.25</v>
      </c>
      <c r="BI36">
        <f ca="1">IF(AND(ISNUMBER($BI$98),$B$69=1),$BI$98,HLOOKUP(INDIRECT(ADDRESS(2,COLUMN())),OFFSET($CL$2,0,0,ROW()-1,84),ROW()-1,FALSE))</f>
        <v>240035.25</v>
      </c>
      <c r="BJ36">
        <f ca="1">IF(AND(ISNUMBER($BJ$98),$B$69=1),$BJ$98,HLOOKUP(INDIRECT(ADDRESS(2,COLUMN())),OFFSET($CL$2,0,0,ROW()-1,84),ROW()-1,FALSE))</f>
        <v>228151.25</v>
      </c>
      <c r="BK36">
        <f ca="1">IF(AND(ISNUMBER($BK$98),$B$69=1),$BK$98,HLOOKUP(INDIRECT(ADDRESS(2,COLUMN())),OFFSET($CL$2,0,0,ROW()-1,84),ROW()-1,FALSE))</f>
        <v>240110.5</v>
      </c>
      <c r="BL36">
        <f ca="1">IF(AND(ISNUMBER($BL$98),$B$69=1),$BL$98,HLOOKUP(INDIRECT(ADDRESS(2,COLUMN())),OFFSET($CL$2,0,0,ROW()-1,84),ROW()-1,FALSE))</f>
        <v>241120.5</v>
      </c>
      <c r="BM36">
        <f ca="1">IF(AND(ISNUMBER($BM$98),$B$69=1),$BM$98,HLOOKUP(INDIRECT(ADDRESS(2,COLUMN())),OFFSET($CL$2,0,0,ROW()-1,84),ROW()-1,FALSE))</f>
        <v>239890</v>
      </c>
      <c r="BN36">
        <f ca="1">IF(AND(ISNUMBER($BN$98),$B$69=1),$BN$98,HLOOKUP(INDIRECT(ADDRESS(2,COLUMN())),OFFSET($CL$2,0,0,ROW()-1,84),ROW()-1,FALSE))</f>
        <v>270538</v>
      </c>
      <c r="BO36">
        <f ca="1">IF(AND(ISNUMBER($BO$98),$B$69=1),$BO$98,HLOOKUP(INDIRECT(ADDRESS(2,COLUMN())),OFFSET($CL$2,0,0,ROW()-1,84),ROW()-1,FALSE))</f>
        <v>221354.75</v>
      </c>
      <c r="BP36">
        <f ca="1">IF(AND(ISNUMBER($BP$98),$B$69=1),$BP$98,HLOOKUP(INDIRECT(ADDRESS(2,COLUMN())),OFFSET($CL$2,0,0,ROW()-1,84),ROW()-1,FALSE))</f>
        <v>258820.5</v>
      </c>
      <c r="BQ36">
        <f ca="1">IF(AND(ISNUMBER($BQ$98),$B$69=1),$BQ$98,HLOOKUP(INDIRECT(ADDRESS(2,COLUMN())),OFFSET($CL$2,0,0,ROW()-1,84),ROW()-1,FALSE))</f>
        <v>252679</v>
      </c>
      <c r="BR36">
        <f ca="1">IF(AND(ISNUMBER($BR$98),$B$69=1),$BR$98,HLOOKUP(INDIRECT(ADDRESS(2,COLUMN())),OFFSET($CL$2,0,0,ROW()-1,84),ROW()-1,FALSE))</f>
        <v>223839.5</v>
      </c>
      <c r="BS36">
        <f ca="1">IF(AND(ISNUMBER($BS$98),$B$69=1),$BS$98,HLOOKUP(INDIRECT(ADDRESS(2,COLUMN())),OFFSET($CL$2,0,0,ROW()-1,84),ROW()-1,FALSE))</f>
        <v>236890.5</v>
      </c>
      <c r="BT36">
        <f ca="1">IF(AND(ISNUMBER($BT$98),$B$69=1),$BT$98,HLOOKUP(INDIRECT(ADDRESS(2,COLUMN())),OFFSET($CL$2,0,0,ROW()-1,84),ROW()-1,FALSE))</f>
        <v>219281</v>
      </c>
      <c r="BU36">
        <f ca="1">IF(AND(ISNUMBER($BU$98),$B$69=1),$BU$98,HLOOKUP(INDIRECT(ADDRESS(2,COLUMN())),OFFSET($CL$2,0,0,ROW()-1,84),ROW()-1,FALSE))</f>
        <v>252230.25</v>
      </c>
      <c r="BV36">
        <f ca="1">IF(AND(ISNUMBER($BV$98),$B$69=1),$BV$98,HLOOKUP(INDIRECT(ADDRESS(2,COLUMN())),OFFSET($CL$2,0,0,ROW()-1,84),ROW()-1,FALSE))</f>
        <v>218726.5</v>
      </c>
      <c r="BW36">
        <f ca="1">IF(AND(ISNUMBER($BW$98),$B$69=1),$BW$98,HLOOKUP(INDIRECT(ADDRESS(2,COLUMN())),OFFSET($CL$2,0,0,ROW()-1,84),ROW()-1,FALSE))</f>
        <v>220533.75</v>
      </c>
      <c r="BX36">
        <f ca="1">IF(AND(ISNUMBER($BX$98),$B$69=1),$BX$98,HLOOKUP(INDIRECT(ADDRESS(2,COLUMN())),OFFSET($CL$2,0,0,ROW()-1,84),ROW()-1,FALSE))</f>
        <v>237524.5</v>
      </c>
      <c r="BY36">
        <f ca="1">IF(AND(ISNUMBER($BY$98),$B$69=1),$BY$98,HLOOKUP(INDIRECT(ADDRESS(2,COLUMN())),OFFSET($CL$2,0,0,ROW()-1,84),ROW()-1,FALSE))</f>
        <v>240570</v>
      </c>
      <c r="BZ36">
        <f ca="1">IF(AND(ISNUMBER($BZ$98),$B$69=1),$BZ$98,HLOOKUP(INDIRECT(ADDRESS(2,COLUMN())),OFFSET($CL$2,0,0,ROW()-1,84),ROW()-1,FALSE))</f>
        <v>265489.75</v>
      </c>
      <c r="CA36">
        <f ca="1">IF(AND(ISNUMBER($CA$98),$B$69=1),$CA$98,HLOOKUP(INDIRECT(ADDRESS(2,COLUMN())),OFFSET($CL$2,0,0,ROW()-1,84),ROW()-1,FALSE))</f>
        <v>237815.5</v>
      </c>
      <c r="CB36">
        <f ca="1">IF(AND(ISNUMBER($CB$98),$B$69=1),$CB$98,HLOOKUP(INDIRECT(ADDRESS(2,COLUMN())),OFFSET($CL$2,0,0,ROW()-1,84),ROW()-1,FALSE))</f>
        <v>240604.5</v>
      </c>
      <c r="CC36">
        <f ca="1">IF(AND(ISNUMBER($CC$98),$B$69=1),$CC$98,HLOOKUP(INDIRECT(ADDRESS(2,COLUMN())),OFFSET($CL$2,0,0,ROW()-1,84),ROW()-1,FALSE))</f>
        <v>234230</v>
      </c>
      <c r="CD36">
        <f ca="1">IF(AND(ISNUMBER($CD$98),$B$69=1),$CD$98,HLOOKUP(INDIRECT(ADDRESS(2,COLUMN())),OFFSET($CL$2,0,0,ROW()-1,84),ROW()-1,FALSE))</f>
        <v>231674.75</v>
      </c>
      <c r="CE36">
        <f ca="1">IF(AND(ISNUMBER($CE$98),$B$69=1),$CE$98,HLOOKUP(INDIRECT(ADDRESS(2,COLUMN())),OFFSET($CL$2,0,0,ROW()-1,84),ROW()-1,FALSE))</f>
        <v>246871.25</v>
      </c>
      <c r="CF36">
        <f ca="1">IF(AND(ISNUMBER($CF$98),$B$69=1),$CF$98,HLOOKUP(INDIRECT(ADDRESS(2,COLUMN())),OFFSET($CL$2,0,0,ROW()-1,84),ROW()-1,FALSE))</f>
        <v>225196.25</v>
      </c>
      <c r="CG36">
        <f ca="1">IF(AND(ISNUMBER($CG$98),$B$69=1),$CG$98,HLOOKUP(INDIRECT(ADDRESS(2,COLUMN())),OFFSET($CL$2,0,0,ROW()-1,84),ROW()-1,FALSE))</f>
        <v>232148.25</v>
      </c>
      <c r="CH36">
        <f ca="1">IF(AND(ISNUMBER($CH$98),$B$69=1),$CH$98,HLOOKUP(INDIRECT(ADDRESS(2,COLUMN())),OFFSET($CL$2,0,0,ROW()-1,84),ROW()-1,FALSE))</f>
        <v>220375.5</v>
      </c>
      <c r="CI36">
        <f ca="1">IF(AND(ISNUMBER($CI$98),$B$69=1),$CI$98,HLOOKUP(INDIRECT(ADDRESS(2,COLUMN())),OFFSET($CL$2,0,0,ROW()-1,84),ROW()-1,FALSE))</f>
        <v>228516</v>
      </c>
      <c r="CJ36">
        <f ca="1">IF(AND(ISNUMBER($CJ$98),$B$69=1),$CJ$98,HLOOKUP(INDIRECT(ADDRESS(2,COLUMN())),OFFSET($CL$2,0,0,ROW()-1,84),ROW()-1,FALSE))</f>
        <v>229624.25</v>
      </c>
      <c r="CK36">
        <f ca="1">IF(AND(ISNUMBER($CK$98),$B$69=1),$CK$98,HLOOKUP(INDIRECT(ADDRESS(2,COLUMN())),OFFSET($CL$2,0,0,ROW()-1,84),ROW()-1,FALSE))</f>
        <v>236155.25</v>
      </c>
      <c r="CL36" t="str">
        <f>""</f>
        <v/>
      </c>
      <c r="CM36" t="str">
        <f>""</f>
        <v/>
      </c>
      <c r="CN36">
        <f>287232.25</f>
        <v>287232.25</v>
      </c>
      <c r="CO36">
        <f>298202.25</f>
        <v>298202.25</v>
      </c>
      <c r="CP36">
        <f>263997.5</f>
        <v>263997.5</v>
      </c>
      <c r="CQ36">
        <f>265874.5</f>
        <v>265874.5</v>
      </c>
      <c r="CR36">
        <f>256414.25</f>
        <v>256414.25</v>
      </c>
      <c r="CS36">
        <f>248814.5</f>
        <v>248814.5</v>
      </c>
      <c r="CT36">
        <f>256966.75</f>
        <v>256966.75</v>
      </c>
      <c r="CU36">
        <f>288379.5</f>
        <v>288379.5</v>
      </c>
      <c r="CV36">
        <f>273964.75</f>
        <v>273964.75</v>
      </c>
      <c r="CW36">
        <f>285943.25</f>
        <v>285943.25</v>
      </c>
      <c r="CX36">
        <f>318452.25</f>
        <v>318452.25</v>
      </c>
      <c r="CY36">
        <f>312230.25</f>
        <v>312230.25</v>
      </c>
      <c r="CZ36">
        <f>340925.5</f>
        <v>340925.5</v>
      </c>
      <c r="DA36">
        <f>317690.5</f>
        <v>317690.5</v>
      </c>
      <c r="DB36">
        <f>316249.5</f>
        <v>316249.5</v>
      </c>
      <c r="DC36">
        <f>341611</f>
        <v>341611</v>
      </c>
      <c r="DD36">
        <f>323244</f>
        <v>323244</v>
      </c>
      <c r="DE36">
        <f>314698</f>
        <v>314698</v>
      </c>
      <c r="DF36">
        <f>296201</f>
        <v>296201</v>
      </c>
      <c r="DG36">
        <f>262019.75</f>
        <v>262019.75</v>
      </c>
      <c r="DH36">
        <f>325527</f>
        <v>325527</v>
      </c>
      <c r="DI36">
        <f>290759</f>
        <v>290759</v>
      </c>
      <c r="DJ36">
        <f>318481.5</f>
        <v>318481.5</v>
      </c>
      <c r="DK36">
        <f>306215.75</f>
        <v>306215.75</v>
      </c>
      <c r="DL36">
        <f>307023.25</f>
        <v>307023.25</v>
      </c>
      <c r="DM36">
        <f>293126.25</f>
        <v>293126.25</v>
      </c>
      <c r="DN36">
        <f>281346</f>
        <v>281346</v>
      </c>
      <c r="DO36">
        <f>314941.5</f>
        <v>314941.5</v>
      </c>
      <c r="DP36">
        <f>286405.25</f>
        <v>286405.25</v>
      </c>
      <c r="DQ36">
        <f>279514</f>
        <v>279514</v>
      </c>
      <c r="DR36">
        <f>248525.5</f>
        <v>248525.5</v>
      </c>
      <c r="DS36">
        <f>270968.75</f>
        <v>270968.75</v>
      </c>
      <c r="DT36">
        <f>260401</f>
        <v>260401</v>
      </c>
      <c r="DU36">
        <f>279868.25</f>
        <v>279868.25</v>
      </c>
      <c r="DV36">
        <f>274215</f>
        <v>274215</v>
      </c>
      <c r="DW36">
        <f>256438.5</f>
        <v>256438.5</v>
      </c>
      <c r="DX36">
        <f>247348.5</f>
        <v>247348.5</v>
      </c>
      <c r="DY36">
        <f>221028</f>
        <v>221028</v>
      </c>
      <c r="DZ36">
        <f>210669.25</f>
        <v>210669.25</v>
      </c>
      <c r="EA36">
        <f>201837.25</f>
        <v>201837.25</v>
      </c>
      <c r="EB36">
        <f>207244.25</f>
        <v>207244.25</v>
      </c>
      <c r="EC36">
        <f>219315.25</f>
        <v>219315.25</v>
      </c>
      <c r="ED36">
        <f>207815.75</f>
        <v>207815.75</v>
      </c>
      <c r="EE36">
        <f>227233.5</f>
        <v>227233.5</v>
      </c>
      <c r="EF36">
        <f>224901.75</f>
        <v>224901.75</v>
      </c>
      <c r="EG36">
        <f>226981.5</f>
        <v>226981.5</v>
      </c>
      <c r="EH36">
        <f>266976</f>
        <v>266976</v>
      </c>
      <c r="EI36">
        <f>241415.5</f>
        <v>241415.5</v>
      </c>
      <c r="EJ36">
        <f>257675.25</f>
        <v>257675.25</v>
      </c>
      <c r="EK36">
        <f>265559.25</f>
        <v>265559.25</v>
      </c>
      <c r="EL36">
        <f>239329</f>
        <v>239329</v>
      </c>
      <c r="EM36">
        <f>260893.5</f>
        <v>260893.5</v>
      </c>
      <c r="EN36">
        <f>245933.25</f>
        <v>245933.25</v>
      </c>
      <c r="EO36">
        <f>240035.25</f>
        <v>240035.25</v>
      </c>
      <c r="EP36">
        <f>228151.25</f>
        <v>228151.25</v>
      </c>
      <c r="EQ36">
        <f>240110.5</f>
        <v>240110.5</v>
      </c>
      <c r="ER36">
        <f>241120.5</f>
        <v>241120.5</v>
      </c>
      <c r="ES36">
        <f>239890</f>
        <v>239890</v>
      </c>
      <c r="ET36">
        <f>270538</f>
        <v>270538</v>
      </c>
      <c r="EU36">
        <f>221354.75</f>
        <v>221354.75</v>
      </c>
      <c r="EV36">
        <f>258820.5</f>
        <v>258820.5</v>
      </c>
      <c r="EW36">
        <f>252679</f>
        <v>252679</v>
      </c>
      <c r="EX36">
        <f>223839.5</f>
        <v>223839.5</v>
      </c>
      <c r="EY36">
        <f>236890.5</f>
        <v>236890.5</v>
      </c>
      <c r="EZ36">
        <f>219281</f>
        <v>219281</v>
      </c>
      <c r="FA36">
        <f>252230.25</f>
        <v>252230.25</v>
      </c>
      <c r="FB36">
        <f>218726.5</f>
        <v>218726.5</v>
      </c>
      <c r="FC36">
        <f>220533.75</f>
        <v>220533.75</v>
      </c>
      <c r="FD36">
        <f>237524.5</f>
        <v>237524.5</v>
      </c>
      <c r="FE36">
        <f>240570</f>
        <v>240570</v>
      </c>
      <c r="FF36">
        <f>265489.75</f>
        <v>265489.75</v>
      </c>
      <c r="FG36">
        <f>237815.5</f>
        <v>237815.5</v>
      </c>
      <c r="FH36">
        <f>240604.5</f>
        <v>240604.5</v>
      </c>
      <c r="FI36">
        <f>234230</f>
        <v>234230</v>
      </c>
      <c r="FJ36">
        <f>231674.75</f>
        <v>231674.75</v>
      </c>
      <c r="FK36">
        <f>246871.25</f>
        <v>246871.25</v>
      </c>
      <c r="FL36">
        <f>225196.25</f>
        <v>225196.25</v>
      </c>
      <c r="FM36">
        <f>232148.25</f>
        <v>232148.25</v>
      </c>
      <c r="FN36">
        <f>220375.5</f>
        <v>220375.5</v>
      </c>
      <c r="FO36">
        <f>228516</f>
        <v>228516</v>
      </c>
      <c r="FP36">
        <f>229624.25</f>
        <v>229624.25</v>
      </c>
      <c r="FQ36">
        <f>236155.25</f>
        <v>236155.25</v>
      </c>
    </row>
    <row r="37" spans="1:173" x14ac:dyDescent="0.25">
      <c r="A37" t="str">
        <f>"    Port of Houston (TEU)"</f>
        <v xml:space="preserve">    Port of Houston (TEU)</v>
      </c>
      <c r="B37" t="str">
        <f>"TEUHTOTL Index"</f>
        <v>TEUHTOTL Index</v>
      </c>
      <c r="C37" t="str">
        <f t="shared" si="0"/>
        <v>PX385</v>
      </c>
      <c r="D37" t="str">
        <f t="shared" si="1"/>
        <v>INTERVAL_SUM</v>
      </c>
      <c r="E37" t="str">
        <f t="shared" si="2"/>
        <v>Dynamic</v>
      </c>
      <c r="F37" t="str">
        <f ca="1">IF(AND(ISNUMBER($F$99),$B$69=1),$F$99,HLOOKUP(INDIRECT(ADDRESS(2,COLUMN())),OFFSET($CL$2,0,0,ROW()-1,84),ROW()-1,FALSE))</f>
        <v/>
      </c>
      <c r="G37">
        <f ca="1">IF(AND(ISNUMBER($G$99),$B$69=1),$G$99,HLOOKUP(INDIRECT(ADDRESS(2,COLUMN())),OFFSET($CL$2,0,0,ROW()-1,84),ROW()-1,FALSE))</f>
        <v>325588</v>
      </c>
      <c r="H37">
        <f ca="1">IF(AND(ISNUMBER($H$99),$B$69=1),$H$99,HLOOKUP(INDIRECT(ADDRESS(2,COLUMN())),OFFSET($CL$2,0,0,ROW()-1,84),ROW()-1,FALSE))</f>
        <v>307624</v>
      </c>
      <c r="I37">
        <f ca="1">IF(AND(ISNUMBER($I$99),$B$69=1),$I$99,HLOOKUP(INDIRECT(ADDRESS(2,COLUMN())),OFFSET($CL$2,0,0,ROW()-1,84),ROW()-1,FALSE))</f>
        <v>344163</v>
      </c>
      <c r="J37">
        <f ca="1">IF(AND(ISNUMBER($J$99),$B$69=1),$J$99,HLOOKUP(INDIRECT(ADDRESS(2,COLUMN())),OFFSET($CL$2,0,0,ROW()-1,84),ROW()-1,FALSE))</f>
        <v>315983</v>
      </c>
      <c r="K37">
        <f ca="1">IF(AND(ISNUMBER($K$99),$B$69=1),$K$99,HLOOKUP(INDIRECT(ADDRESS(2,COLUMN())),OFFSET($CL$2,0,0,ROW()-1,84),ROW()-1,FALSE))</f>
        <v>300482</v>
      </c>
      <c r="L37">
        <f ca="1">IF(AND(ISNUMBER($L$99),$B$69=1),$L$99,HLOOKUP(INDIRECT(ADDRESS(2,COLUMN())),OFFSET($CL$2,0,0,ROW()-1,84),ROW()-1,FALSE))</f>
        <v>307879</v>
      </c>
      <c r="M37">
        <f ca="1">IF(AND(ISNUMBER($M$99),$B$69=1),$M$99,HLOOKUP(INDIRECT(ADDRESS(2,COLUMN())),OFFSET($CL$2,0,0,ROW()-1,84),ROW()-1,FALSE))</f>
        <v>300589</v>
      </c>
      <c r="N37">
        <f ca="1">IF(AND(ISNUMBER($N$99),$B$69=1),$N$99,HLOOKUP(INDIRECT(ADDRESS(2,COLUMN())),OFFSET($CL$2,0,0,ROW()-1,84),ROW()-1,FALSE))</f>
        <v>313452</v>
      </c>
      <c r="O37">
        <f ca="1">IF(AND(ISNUMBER($O$99),$B$69=1),$O$99,HLOOKUP(INDIRECT(ADDRESS(2,COLUMN())),OFFSET($CL$2,0,0,ROW()-1,84),ROW()-1,FALSE))</f>
        <v>319990</v>
      </c>
      <c r="P37">
        <f ca="1">IF(AND(ISNUMBER($P$99),$B$69=1),$P$99,HLOOKUP(INDIRECT(ADDRESS(2,COLUMN())),OFFSET($CL$2,0,0,ROW()-1,84),ROW()-1,FALSE))</f>
        <v>292027</v>
      </c>
      <c r="Q37">
        <f ca="1">IF(AND(ISNUMBER($Q$99),$B$69=1),$Q$99,HLOOKUP(INDIRECT(ADDRESS(2,COLUMN())),OFFSET($CL$2,0,0,ROW()-1,84),ROW()-1,FALSE))</f>
        <v>348950</v>
      </c>
      <c r="R37">
        <f ca="1">IF(AND(ISNUMBER($R$99),$B$69=1),$R$99,HLOOKUP(INDIRECT(ADDRESS(2,COLUMN())),OFFSET($CL$2,0,0,ROW()-1,84),ROW()-1,FALSE))</f>
        <v>371994</v>
      </c>
      <c r="S37">
        <f ca="1">IF(AND(ISNUMBER($S$99),$B$69=1),$S$99,HLOOKUP(INDIRECT(ADDRESS(2,COLUMN())),OFFSET($CL$2,0,0,ROW()-1,84),ROW()-1,FALSE))</f>
        <v>353524</v>
      </c>
      <c r="T37">
        <f ca="1">IF(AND(ISNUMBER($T$99),$B$69=1),$T$99,HLOOKUP(INDIRECT(ADDRESS(2,COLUMN())),OFFSET($CL$2,0,0,ROW()-1,84),ROW()-1,FALSE))</f>
        <v>382842</v>
      </c>
      <c r="U37">
        <f ca="1">IF(AND(ISNUMBER($U$99),$B$69=1),$U$99,HLOOKUP(INDIRECT(ADDRESS(2,COLUMN())),OFFSET($CL$2,0,0,ROW()-1,84),ROW()-1,FALSE))</f>
        <v>328498</v>
      </c>
      <c r="V37">
        <f ca="1">IF(AND(ISNUMBER($V$99),$B$69=1),$V$99,HLOOKUP(INDIRECT(ADDRESS(2,COLUMN())),OFFSET($CL$2,0,0,ROW()-1,84),ROW()-1,FALSE))</f>
        <v>323823</v>
      </c>
      <c r="W37">
        <f ca="1">IF(AND(ISNUMBER($W$99),$B$69=1),$W$99,HLOOKUP(INDIRECT(ADDRESS(2,COLUMN())),OFFSET($CL$2,0,0,ROW()-1,84),ROW()-1,FALSE))</f>
        <v>335366</v>
      </c>
      <c r="X37">
        <f ca="1">IF(AND(ISNUMBER($X$99),$B$69=1),$X$99,HLOOKUP(INDIRECT(ADDRESS(2,COLUMN())),OFFSET($CL$2,0,0,ROW()-1,84),ROW()-1,FALSE))</f>
        <v>334493</v>
      </c>
      <c r="Y37">
        <f ca="1">IF(AND(ISNUMBER($Y$99),$B$69=1),$Y$99,HLOOKUP(INDIRECT(ADDRESS(2,COLUMN())),OFFSET($CL$2,0,0,ROW()-1,84),ROW()-1,FALSE))</f>
        <v>308557</v>
      </c>
      <c r="Z37">
        <f ca="1">IF(AND(ISNUMBER($Z$99),$B$69=1),$Z$99,HLOOKUP(INDIRECT(ADDRESS(2,COLUMN())),OFFSET($CL$2,0,0,ROW()-1,84),ROW()-1,FALSE))</f>
        <v>271399</v>
      </c>
      <c r="AA37">
        <f ca="1">IF(AND(ISNUMBER($AA$99),$B$69=1),$AA$99,HLOOKUP(INDIRECT(ADDRESS(2,COLUMN())),OFFSET($CL$2,0,0,ROW()-1,84),ROW()-1,FALSE))</f>
        <v>323427</v>
      </c>
      <c r="AB37">
        <f ca="1">IF(AND(ISNUMBER($AB$99),$B$69=1),$AB$99,HLOOKUP(INDIRECT(ADDRESS(2,COLUMN())),OFFSET($CL$2,0,0,ROW()-1,84),ROW()-1,FALSE))</f>
        <v>303204</v>
      </c>
      <c r="AC37">
        <f ca="1">IF(AND(ISNUMBER($AC$99),$B$69=1),$AC$99,HLOOKUP(INDIRECT(ADDRESS(2,COLUMN())),OFFSET($CL$2,0,0,ROW()-1,84),ROW()-1,FALSE))</f>
        <v>314576</v>
      </c>
      <c r="AD37">
        <f ca="1">IF(AND(ISNUMBER($AD$99),$B$69=1),$AD$99,HLOOKUP(INDIRECT(ADDRESS(2,COLUMN())),OFFSET($CL$2,0,0,ROW()-1,84),ROW()-1,FALSE))</f>
        <v>328486</v>
      </c>
      <c r="AE37">
        <f ca="1">IF(AND(ISNUMBER($AE$99),$B$69=1),$AE$99,HLOOKUP(INDIRECT(ADDRESS(2,COLUMN())),OFFSET($CL$2,0,0,ROW()-1,84),ROW()-1,FALSE))</f>
        <v>281500</v>
      </c>
      <c r="AF37">
        <f ca="1">IF(AND(ISNUMBER($AF$99),$B$69=1),$AF$99,HLOOKUP(INDIRECT(ADDRESS(2,COLUMN())),OFFSET($CL$2,0,0,ROW()-1,84),ROW()-1,FALSE))</f>
        <v>320086</v>
      </c>
      <c r="AG37">
        <f ca="1">IF(AND(ISNUMBER($AG$99),$B$69=1),$AG$99,HLOOKUP(INDIRECT(ADDRESS(2,COLUMN())),OFFSET($CL$2,0,0,ROW()-1,84),ROW()-1,FALSE))</f>
        <v>297621</v>
      </c>
      <c r="AH37">
        <f ca="1">IF(AND(ISNUMBER($AH$99),$B$69=1),$AH$99,HLOOKUP(INDIRECT(ADDRESS(2,COLUMN())),OFFSET($CL$2,0,0,ROW()-1,84),ROW()-1,FALSE))</f>
        <v>292587</v>
      </c>
      <c r="AI37">
        <f ca="1">IF(AND(ISNUMBER($AI$99),$B$69=1),$AI$99,HLOOKUP(INDIRECT(ADDRESS(2,COLUMN())),OFFSET($CL$2,0,0,ROW()-1,84),ROW()-1,FALSE))</f>
        <v>288127</v>
      </c>
      <c r="AJ37">
        <f ca="1">IF(AND(ISNUMBER($AJ$99),$B$69=1),$AJ$99,HLOOKUP(INDIRECT(ADDRESS(2,COLUMN())),OFFSET($CL$2,0,0,ROW()-1,84),ROW()-1,FALSE))</f>
        <v>275840</v>
      </c>
      <c r="AK37">
        <f ca="1">IF(AND(ISNUMBER($AK$99),$B$69=1),$AK$99,HLOOKUP(INDIRECT(ADDRESS(2,COLUMN())),OFFSET($CL$2,0,0,ROW()-1,84),ROW()-1,FALSE))</f>
        <v>297397</v>
      </c>
      <c r="AL37">
        <f ca="1">IF(AND(ISNUMBER($AL$99),$B$69=1),$AL$99,HLOOKUP(INDIRECT(ADDRESS(2,COLUMN())),OFFSET($CL$2,0,0,ROW()-1,84),ROW()-1,FALSE))</f>
        <v>198763</v>
      </c>
      <c r="AM37">
        <f ca="1">IF(AND(ISNUMBER($AM$99),$B$69=1),$AM$99,HLOOKUP(INDIRECT(ADDRESS(2,COLUMN())),OFFSET($CL$2,0,0,ROW()-1,84),ROW()-1,FALSE))</f>
        <v>255039</v>
      </c>
      <c r="AN37">
        <f ca="1">IF(AND(ISNUMBER($AN$99),$B$69=1),$AN$99,HLOOKUP(INDIRECT(ADDRESS(2,COLUMN())),OFFSET($CL$2,0,0,ROW()-1,84),ROW()-1,FALSE))</f>
        <v>264626</v>
      </c>
      <c r="AO37">
        <f ca="1">IF(AND(ISNUMBER($AO$99),$B$69=1),$AO$99,HLOOKUP(INDIRECT(ADDRESS(2,COLUMN())),OFFSET($CL$2,0,0,ROW()-1,84),ROW()-1,FALSE))</f>
        <v>262930</v>
      </c>
      <c r="AP37">
        <f ca="1">IF(AND(ISNUMBER($AP$99),$B$69=1),$AP$99,HLOOKUP(INDIRECT(ADDRESS(2,COLUMN())),OFFSET($CL$2,0,0,ROW()-1,84),ROW()-1,FALSE))</f>
        <v>296210</v>
      </c>
      <c r="AQ37">
        <f ca="1">IF(AND(ISNUMBER($AQ$99),$B$69=1),$AQ$99,HLOOKUP(INDIRECT(ADDRESS(2,COLUMN())),OFFSET($CL$2,0,0,ROW()-1,84),ROW()-1,FALSE))</f>
        <v>254405</v>
      </c>
      <c r="AR37">
        <f ca="1">IF(AND(ISNUMBER($AR$99),$B$69=1),$AR$99,HLOOKUP(INDIRECT(ADDRESS(2,COLUMN())),OFFSET($CL$2,0,0,ROW()-1,84),ROW()-1,FALSE))</f>
        <v>248630</v>
      </c>
      <c r="AS37">
        <f ca="1">IF(AND(ISNUMBER($AS$99),$B$69=1),$AS$99,HLOOKUP(INDIRECT(ADDRESS(2,COLUMN())),OFFSET($CL$2,0,0,ROW()-1,84),ROW()-1,FALSE))</f>
        <v>234737</v>
      </c>
      <c r="AT37">
        <f ca="1">IF(AND(ISNUMBER($AT$99),$B$69=1),$AT$99,HLOOKUP(INDIRECT(ADDRESS(2,COLUMN())),OFFSET($CL$2,0,0,ROW()-1,84),ROW()-1,FALSE))</f>
        <v>210932</v>
      </c>
      <c r="AU37">
        <f ca="1">IF(AND(ISNUMBER($AU$99),$B$69=1),$AU$99,HLOOKUP(INDIRECT(ADDRESS(2,COLUMN())),OFFSET($CL$2,0,0,ROW()-1,84),ROW()-1,FALSE))</f>
        <v>222250</v>
      </c>
      <c r="AV37">
        <f ca="1">IF(AND(ISNUMBER($AV$99),$B$69=1),$AV$99,HLOOKUP(INDIRECT(ADDRESS(2,COLUMN())),OFFSET($CL$2,0,0,ROW()-1,84),ROW()-1,FALSE))</f>
        <v>221540</v>
      </c>
      <c r="AW37">
        <f ca="1">IF(AND(ISNUMBER($AW$99),$B$69=1),$AW$99,HLOOKUP(INDIRECT(ADDRESS(2,COLUMN())),OFFSET($CL$2,0,0,ROW()-1,84),ROW()-1,FALSE))</f>
        <v>248840</v>
      </c>
      <c r="AX37">
        <f ca="1">IF(AND(ISNUMBER($AX$99),$B$69=1),$AX$99,HLOOKUP(INDIRECT(ADDRESS(2,COLUMN())),OFFSET($CL$2,0,0,ROW()-1,84),ROW()-1,FALSE))</f>
        <v>255474</v>
      </c>
      <c r="AY37">
        <f ca="1">IF(AND(ISNUMBER($AY$99),$B$69=1),$AY$99,HLOOKUP(INDIRECT(ADDRESS(2,COLUMN())),OFFSET($CL$2,0,0,ROW()-1,84),ROW()-1,FALSE))</f>
        <v>268773</v>
      </c>
      <c r="AZ37">
        <f ca="1">IF(AND(ISNUMBER($AZ$99),$B$69=1),$AZ$99,HLOOKUP(INDIRECT(ADDRESS(2,COLUMN())),OFFSET($CL$2,0,0,ROW()-1,84),ROW()-1,FALSE))</f>
        <v>250946</v>
      </c>
      <c r="BA37">
        <f ca="1">IF(AND(ISNUMBER($BA$99),$B$69=1),$BA$99,HLOOKUP(INDIRECT(ADDRESS(2,COLUMN())),OFFSET($CL$2,0,0,ROW()-1,84),ROW()-1,FALSE))</f>
        <v>245738</v>
      </c>
      <c r="BB37">
        <f ca="1">IF(AND(ISNUMBER($BB$99),$B$69=1),$BB$99,HLOOKUP(INDIRECT(ADDRESS(2,COLUMN())),OFFSET($CL$2,0,0,ROW()-1,84),ROW()-1,FALSE))</f>
        <v>258571</v>
      </c>
      <c r="BC37">
        <f ca="1">IF(AND(ISNUMBER($BC$99),$B$69=1),$BC$99,HLOOKUP(INDIRECT(ADDRESS(2,COLUMN())),OFFSET($CL$2,0,0,ROW()-1,84),ROW()-1,FALSE))</f>
        <v>251524</v>
      </c>
      <c r="BD37">
        <f ca="1">IF(AND(ISNUMBER($BD$99),$B$69=1),$BD$99,HLOOKUP(INDIRECT(ADDRESS(2,COLUMN())),OFFSET($CL$2,0,0,ROW()-1,84),ROW()-1,FALSE))</f>
        <v>259110</v>
      </c>
      <c r="BE37">
        <f ca="1">IF(AND(ISNUMBER($BE$99),$B$69=1),$BE$99,HLOOKUP(INDIRECT(ADDRESS(2,COLUMN())),OFFSET($CL$2,0,0,ROW()-1,84),ROW()-1,FALSE))</f>
        <v>259993</v>
      </c>
      <c r="BF37">
        <f ca="1">IF(AND(ISNUMBER($BF$99),$B$69=1),$BF$99,HLOOKUP(INDIRECT(ADDRESS(2,COLUMN())),OFFSET($CL$2,0,0,ROW()-1,84),ROW()-1,FALSE))</f>
        <v>251488</v>
      </c>
      <c r="BG37">
        <f ca="1">IF(AND(ISNUMBER($BG$99),$B$69=1),$BG$99,HLOOKUP(INDIRECT(ADDRESS(2,COLUMN())),OFFSET($CL$2,0,0,ROW()-1,84),ROW()-1,FALSE))</f>
        <v>263061</v>
      </c>
      <c r="BH37">
        <f ca="1">IF(AND(ISNUMBER($BH$99),$B$69=1),$BH$99,HLOOKUP(INDIRECT(ADDRESS(2,COLUMN())),OFFSET($CL$2,0,0,ROW()-1,84),ROW()-1,FALSE))</f>
        <v>252693</v>
      </c>
      <c r="BI37">
        <f ca="1">IF(AND(ISNUMBER($BI$99),$B$69=1),$BI$99,HLOOKUP(INDIRECT(ADDRESS(2,COLUMN())),OFFSET($CL$2,0,0,ROW()-1,84),ROW()-1,FALSE))</f>
        <v>280721</v>
      </c>
      <c r="BJ37">
        <f ca="1">IF(AND(ISNUMBER($BJ$99),$B$69=1),$BJ$99,HLOOKUP(INDIRECT(ADDRESS(2,COLUMN())),OFFSET($CL$2,0,0,ROW()-1,84),ROW()-1,FALSE))</f>
        <v>198494</v>
      </c>
      <c r="BK37">
        <f ca="1">IF(AND(ISNUMBER($BK$99),$B$69=1),$BK$99,HLOOKUP(INDIRECT(ADDRESS(2,COLUMN())),OFFSET($CL$2,0,0,ROW()-1,84),ROW()-1,FALSE))</f>
        <v>214952</v>
      </c>
      <c r="BL37">
        <f ca="1">IF(AND(ISNUMBER($BL$99),$B$69=1),$BL$99,HLOOKUP(INDIRECT(ADDRESS(2,COLUMN())),OFFSET($CL$2,0,0,ROW()-1,84),ROW()-1,FALSE))</f>
        <v>221358</v>
      </c>
      <c r="BM37">
        <f ca="1">IF(AND(ISNUMBER($BM$99),$B$69=1),$BM$99,HLOOKUP(INDIRECT(ADDRESS(2,COLUMN())),OFFSET($CL$2,0,0,ROW()-1,84),ROW()-1,FALSE))</f>
        <v>226343</v>
      </c>
      <c r="BN37">
        <f ca="1">IF(AND(ISNUMBER($BN$99),$B$69=1),$BN$99,HLOOKUP(INDIRECT(ADDRESS(2,COLUMN())),OFFSET($CL$2,0,0,ROW()-1,84),ROW()-1,FALSE))</f>
        <v>240982</v>
      </c>
      <c r="BO37">
        <f ca="1">IF(AND(ISNUMBER($BO$99),$B$69=1),$BO$99,HLOOKUP(INDIRECT(ADDRESS(2,COLUMN())),OFFSET($CL$2,0,0,ROW()-1,84),ROW()-1,FALSE))</f>
        <v>230331</v>
      </c>
      <c r="BP37">
        <f ca="1">IF(AND(ISNUMBER($BP$99),$B$69=1),$BP$99,HLOOKUP(INDIRECT(ADDRESS(2,COLUMN())),OFFSET($CL$2,0,0,ROW()-1,84),ROW()-1,FALSE))</f>
        <v>238644</v>
      </c>
      <c r="BQ37">
        <f ca="1">IF(AND(ISNUMBER($BQ$99),$B$69=1),$BQ$99,HLOOKUP(INDIRECT(ADDRESS(2,COLUMN())),OFFSET($CL$2,0,0,ROW()-1,84),ROW()-1,FALSE))</f>
        <v>236032</v>
      </c>
      <c r="BR37">
        <f ca="1">IF(AND(ISNUMBER($BR$99),$B$69=1),$BR$99,HLOOKUP(INDIRECT(ADDRESS(2,COLUMN())),OFFSET($CL$2,0,0,ROW()-1,84),ROW()-1,FALSE))</f>
        <v>223890</v>
      </c>
      <c r="BS37">
        <f ca="1">IF(AND(ISNUMBER($BS$99),$B$69=1),$BS$99,HLOOKUP(INDIRECT(ADDRESS(2,COLUMN())),OFFSET($CL$2,0,0,ROW()-1,84),ROW()-1,FALSE))</f>
        <v>245996</v>
      </c>
      <c r="BT37">
        <f ca="1">IF(AND(ISNUMBER($BT$99),$B$69=1),$BT$99,HLOOKUP(INDIRECT(ADDRESS(2,COLUMN())),OFFSET($CL$2,0,0,ROW()-1,84),ROW()-1,FALSE))</f>
        <v>218799</v>
      </c>
      <c r="BU37">
        <f ca="1">IF(AND(ISNUMBER($BU$99),$B$69=1),$BU$99,HLOOKUP(INDIRECT(ADDRESS(2,COLUMN())),OFFSET($CL$2,0,0,ROW()-1,84),ROW()-1,FALSE))</f>
        <v>229158</v>
      </c>
      <c r="BV37">
        <f ca="1">IF(AND(ISNUMBER($BV$99),$B$69=1),$BV$99,HLOOKUP(INDIRECT(ADDRESS(2,COLUMN())),OFFSET($CL$2,0,0,ROW()-1,84),ROW()-1,FALSE))</f>
        <v>198621</v>
      </c>
      <c r="BW37">
        <f ca="1">IF(AND(ISNUMBER($BW$99),$B$69=1),$BW$99,HLOOKUP(INDIRECT(ADDRESS(2,COLUMN())),OFFSET($CL$2,0,0,ROW()-1,84),ROW()-1,FALSE))</f>
        <v>189696</v>
      </c>
      <c r="BX37">
        <f ca="1">IF(AND(ISNUMBER($BX$99),$B$69=1),$BX$99,HLOOKUP(INDIRECT(ADDRESS(2,COLUMN())),OFFSET($CL$2,0,0,ROW()-1,84),ROW()-1,FALSE))</f>
        <v>208257</v>
      </c>
      <c r="BY37">
        <f ca="1">IF(AND(ISNUMBER($BY$99),$B$69=1),$BY$99,HLOOKUP(INDIRECT(ADDRESS(2,COLUMN())),OFFSET($CL$2,0,0,ROW()-1,84),ROW()-1,FALSE))</f>
        <v>195875</v>
      </c>
      <c r="BZ37">
        <f ca="1">IF(AND(ISNUMBER($BZ$99),$B$69=1),$BZ$99,HLOOKUP(INDIRECT(ADDRESS(2,COLUMN())),OFFSET($CL$2,0,0,ROW()-1,84),ROW()-1,FALSE))</f>
        <v>223127</v>
      </c>
      <c r="CA37">
        <f ca="1">IF(AND(ISNUMBER($CA$99),$B$69=1),$CA$99,HLOOKUP(INDIRECT(ADDRESS(2,COLUMN())),OFFSET($CL$2,0,0,ROW()-1,84),ROW()-1,FALSE))</f>
        <v>226483</v>
      </c>
      <c r="CB37">
        <f ca="1">IF(AND(ISNUMBER($CB$99),$B$69=1),$CB$99,HLOOKUP(INDIRECT(ADDRESS(2,COLUMN())),OFFSET($CL$2,0,0,ROW()-1,84),ROW()-1,FALSE))</f>
        <v>166353</v>
      </c>
      <c r="CC37">
        <f ca="1">IF(AND(ISNUMBER($CC$99),$B$69=1),$CC$99,HLOOKUP(INDIRECT(ADDRESS(2,COLUMN())),OFFSET($CL$2,0,0,ROW()-1,84),ROW()-1,FALSE))</f>
        <v>203010</v>
      </c>
      <c r="CD37">
        <f ca="1">IF(AND(ISNUMBER($CD$99),$B$69=1),$CD$99,HLOOKUP(INDIRECT(ADDRESS(2,COLUMN())),OFFSET($CL$2,0,0,ROW()-1,84),ROW()-1,FALSE))</f>
        <v>212843</v>
      </c>
      <c r="CE37">
        <f ca="1">IF(AND(ISNUMBER($CE$99),$B$69=1),$CE$99,HLOOKUP(INDIRECT(ADDRESS(2,COLUMN())),OFFSET($CL$2,0,0,ROW()-1,84),ROW()-1,FALSE))</f>
        <v>213893</v>
      </c>
      <c r="CF37">
        <f ca="1">IF(AND(ISNUMBER($CF$99),$B$69=1),$CF$99,HLOOKUP(INDIRECT(ADDRESS(2,COLUMN())),OFFSET($CL$2,0,0,ROW()-1,84),ROW()-1,FALSE))</f>
        <v>201804</v>
      </c>
      <c r="CG37">
        <f ca="1">IF(AND(ISNUMBER($CG$99),$B$69=1),$CG$99,HLOOKUP(INDIRECT(ADDRESS(2,COLUMN())),OFFSET($CL$2,0,0,ROW()-1,84),ROW()-1,FALSE))</f>
        <v>221661</v>
      </c>
      <c r="CH37">
        <f ca="1">IF(AND(ISNUMBER($CH$99),$B$69=1),$CH$99,HLOOKUP(INDIRECT(ADDRESS(2,COLUMN())),OFFSET($CL$2,0,0,ROW()-1,84),ROW()-1,FALSE))</f>
        <v>188861</v>
      </c>
      <c r="CI37">
        <f ca="1">IF(AND(ISNUMBER($CI$99),$B$69=1),$CI$99,HLOOKUP(INDIRECT(ADDRESS(2,COLUMN())),OFFSET($CL$2,0,0,ROW()-1,84),ROW()-1,FALSE))</f>
        <v>196940</v>
      </c>
      <c r="CJ37">
        <f ca="1">IF(AND(ISNUMBER($CJ$99),$B$69=1),$CJ$99,HLOOKUP(INDIRECT(ADDRESS(2,COLUMN())),OFFSET($CL$2,0,0,ROW()-1,84),ROW()-1,FALSE))</f>
        <v>173256</v>
      </c>
      <c r="CK37">
        <f ca="1">IF(AND(ISNUMBER($CK$99),$B$69=1),$CK$99,HLOOKUP(INDIRECT(ADDRESS(2,COLUMN())),OFFSET($CL$2,0,0,ROW()-1,84),ROW()-1,FALSE))</f>
        <v>178693</v>
      </c>
      <c r="CL37" t="str">
        <f>""</f>
        <v/>
      </c>
      <c r="CM37">
        <f>325588</f>
        <v>325588</v>
      </c>
      <c r="CN37">
        <f>307624</f>
        <v>307624</v>
      </c>
      <c r="CO37">
        <f>344163</f>
        <v>344163</v>
      </c>
      <c r="CP37">
        <f>315983</f>
        <v>315983</v>
      </c>
      <c r="CQ37">
        <f>300482</f>
        <v>300482</v>
      </c>
      <c r="CR37">
        <f>307879</f>
        <v>307879</v>
      </c>
      <c r="CS37">
        <f>300589</f>
        <v>300589</v>
      </c>
      <c r="CT37">
        <f>313452</f>
        <v>313452</v>
      </c>
      <c r="CU37">
        <f>319990</f>
        <v>319990</v>
      </c>
      <c r="CV37">
        <f>292027</f>
        <v>292027</v>
      </c>
      <c r="CW37">
        <f>348950</f>
        <v>348950</v>
      </c>
      <c r="CX37">
        <f>371994</f>
        <v>371994</v>
      </c>
      <c r="CY37">
        <f>353524</f>
        <v>353524</v>
      </c>
      <c r="CZ37">
        <f>382842</f>
        <v>382842</v>
      </c>
      <c r="DA37">
        <f>328498</f>
        <v>328498</v>
      </c>
      <c r="DB37">
        <f>323823</f>
        <v>323823</v>
      </c>
      <c r="DC37">
        <f>335366</f>
        <v>335366</v>
      </c>
      <c r="DD37">
        <f>334493</f>
        <v>334493</v>
      </c>
      <c r="DE37">
        <f>308557</f>
        <v>308557</v>
      </c>
      <c r="DF37">
        <f>271399</f>
        <v>271399</v>
      </c>
      <c r="DG37">
        <f>323427</f>
        <v>323427</v>
      </c>
      <c r="DH37">
        <f>303204</f>
        <v>303204</v>
      </c>
      <c r="DI37">
        <f>314576</f>
        <v>314576</v>
      </c>
      <c r="DJ37">
        <f>328486</f>
        <v>328486</v>
      </c>
      <c r="DK37">
        <f>281500</f>
        <v>281500</v>
      </c>
      <c r="DL37">
        <f>320086</f>
        <v>320086</v>
      </c>
      <c r="DM37">
        <f>297621</f>
        <v>297621</v>
      </c>
      <c r="DN37">
        <f>292587</f>
        <v>292587</v>
      </c>
      <c r="DO37">
        <f>288127</f>
        <v>288127</v>
      </c>
      <c r="DP37">
        <f>275840</f>
        <v>275840</v>
      </c>
      <c r="DQ37">
        <f>297397</f>
        <v>297397</v>
      </c>
      <c r="DR37">
        <f>198763</f>
        <v>198763</v>
      </c>
      <c r="DS37">
        <f>255039</f>
        <v>255039</v>
      </c>
      <c r="DT37">
        <f>264626</f>
        <v>264626</v>
      </c>
      <c r="DU37">
        <f>262930</f>
        <v>262930</v>
      </c>
      <c r="DV37">
        <f>296210</f>
        <v>296210</v>
      </c>
      <c r="DW37">
        <f>254405</f>
        <v>254405</v>
      </c>
      <c r="DX37">
        <f>248630</f>
        <v>248630</v>
      </c>
      <c r="DY37">
        <f>234737</f>
        <v>234737</v>
      </c>
      <c r="DZ37">
        <f>210932</f>
        <v>210932</v>
      </c>
      <c r="EA37">
        <f>222250</f>
        <v>222250</v>
      </c>
      <c r="EB37">
        <f>221540</f>
        <v>221540</v>
      </c>
      <c r="EC37">
        <f>248840</f>
        <v>248840</v>
      </c>
      <c r="ED37">
        <f>255474</f>
        <v>255474</v>
      </c>
      <c r="EE37">
        <f>268773</f>
        <v>268773</v>
      </c>
      <c r="EF37">
        <f>250946</f>
        <v>250946</v>
      </c>
      <c r="EG37">
        <f>245738</f>
        <v>245738</v>
      </c>
      <c r="EH37">
        <f>258571</f>
        <v>258571</v>
      </c>
      <c r="EI37">
        <f>251524</f>
        <v>251524</v>
      </c>
      <c r="EJ37">
        <f>259110</f>
        <v>259110</v>
      </c>
      <c r="EK37">
        <f>259993</f>
        <v>259993</v>
      </c>
      <c r="EL37">
        <f>251488</f>
        <v>251488</v>
      </c>
      <c r="EM37">
        <f>263061</f>
        <v>263061</v>
      </c>
      <c r="EN37">
        <f>252693</f>
        <v>252693</v>
      </c>
      <c r="EO37">
        <f>280721</f>
        <v>280721</v>
      </c>
      <c r="EP37">
        <f>198494</f>
        <v>198494</v>
      </c>
      <c r="EQ37">
        <f>214952</f>
        <v>214952</v>
      </c>
      <c r="ER37">
        <f>221358</f>
        <v>221358</v>
      </c>
      <c r="ES37">
        <f>226343</f>
        <v>226343</v>
      </c>
      <c r="ET37">
        <f>240982</f>
        <v>240982</v>
      </c>
      <c r="EU37">
        <f>230331</f>
        <v>230331</v>
      </c>
      <c r="EV37">
        <f>238644</f>
        <v>238644</v>
      </c>
      <c r="EW37">
        <f>236032</f>
        <v>236032</v>
      </c>
      <c r="EX37">
        <f>223890</f>
        <v>223890</v>
      </c>
      <c r="EY37">
        <f>245996</f>
        <v>245996</v>
      </c>
      <c r="EZ37">
        <f>218799</f>
        <v>218799</v>
      </c>
      <c r="FA37">
        <f>229158</f>
        <v>229158</v>
      </c>
      <c r="FB37">
        <f>198621</f>
        <v>198621</v>
      </c>
      <c r="FC37">
        <f>189696</f>
        <v>189696</v>
      </c>
      <c r="FD37">
        <f>208257</f>
        <v>208257</v>
      </c>
      <c r="FE37">
        <f>195875</f>
        <v>195875</v>
      </c>
      <c r="FF37">
        <f>223127</f>
        <v>223127</v>
      </c>
      <c r="FG37">
        <f>226483</f>
        <v>226483</v>
      </c>
      <c r="FH37">
        <f>166353</f>
        <v>166353</v>
      </c>
      <c r="FI37">
        <f>203010</f>
        <v>203010</v>
      </c>
      <c r="FJ37">
        <f>212843</f>
        <v>212843</v>
      </c>
      <c r="FK37">
        <f>213893</f>
        <v>213893</v>
      </c>
      <c r="FL37">
        <f>201804</f>
        <v>201804</v>
      </c>
      <c r="FM37">
        <f>221661</f>
        <v>221661</v>
      </c>
      <c r="FN37">
        <f>188861</f>
        <v>188861</v>
      </c>
      <c r="FO37">
        <f>196940</f>
        <v>196940</v>
      </c>
      <c r="FP37">
        <f>173256</f>
        <v>173256</v>
      </c>
      <c r="FQ37">
        <f>178693</f>
        <v>178693</v>
      </c>
    </row>
    <row r="38" spans="1:173" x14ac:dyDescent="0.25">
      <c r="A38" t="str">
        <f>"    Port of Charleston (TEU)"</f>
        <v xml:space="preserve">    Port of Charleston (TEU)</v>
      </c>
      <c r="B38" t="str">
        <f>"POCHTOTL Index"</f>
        <v>POCHTOTL Index</v>
      </c>
      <c r="C38" t="str">
        <f t="shared" si="0"/>
        <v>PX385</v>
      </c>
      <c r="D38" t="str">
        <f t="shared" si="1"/>
        <v>INTERVAL_SUM</v>
      </c>
      <c r="E38" t="str">
        <f t="shared" si="2"/>
        <v>Dynamic</v>
      </c>
      <c r="F38" t="str">
        <f ca="1">IF(AND(ISNUMBER($F$100),$B$69=1),$F$100,HLOOKUP(INDIRECT(ADDRESS(2,COLUMN())),OFFSET($CL$2,0,0,ROW()-1,84),ROW()-1,FALSE))</f>
        <v/>
      </c>
      <c r="G38">
        <f ca="1">IF(AND(ISNUMBER($G$100),$B$69=1),$G$100,HLOOKUP(INDIRECT(ADDRESS(2,COLUMN())),OFFSET($CL$2,0,0,ROW()-1,84),ROW()-1,FALSE))</f>
        <v>199208</v>
      </c>
      <c r="H38">
        <f ca="1">IF(AND(ISNUMBER($H$100),$B$69=1),$H$100,HLOOKUP(INDIRECT(ADDRESS(2,COLUMN())),OFFSET($CL$2,0,0,ROW()-1,84),ROW()-1,FALSE))</f>
        <v>203169</v>
      </c>
      <c r="I38">
        <f ca="1">IF(AND(ISNUMBER($I$100),$B$69=1),$I$100,HLOOKUP(INDIRECT(ADDRESS(2,COLUMN())),OFFSET($CL$2,0,0,ROW()-1,84),ROW()-1,FALSE))</f>
        <v>208134</v>
      </c>
      <c r="J38">
        <f ca="1">IF(AND(ISNUMBER($J$100),$B$69=1),$J$100,HLOOKUP(INDIRECT(ADDRESS(2,COLUMN())),OFFSET($CL$2,0,0,ROW()-1,84),ROW()-1,FALSE))</f>
        <v>203091</v>
      </c>
      <c r="K38">
        <f ca="1">IF(AND(ISNUMBER($K$100),$B$69=1),$K$100,HLOOKUP(INDIRECT(ADDRESS(2,COLUMN())),OFFSET($CL$2,0,0,ROW()-1,84),ROW()-1,FALSE))</f>
        <v>198824</v>
      </c>
      <c r="L38">
        <f ca="1">IF(AND(ISNUMBER($L$100),$B$69=1),$L$100,HLOOKUP(INDIRECT(ADDRESS(2,COLUMN())),OFFSET($CL$2,0,0,ROW()-1,84),ROW()-1,FALSE))</f>
        <v>214101</v>
      </c>
      <c r="M38">
        <f ca="1">IF(AND(ISNUMBER($M$100),$B$69=1),$M$100,HLOOKUP(INDIRECT(ADDRESS(2,COLUMN())),OFFSET($CL$2,0,0,ROW()-1,84),ROW()-1,FALSE))</f>
        <v>193085</v>
      </c>
      <c r="N38">
        <f ca="1">IF(AND(ISNUMBER($N$100),$B$69=1),$N$100,HLOOKUP(INDIRECT(ADDRESS(2,COLUMN())),OFFSET($CL$2,0,0,ROW()-1,84),ROW()-1,FALSE))</f>
        <v>201418</v>
      </c>
      <c r="O38">
        <f ca="1">IF(AND(ISNUMBER($O$100),$B$69=1),$O$100,HLOOKUP(INDIRECT(ADDRESS(2,COLUMN())),OFFSET($CL$2,0,0,ROW()-1,84),ROW()-1,FALSE))</f>
        <v>215238</v>
      </c>
      <c r="P38">
        <f ca="1">IF(AND(ISNUMBER($P$100),$B$69=1),$P$100,HLOOKUP(INDIRECT(ADDRESS(2,COLUMN())),OFFSET($CL$2,0,0,ROW()-1,84),ROW()-1,FALSE))</f>
        <v>219351</v>
      </c>
      <c r="Q38">
        <f ca="1">IF(AND(ISNUMBER($Q$100),$B$69=1),$Q$100,HLOOKUP(INDIRECT(ADDRESS(2,COLUMN())),OFFSET($CL$2,0,0,ROW()-1,84),ROW()-1,FALSE))</f>
        <v>213073</v>
      </c>
      <c r="R38">
        <f ca="1">IF(AND(ISNUMBER($R$100),$B$69=1),$R$100,HLOOKUP(INDIRECT(ADDRESS(2,COLUMN())),OFFSET($CL$2,0,0,ROW()-1,84),ROW()-1,FALSE))</f>
        <v>256879</v>
      </c>
      <c r="S38">
        <f ca="1">IF(AND(ISNUMBER($S$100),$B$69=1),$S$100,HLOOKUP(INDIRECT(ADDRESS(2,COLUMN())),OFFSET($CL$2,0,0,ROW()-1,84),ROW()-1,FALSE))</f>
        <v>226807</v>
      </c>
      <c r="T38">
        <f ca="1">IF(AND(ISNUMBER($T$100),$B$69=1),$T$100,HLOOKUP(INDIRECT(ADDRESS(2,COLUMN())),OFFSET($CL$2,0,0,ROW()-1,84),ROW()-1,FALSE))</f>
        <v>223411</v>
      </c>
      <c r="U38">
        <f ca="1">IF(AND(ISNUMBER($U$100),$B$69=1),$U$100,HLOOKUP(INDIRECT(ADDRESS(2,COLUMN())),OFFSET($CL$2,0,0,ROW()-1,84),ROW()-1,FALSE))</f>
        <v>216097</v>
      </c>
      <c r="V38">
        <f ca="1">IF(AND(ISNUMBER($V$100),$B$69=1),$V$100,HLOOKUP(INDIRECT(ADDRESS(2,COLUMN())),OFFSET($CL$2,0,0,ROW()-1,84),ROW()-1,FALSE))</f>
        <v>196225</v>
      </c>
      <c r="W38">
        <f ca="1">IF(AND(ISNUMBER($W$100),$B$69=1),$W$100,HLOOKUP(INDIRECT(ADDRESS(2,COLUMN())),OFFSET($CL$2,0,0,ROW()-1,84),ROW()-1,FALSE))</f>
        <v>255104</v>
      </c>
      <c r="X38">
        <f ca="1">IF(AND(ISNUMBER($X$100),$B$69=1),$X$100,HLOOKUP(INDIRECT(ADDRESS(2,COLUMN())),OFFSET($CL$2,0,0,ROW()-1,84),ROW()-1,FALSE))</f>
        <v>264099</v>
      </c>
      <c r="Y38">
        <f ca="1">IF(AND(ISNUMBER($Y$100),$B$69=1),$Y$100,HLOOKUP(INDIRECT(ADDRESS(2,COLUMN())),OFFSET($CL$2,0,0,ROW()-1,84),ROW()-1,FALSE))</f>
        <v>264334</v>
      </c>
      <c r="Z38">
        <f ca="1">IF(AND(ISNUMBER($Z$100),$B$69=1),$Z$100,HLOOKUP(INDIRECT(ADDRESS(2,COLUMN())),OFFSET($CL$2,0,0,ROW()-1,84),ROW()-1,FALSE))</f>
        <v>230420</v>
      </c>
      <c r="AA38">
        <f ca="1">IF(AND(ISNUMBER($AA$100),$B$69=1),$AA$100,HLOOKUP(INDIRECT(ADDRESS(2,COLUMN())),OFFSET($CL$2,0,0,ROW()-1,84),ROW()-1,FALSE))</f>
        <v>226515</v>
      </c>
      <c r="AB38">
        <f ca="1">IF(AND(ISNUMBER($AB$100),$B$69=1),$AB$100,HLOOKUP(INDIRECT(ADDRESS(2,COLUMN())),OFFSET($CL$2,0,0,ROW()-1,84),ROW()-1,FALSE))</f>
        <v>246198</v>
      </c>
      <c r="AC38">
        <f ca="1">IF(AND(ISNUMBER($AC$100),$B$69=1),$AC$100,HLOOKUP(INDIRECT(ADDRESS(2,COLUMN())),OFFSET($CL$2,0,0,ROW()-1,84),ROW()-1,FALSE))</f>
        <v>250711</v>
      </c>
      <c r="AD38">
        <f ca="1">IF(AND(ISNUMBER($AD$100),$B$69=1),$AD$100,HLOOKUP(INDIRECT(ADDRESS(2,COLUMN())),OFFSET($CL$2,0,0,ROW()-1,84),ROW()-1,FALSE))</f>
        <v>234923</v>
      </c>
      <c r="AE38">
        <f ca="1">IF(AND(ISNUMBER($AE$100),$B$69=1),$AE$100,HLOOKUP(INDIRECT(ADDRESS(2,COLUMN())),OFFSET($CL$2,0,0,ROW()-1,84),ROW()-1,FALSE))</f>
        <v>205008</v>
      </c>
      <c r="AF38">
        <f ca="1">IF(AND(ISNUMBER($AF$100),$B$69=1),$AF$100,HLOOKUP(INDIRECT(ADDRESS(2,COLUMN())),OFFSET($CL$2,0,0,ROW()-1,84),ROW()-1,FALSE))</f>
        <v>234688</v>
      </c>
      <c r="AG38">
        <f ca="1">IF(AND(ISNUMBER($AG$100),$B$69=1),$AG$100,HLOOKUP(INDIRECT(ADDRESS(2,COLUMN())),OFFSET($CL$2,0,0,ROW()-1,84),ROW()-1,FALSE))</f>
        <v>244821</v>
      </c>
      <c r="AH38">
        <f ca="1">IF(AND(ISNUMBER($AH$100),$B$69=1),$AH$100,HLOOKUP(INDIRECT(ADDRESS(2,COLUMN())),OFFSET($CL$2,0,0,ROW()-1,84),ROW()-1,FALSE))</f>
        <v>231758</v>
      </c>
      <c r="AI38">
        <f ca="1">IF(AND(ISNUMBER($AI$100),$B$69=1),$AI$100,HLOOKUP(INDIRECT(ADDRESS(2,COLUMN())),OFFSET($CL$2,0,0,ROW()-1,84),ROW()-1,FALSE))</f>
        <v>230870</v>
      </c>
      <c r="AJ38">
        <f ca="1">IF(AND(ISNUMBER($AJ$100),$B$69=1),$AJ$100,HLOOKUP(INDIRECT(ADDRESS(2,COLUMN())),OFFSET($CL$2,0,0,ROW()-1,84),ROW()-1,FALSE))</f>
        <v>225136</v>
      </c>
      <c r="AK38">
        <f ca="1">IF(AND(ISNUMBER($AK$100),$B$69=1),$AK$100,HLOOKUP(INDIRECT(ADDRESS(2,COLUMN())),OFFSET($CL$2,0,0,ROW()-1,84),ROW()-1,FALSE))</f>
        <v>248796</v>
      </c>
      <c r="AL38">
        <f ca="1">IF(AND(ISNUMBER($AL$100),$B$69=1),$AL$100,HLOOKUP(INDIRECT(ADDRESS(2,COLUMN())),OFFSET($CL$2,0,0,ROW()-1,84),ROW()-1,FALSE))</f>
        <v>182269</v>
      </c>
      <c r="AM38">
        <f ca="1">IF(AND(ISNUMBER($AM$100),$B$69=1),$AM$100,HLOOKUP(INDIRECT(ADDRESS(2,COLUMN())),OFFSET($CL$2,0,0,ROW()-1,84),ROW()-1,FALSE))</f>
        <v>216265</v>
      </c>
      <c r="AN38">
        <f ca="1">IF(AND(ISNUMBER($AN$100),$B$69=1),$AN$100,HLOOKUP(INDIRECT(ADDRESS(2,COLUMN())),OFFSET($CL$2,0,0,ROW()-1,84),ROW()-1,FALSE))</f>
        <v>209606</v>
      </c>
      <c r="AO38">
        <f ca="1">IF(AND(ISNUMBER($AO$100),$B$69=1),$AO$100,HLOOKUP(INDIRECT(ADDRESS(2,COLUMN())),OFFSET($CL$2,0,0,ROW()-1,84),ROW()-1,FALSE))</f>
        <v>207066</v>
      </c>
      <c r="AP38">
        <f ca="1">IF(AND(ISNUMBER($AP$100),$B$69=1),$AP$100,HLOOKUP(INDIRECT(ADDRESS(2,COLUMN())),OFFSET($CL$2,0,0,ROW()-1,84),ROW()-1,FALSE))</f>
        <v>216196</v>
      </c>
      <c r="AQ38">
        <f ca="1">IF(AND(ISNUMBER($AQ$100),$B$69=1),$AQ$100,HLOOKUP(INDIRECT(ADDRESS(2,COLUMN())),OFFSET($CL$2,0,0,ROW()-1,84),ROW()-1,FALSE))</f>
        <v>195101</v>
      </c>
      <c r="AR38">
        <f ca="1">IF(AND(ISNUMBER($AR$100),$B$69=1),$AR$100,HLOOKUP(INDIRECT(ADDRESS(2,COLUMN())),OFFSET($CL$2,0,0,ROW()-1,84),ROW()-1,FALSE))</f>
        <v>208837</v>
      </c>
      <c r="AS38">
        <f ca="1">IF(AND(ISNUMBER($AS$100),$B$69=1),$AS$100,HLOOKUP(INDIRECT(ADDRESS(2,COLUMN())),OFFSET($CL$2,0,0,ROW()-1,84),ROW()-1,FALSE))</f>
        <v>176974</v>
      </c>
      <c r="AT38">
        <f ca="1">IF(AND(ISNUMBER($AT$100),$B$69=1),$AT$100,HLOOKUP(INDIRECT(ADDRESS(2,COLUMN())),OFFSET($CL$2,0,0,ROW()-1,84),ROW()-1,FALSE))</f>
        <v>156494</v>
      </c>
      <c r="AU38">
        <f ca="1">IF(AND(ISNUMBER($AU$100),$B$69=1),$AU$100,HLOOKUP(INDIRECT(ADDRESS(2,COLUMN())),OFFSET($CL$2,0,0,ROW()-1,84),ROW()-1,FALSE))</f>
        <v>169705</v>
      </c>
      <c r="AV38">
        <f ca="1">IF(AND(ISNUMBER($AV$100),$B$69=1),$AV$100,HLOOKUP(INDIRECT(ADDRESS(2,COLUMN())),OFFSET($CL$2,0,0,ROW()-1,84),ROW()-1,FALSE))</f>
        <v>176152</v>
      </c>
      <c r="AW38">
        <f ca="1">IF(AND(ISNUMBER($AW$100),$B$69=1),$AW$100,HLOOKUP(INDIRECT(ADDRESS(2,COLUMN())),OFFSET($CL$2,0,0,ROW()-1,84),ROW()-1,FALSE))</f>
        <v>185631</v>
      </c>
      <c r="AX38">
        <f ca="1">IF(AND(ISNUMBER($AX$100),$B$69=1),$AX$100,HLOOKUP(INDIRECT(ADDRESS(2,COLUMN())),OFFSET($CL$2,0,0,ROW()-1,84),ROW()-1,FALSE))</f>
        <v>197214</v>
      </c>
      <c r="AY38">
        <f ca="1">IF(AND(ISNUMBER($AY$100),$B$69=1),$AY$100,HLOOKUP(INDIRECT(ADDRESS(2,COLUMN())),OFFSET($CL$2,0,0,ROW()-1,84),ROW()-1,FALSE))</f>
        <v>211020</v>
      </c>
      <c r="AZ38">
        <f ca="1">IF(AND(ISNUMBER($AZ$100),$B$69=1),$AZ$100,HLOOKUP(INDIRECT(ADDRESS(2,COLUMN())),OFFSET($CL$2,0,0,ROW()-1,84),ROW()-1,FALSE))</f>
        <v>187882</v>
      </c>
      <c r="BA38">
        <f ca="1">IF(AND(ISNUMBER($BA$100),$B$69=1),$BA$100,HLOOKUP(INDIRECT(ADDRESS(2,COLUMN())),OFFSET($CL$2,0,0,ROW()-1,84),ROW()-1,FALSE))</f>
        <v>184928</v>
      </c>
      <c r="BB38">
        <f ca="1">IF(AND(ISNUMBER($BB$100),$B$69=1),$BB$100,HLOOKUP(INDIRECT(ADDRESS(2,COLUMN())),OFFSET($CL$2,0,0,ROW()-1,84),ROW()-1,FALSE))</f>
        <v>217360</v>
      </c>
      <c r="BC38">
        <f ca="1">IF(AND(ISNUMBER($BC$100),$B$69=1),$BC$100,HLOOKUP(INDIRECT(ADDRESS(2,COLUMN())),OFFSET($CL$2,0,0,ROW()-1,84),ROW()-1,FALSE))</f>
        <v>194948</v>
      </c>
      <c r="BD38">
        <f ca="1">IF(AND(ISNUMBER($BD$100),$B$69=1),$BD$100,HLOOKUP(INDIRECT(ADDRESS(2,COLUMN())),OFFSET($CL$2,0,0,ROW()-1,84),ROW()-1,FALSE))</f>
        <v>233110</v>
      </c>
      <c r="BE38">
        <f ca="1">IF(AND(ISNUMBER($BE$100),$B$69=1),$BE$100,HLOOKUP(INDIRECT(ADDRESS(2,COLUMN())),OFFSET($CL$2,0,0,ROW()-1,84),ROW()-1,FALSE))</f>
        <v>210542</v>
      </c>
      <c r="BF38">
        <f ca="1">IF(AND(ISNUMBER($BF$100),$B$69=1),$BF$100,HLOOKUP(INDIRECT(ADDRESS(2,COLUMN())),OFFSET($CL$2,0,0,ROW()-1,84),ROW()-1,FALSE))</f>
        <v>200406</v>
      </c>
      <c r="BG38">
        <f ca="1">IF(AND(ISNUMBER($BG$100),$B$69=1),$BG$100,HLOOKUP(INDIRECT(ADDRESS(2,COLUMN())),OFFSET($CL$2,0,0,ROW()-1,84),ROW()-1,FALSE))</f>
        <v>204457</v>
      </c>
      <c r="BH38">
        <f ca="1">IF(AND(ISNUMBER($BH$100),$B$69=1),$BH$100,HLOOKUP(INDIRECT(ADDRESS(2,COLUMN())),OFFSET($CL$2,0,0,ROW()-1,84),ROW()-1,FALSE))</f>
        <v>204621</v>
      </c>
      <c r="BI38">
        <f ca="1">IF(AND(ISNUMBER($BI$100),$B$69=1),$BI$100,HLOOKUP(INDIRECT(ADDRESS(2,COLUMN())),OFFSET($CL$2,0,0,ROW()-1,84),ROW()-1,FALSE))</f>
        <v>214113</v>
      </c>
      <c r="BJ38">
        <f ca="1">IF(AND(ISNUMBER($BJ$100),$B$69=1),$BJ$100,HLOOKUP(INDIRECT(ADDRESS(2,COLUMN())),OFFSET($CL$2,0,0,ROW()-1,84),ROW()-1,FALSE))</f>
        <v>178131</v>
      </c>
      <c r="BK38">
        <f ca="1">IF(AND(ISNUMBER($BK$100),$B$69=1),$BK$100,HLOOKUP(INDIRECT(ADDRESS(2,COLUMN())),OFFSET($CL$2,0,0,ROW()-1,84),ROW()-1,FALSE))</f>
        <v>205689</v>
      </c>
      <c r="BL38">
        <f ca="1">IF(AND(ISNUMBER($BL$100),$B$69=1),$BL$100,HLOOKUP(INDIRECT(ADDRESS(2,COLUMN())),OFFSET($CL$2,0,0,ROW()-1,84),ROW()-1,FALSE))</f>
        <v>199701</v>
      </c>
      <c r="BM38">
        <f ca="1">IF(AND(ISNUMBER($BM$100),$B$69=1),$BM$100,HLOOKUP(INDIRECT(ADDRESS(2,COLUMN())),OFFSET($CL$2,0,0,ROW()-1,84),ROW()-1,FALSE))</f>
        <v>188583</v>
      </c>
      <c r="BN38">
        <f ca="1">IF(AND(ISNUMBER($BN$100),$B$69=1),$BN$100,HLOOKUP(INDIRECT(ADDRESS(2,COLUMN())),OFFSET($CL$2,0,0,ROW()-1,84),ROW()-1,FALSE))</f>
        <v>217035</v>
      </c>
      <c r="BO38">
        <f ca="1">IF(AND(ISNUMBER($BO$100),$B$69=1),$BO$100,HLOOKUP(INDIRECT(ADDRESS(2,COLUMN())),OFFSET($CL$2,0,0,ROW()-1,84),ROW()-1,FALSE))</f>
        <v>173226</v>
      </c>
      <c r="BP38">
        <f ca="1">IF(AND(ISNUMBER($BP$100),$B$69=1),$BP$100,HLOOKUP(INDIRECT(ADDRESS(2,COLUMN())),OFFSET($CL$2,0,0,ROW()-1,84),ROW()-1,FALSE))</f>
        <v>206541</v>
      </c>
      <c r="BQ38">
        <f ca="1">IF(AND(ISNUMBER($BQ$100),$B$69=1),$BQ$100,HLOOKUP(INDIRECT(ADDRESS(2,COLUMN())),OFFSET($CL$2,0,0,ROW()-1,84),ROW()-1,FALSE))</f>
        <v>200594</v>
      </c>
      <c r="BR38">
        <f ca="1">IF(AND(ISNUMBER($BR$100),$B$69=1),$BR$100,HLOOKUP(INDIRECT(ADDRESS(2,COLUMN())),OFFSET($CL$2,0,0,ROW()-1,84),ROW()-1,FALSE))</f>
        <v>201163</v>
      </c>
      <c r="BS38">
        <f ca="1">IF(AND(ISNUMBER($BS$100),$B$69=1),$BS$100,HLOOKUP(INDIRECT(ADDRESS(2,COLUMN())),OFFSET($CL$2,0,0,ROW()-1,84),ROW()-1,FALSE))</f>
        <v>197437</v>
      </c>
      <c r="BT38">
        <f ca="1">IF(AND(ISNUMBER($BT$100),$B$69=1),$BT$100,HLOOKUP(INDIRECT(ADDRESS(2,COLUMN())),OFFSET($CL$2,0,0,ROW()-1,84),ROW()-1,FALSE))</f>
        <v>196439</v>
      </c>
      <c r="BU38">
        <f ca="1">IF(AND(ISNUMBER($BU$100),$B$69=1),$BU$100,HLOOKUP(INDIRECT(ADDRESS(2,COLUMN())),OFFSET($CL$2,0,0,ROW()-1,84),ROW()-1,FALSE))</f>
        <v>199659</v>
      </c>
      <c r="BV38">
        <f ca="1">IF(AND(ISNUMBER($BV$100),$B$69=1),$BV$100,HLOOKUP(INDIRECT(ADDRESS(2,COLUMN())),OFFSET($CL$2,0,0,ROW()-1,84),ROW()-1,FALSE))</f>
        <v>168480</v>
      </c>
      <c r="BW38">
        <f ca="1">IF(AND(ISNUMBER($BW$100),$B$69=1),$BW$100,HLOOKUP(INDIRECT(ADDRESS(2,COLUMN())),OFFSET($CL$2,0,0,ROW()-1,84),ROW()-1,FALSE))</f>
        <v>167398</v>
      </c>
      <c r="BX38">
        <f ca="1">IF(AND(ISNUMBER($BX$100),$B$69=1),$BX$100,HLOOKUP(INDIRECT(ADDRESS(2,COLUMN())),OFFSET($CL$2,0,0,ROW()-1,84),ROW()-1,FALSE))</f>
        <v>182884</v>
      </c>
      <c r="BY38">
        <f ca="1">IF(AND(ISNUMBER($BY$100),$B$69=1),$BY$100,HLOOKUP(INDIRECT(ADDRESS(2,COLUMN())),OFFSET($CL$2,0,0,ROW()-1,84),ROW()-1,FALSE))</f>
        <v>163592</v>
      </c>
      <c r="BZ38">
        <f ca="1">IF(AND(ISNUMBER($BZ$100),$B$69=1),$BZ$100,HLOOKUP(INDIRECT(ADDRESS(2,COLUMN())),OFFSET($CL$2,0,0,ROW()-1,84),ROW()-1,FALSE))</f>
        <v>182827</v>
      </c>
      <c r="CA38">
        <f ca="1">IF(AND(ISNUMBER($CA$100),$B$69=1),$CA$100,HLOOKUP(INDIRECT(ADDRESS(2,COLUMN())),OFFSET($CL$2,0,0,ROW()-1,84),ROW()-1,FALSE))</f>
        <v>179856</v>
      </c>
      <c r="CB38">
        <f ca="1">IF(AND(ISNUMBER($CB$100),$B$69=1),$CB$100,HLOOKUP(INDIRECT(ADDRESS(2,COLUMN())),OFFSET($CL$2,0,0,ROW()-1,84),ROW()-1,FALSE))</f>
        <v>177728</v>
      </c>
      <c r="CC38">
        <f ca="1">IF(AND(ISNUMBER($CC$100),$B$69=1),$CC$100,HLOOKUP(INDIRECT(ADDRESS(2,COLUMN())),OFFSET($CL$2,0,0,ROW()-1,84),ROW()-1,FALSE))</f>
        <v>182411</v>
      </c>
      <c r="CD38">
        <f ca="1">IF(AND(ISNUMBER($CD$100),$B$69=1),$CD$100,HLOOKUP(INDIRECT(ADDRESS(2,COLUMN())),OFFSET($CL$2,0,0,ROW()-1,84),ROW()-1,FALSE))</f>
        <v>183237</v>
      </c>
      <c r="CE38">
        <f ca="1">IF(AND(ISNUMBER($CE$100),$B$69=1),$CE$100,HLOOKUP(INDIRECT(ADDRESS(2,COLUMN())),OFFSET($CL$2,0,0,ROW()-1,84),ROW()-1,FALSE))</f>
        <v>182452</v>
      </c>
      <c r="CF38">
        <f ca="1">IF(AND(ISNUMBER($CF$100),$B$69=1),$CF$100,HLOOKUP(INDIRECT(ADDRESS(2,COLUMN())),OFFSET($CL$2,0,0,ROW()-1,84),ROW()-1,FALSE))</f>
        <v>189315</v>
      </c>
      <c r="CG38">
        <f ca="1">IF(AND(ISNUMBER($CG$100),$B$69=1),$CG$100,HLOOKUP(INDIRECT(ADDRESS(2,COLUMN())),OFFSET($CL$2,0,0,ROW()-1,84),ROW()-1,FALSE))</f>
        <v>192411</v>
      </c>
      <c r="CH38">
        <f ca="1">IF(AND(ISNUMBER($CH$100),$B$69=1),$CH$100,HLOOKUP(INDIRECT(ADDRESS(2,COLUMN())),OFFSET($CL$2,0,0,ROW()-1,84),ROW()-1,FALSE))</f>
        <v>175820</v>
      </c>
      <c r="CI38">
        <f ca="1">IF(AND(ISNUMBER($CI$100),$B$69=1),$CI$100,HLOOKUP(INDIRECT(ADDRESS(2,COLUMN())),OFFSET($CL$2,0,0,ROW()-1,84),ROW()-1,FALSE))</f>
        <v>185018</v>
      </c>
      <c r="CJ38">
        <f ca="1">IF(AND(ISNUMBER($CJ$100),$B$69=1),$CJ$100,HLOOKUP(INDIRECT(ADDRESS(2,COLUMN())),OFFSET($CL$2,0,0,ROW()-1,84),ROW()-1,FALSE))</f>
        <v>164480</v>
      </c>
      <c r="CK38">
        <f ca="1">IF(AND(ISNUMBER($CK$100),$B$69=1),$CK$100,HLOOKUP(INDIRECT(ADDRESS(2,COLUMN())),OFFSET($CL$2,0,0,ROW()-1,84),ROW()-1,FALSE))</f>
        <v>175217</v>
      </c>
      <c r="CL38" t="str">
        <f>""</f>
        <v/>
      </c>
      <c r="CM38">
        <f>199208</f>
        <v>199208</v>
      </c>
      <c r="CN38">
        <f>203169</f>
        <v>203169</v>
      </c>
      <c r="CO38">
        <f>208134</f>
        <v>208134</v>
      </c>
      <c r="CP38">
        <f>203091</f>
        <v>203091</v>
      </c>
      <c r="CQ38">
        <f>198824</f>
        <v>198824</v>
      </c>
      <c r="CR38">
        <f>214101</f>
        <v>214101</v>
      </c>
      <c r="CS38">
        <f>193085</f>
        <v>193085</v>
      </c>
      <c r="CT38">
        <f>201418</f>
        <v>201418</v>
      </c>
      <c r="CU38">
        <f>215238</f>
        <v>215238</v>
      </c>
      <c r="CV38">
        <f>219351</f>
        <v>219351</v>
      </c>
      <c r="CW38">
        <f>213073</f>
        <v>213073</v>
      </c>
      <c r="CX38">
        <f>256879</f>
        <v>256879</v>
      </c>
      <c r="CY38">
        <f>226807</f>
        <v>226807</v>
      </c>
      <c r="CZ38">
        <f>223411</f>
        <v>223411</v>
      </c>
      <c r="DA38">
        <f>216097</f>
        <v>216097</v>
      </c>
      <c r="DB38">
        <f>196225</f>
        <v>196225</v>
      </c>
      <c r="DC38">
        <f>255104</f>
        <v>255104</v>
      </c>
      <c r="DD38">
        <f>264099</f>
        <v>264099</v>
      </c>
      <c r="DE38">
        <f>264334</f>
        <v>264334</v>
      </c>
      <c r="DF38">
        <f>230420</f>
        <v>230420</v>
      </c>
      <c r="DG38">
        <f>226515</f>
        <v>226515</v>
      </c>
      <c r="DH38">
        <f>246198</f>
        <v>246198</v>
      </c>
      <c r="DI38">
        <f>250711</f>
        <v>250711</v>
      </c>
      <c r="DJ38">
        <f>234923</f>
        <v>234923</v>
      </c>
      <c r="DK38">
        <f>205008</f>
        <v>205008</v>
      </c>
      <c r="DL38">
        <f>234688</f>
        <v>234688</v>
      </c>
      <c r="DM38">
        <f>244821</f>
        <v>244821</v>
      </c>
      <c r="DN38">
        <f>231758</f>
        <v>231758</v>
      </c>
      <c r="DO38">
        <f>230870</f>
        <v>230870</v>
      </c>
      <c r="DP38">
        <f>225136</f>
        <v>225136</v>
      </c>
      <c r="DQ38">
        <f>248796</f>
        <v>248796</v>
      </c>
      <c r="DR38">
        <f>182269</f>
        <v>182269</v>
      </c>
      <c r="DS38">
        <f>216265</f>
        <v>216265</v>
      </c>
      <c r="DT38">
        <f>209606</f>
        <v>209606</v>
      </c>
      <c r="DU38">
        <f>207066</f>
        <v>207066</v>
      </c>
      <c r="DV38">
        <f>216196</f>
        <v>216196</v>
      </c>
      <c r="DW38">
        <f>195101</f>
        <v>195101</v>
      </c>
      <c r="DX38">
        <f>208837</f>
        <v>208837</v>
      </c>
      <c r="DY38">
        <f>176974</f>
        <v>176974</v>
      </c>
      <c r="DZ38">
        <f>156494</f>
        <v>156494</v>
      </c>
      <c r="EA38">
        <f>169705</f>
        <v>169705</v>
      </c>
      <c r="EB38">
        <f>176152</f>
        <v>176152</v>
      </c>
      <c r="EC38">
        <f>185631</f>
        <v>185631</v>
      </c>
      <c r="ED38">
        <f>197214</f>
        <v>197214</v>
      </c>
      <c r="EE38">
        <f>211020</f>
        <v>211020</v>
      </c>
      <c r="EF38">
        <f>187882</f>
        <v>187882</v>
      </c>
      <c r="EG38">
        <f>184928</f>
        <v>184928</v>
      </c>
      <c r="EH38">
        <f>217360</f>
        <v>217360</v>
      </c>
      <c r="EI38">
        <f>194948</f>
        <v>194948</v>
      </c>
      <c r="EJ38">
        <f>233110</f>
        <v>233110</v>
      </c>
      <c r="EK38">
        <f>210542</f>
        <v>210542</v>
      </c>
      <c r="EL38">
        <f>200406</f>
        <v>200406</v>
      </c>
      <c r="EM38">
        <f>204457</f>
        <v>204457</v>
      </c>
      <c r="EN38">
        <f>204621</f>
        <v>204621</v>
      </c>
      <c r="EO38">
        <f>214113</f>
        <v>214113</v>
      </c>
      <c r="EP38">
        <f>178131</f>
        <v>178131</v>
      </c>
      <c r="EQ38">
        <f>205689</f>
        <v>205689</v>
      </c>
      <c r="ER38">
        <f>199701</f>
        <v>199701</v>
      </c>
      <c r="ES38">
        <f>188583</f>
        <v>188583</v>
      </c>
      <c r="ET38">
        <f>217035</f>
        <v>217035</v>
      </c>
      <c r="EU38">
        <f>173226</f>
        <v>173226</v>
      </c>
      <c r="EV38">
        <f>206541</f>
        <v>206541</v>
      </c>
      <c r="EW38">
        <f>200594</f>
        <v>200594</v>
      </c>
      <c r="EX38">
        <f>201163</f>
        <v>201163</v>
      </c>
      <c r="EY38">
        <f>197437</f>
        <v>197437</v>
      </c>
      <c r="EZ38">
        <f>196439</f>
        <v>196439</v>
      </c>
      <c r="FA38">
        <f>199659</f>
        <v>199659</v>
      </c>
      <c r="FB38">
        <f>168480</f>
        <v>168480</v>
      </c>
      <c r="FC38">
        <f>167398</f>
        <v>167398</v>
      </c>
      <c r="FD38">
        <f>182884</f>
        <v>182884</v>
      </c>
      <c r="FE38">
        <f>163592</f>
        <v>163592</v>
      </c>
      <c r="FF38">
        <f>182827</f>
        <v>182827</v>
      </c>
      <c r="FG38">
        <f>179856</f>
        <v>179856</v>
      </c>
      <c r="FH38">
        <f>177728</f>
        <v>177728</v>
      </c>
      <c r="FI38">
        <f>182411</f>
        <v>182411</v>
      </c>
      <c r="FJ38">
        <f>183237</f>
        <v>183237</v>
      </c>
      <c r="FK38">
        <f>182452</f>
        <v>182452</v>
      </c>
      <c r="FL38">
        <f>189315</f>
        <v>189315</v>
      </c>
      <c r="FM38">
        <f>192411</f>
        <v>192411</v>
      </c>
      <c r="FN38">
        <f>175820</f>
        <v>175820</v>
      </c>
      <c r="FO38">
        <f>185018</f>
        <v>185018</v>
      </c>
      <c r="FP38">
        <f>164480</f>
        <v>164480</v>
      </c>
      <c r="FQ38">
        <f>175217</f>
        <v>175217</v>
      </c>
    </row>
    <row r="39" spans="1:173" x14ac:dyDescent="0.25">
      <c r="A39" t="str">
        <f>"    Port of Prince Rupert (TEU)"</f>
        <v xml:space="preserve">    Port of Prince Rupert (TEU)</v>
      </c>
      <c r="B39" t="str">
        <f>"PRPSTTTE Index"</f>
        <v>PRPSTTTE Index</v>
      </c>
      <c r="C39" t="str">
        <f t="shared" si="0"/>
        <v>PX385</v>
      </c>
      <c r="D39" t="str">
        <f t="shared" si="1"/>
        <v>INTERVAL_SUM</v>
      </c>
      <c r="E39" t="str">
        <f t="shared" si="2"/>
        <v>Dynamic</v>
      </c>
      <c r="F39" t="str">
        <f ca="1">IF(AND(ISNUMBER($F$101),$B$69=1),$F$101,HLOOKUP(INDIRECT(ADDRESS(2,COLUMN())),OFFSET($CL$2,0,0,ROW()-1,84),ROW()-1,FALSE))</f>
        <v/>
      </c>
      <c r="G39">
        <f ca="1">IF(AND(ISNUMBER($G$101),$B$69=1),$G$101,HLOOKUP(INDIRECT(ADDRESS(2,COLUMN())),OFFSET($CL$2,0,0,ROW()-1,84),ROW()-1,FALSE))</f>
        <v>65899</v>
      </c>
      <c r="H39">
        <f ca="1">IF(AND(ISNUMBER($H$101),$B$69=1),$H$101,HLOOKUP(INDIRECT(ADDRESS(2,COLUMN())),OFFSET($CL$2,0,0,ROW()-1,84),ROW()-1,FALSE))</f>
        <v>47270</v>
      </c>
      <c r="I39">
        <f ca="1">IF(AND(ISNUMBER($I$101),$B$69=1),$I$101,HLOOKUP(INDIRECT(ADDRESS(2,COLUMN())),OFFSET($CL$2,0,0,ROW()-1,84),ROW()-1,FALSE))</f>
        <v>48499</v>
      </c>
      <c r="J39">
        <f ca="1">IF(AND(ISNUMBER($J$101),$B$69=1),$J$101,HLOOKUP(INDIRECT(ADDRESS(2,COLUMN())),OFFSET($CL$2,0,0,ROW()-1,84),ROW()-1,FALSE))</f>
        <v>64865</v>
      </c>
      <c r="K39">
        <f ca="1">IF(AND(ISNUMBER($K$101),$B$69=1),$K$101,HLOOKUP(INDIRECT(ADDRESS(2,COLUMN())),OFFSET($CL$2,0,0,ROW()-1,84),ROW()-1,FALSE))</f>
        <v>78458</v>
      </c>
      <c r="L39">
        <f ca="1">IF(AND(ISNUMBER($L$101),$B$69=1),$L$101,HLOOKUP(INDIRECT(ADDRESS(2,COLUMN())),OFFSET($CL$2,0,0,ROW()-1,84),ROW()-1,FALSE))</f>
        <v>51537</v>
      </c>
      <c r="M39">
        <f ca="1">IF(AND(ISNUMBER($M$101),$B$69=1),$M$101,HLOOKUP(INDIRECT(ADDRESS(2,COLUMN())),OFFSET($CL$2,0,0,ROW()-1,84),ROW()-1,FALSE))</f>
        <v>63401</v>
      </c>
      <c r="N39">
        <f ca="1">IF(AND(ISNUMBER($N$101),$B$69=1),$N$101,HLOOKUP(INDIRECT(ADDRESS(2,COLUMN())),OFFSET($CL$2,0,0,ROW()-1,84),ROW()-1,FALSE))</f>
        <v>47578</v>
      </c>
      <c r="O39">
        <f ca="1">IF(AND(ISNUMBER($O$101),$B$69=1),$O$101,HLOOKUP(INDIRECT(ADDRESS(2,COLUMN())),OFFSET($CL$2,0,0,ROW()-1,84),ROW()-1,FALSE))</f>
        <v>76564</v>
      </c>
      <c r="P39">
        <f ca="1">IF(AND(ISNUMBER($P$101),$B$69=1),$P$101,HLOOKUP(INDIRECT(ADDRESS(2,COLUMN())),OFFSET($CL$2,0,0,ROW()-1,84),ROW()-1,FALSE))</f>
        <v>86765</v>
      </c>
      <c r="Q39">
        <f ca="1">IF(AND(ISNUMBER($Q$101),$B$69=1),$Q$101,HLOOKUP(INDIRECT(ADDRESS(2,COLUMN())),OFFSET($CL$2,0,0,ROW()-1,84),ROW()-1,FALSE))</f>
        <v>72388</v>
      </c>
      <c r="R39">
        <f ca="1">IF(AND(ISNUMBER($R$101),$B$69=1),$R$101,HLOOKUP(INDIRECT(ADDRESS(2,COLUMN())),OFFSET($CL$2,0,0,ROW()-1,84),ROW()-1,FALSE))</f>
        <v>85930</v>
      </c>
      <c r="S39">
        <f ca="1">IF(AND(ISNUMBER($S$101),$B$69=1),$S$101,HLOOKUP(INDIRECT(ADDRESS(2,COLUMN())),OFFSET($CL$2,0,0,ROW()-1,84),ROW()-1,FALSE))</f>
        <v>89292</v>
      </c>
      <c r="T39">
        <f ca="1">IF(AND(ISNUMBER($T$101),$B$69=1),$T$101,HLOOKUP(INDIRECT(ADDRESS(2,COLUMN())),OFFSET($CL$2,0,0,ROW()-1,84),ROW()-1,FALSE))</f>
        <v>114042</v>
      </c>
      <c r="U39">
        <f ca="1">IF(AND(ISNUMBER($U$101),$B$69=1),$U$101,HLOOKUP(INDIRECT(ADDRESS(2,COLUMN())),OFFSET($CL$2,0,0,ROW()-1,84),ROW()-1,FALSE))</f>
        <v>65347</v>
      </c>
      <c r="V39">
        <f ca="1">IF(AND(ISNUMBER($V$101),$B$69=1),$V$101,HLOOKUP(INDIRECT(ADDRESS(2,COLUMN())),OFFSET($CL$2,0,0,ROW()-1,84),ROW()-1,FALSE))</f>
        <v>84384</v>
      </c>
      <c r="W39">
        <f ca="1">IF(AND(ISNUMBER($W$101),$B$69=1),$W$101,HLOOKUP(INDIRECT(ADDRESS(2,COLUMN())),OFFSET($CL$2,0,0,ROW()-1,84),ROW()-1,FALSE))</f>
        <v>86559</v>
      </c>
      <c r="X39">
        <f ca="1">IF(AND(ISNUMBER($X$101),$B$69=1),$X$101,HLOOKUP(INDIRECT(ADDRESS(2,COLUMN())),OFFSET($CL$2,0,0,ROW()-1,84),ROW()-1,FALSE))</f>
        <v>100540</v>
      </c>
      <c r="Y39">
        <f ca="1">IF(AND(ISNUMBER($Y$101),$B$69=1),$Y$101,HLOOKUP(INDIRECT(ADDRESS(2,COLUMN())),OFFSET($CL$2,0,0,ROW()-1,84),ROW()-1,FALSE))</f>
        <v>95193</v>
      </c>
      <c r="Z39">
        <f ca="1">IF(AND(ISNUMBER($Z$101),$B$69=1),$Z$101,HLOOKUP(INDIRECT(ADDRESS(2,COLUMN())),OFFSET($CL$2,0,0,ROW()-1,84),ROW()-1,FALSE))</f>
        <v>75777</v>
      </c>
      <c r="AA39">
        <f ca="1">IF(AND(ISNUMBER($AA$101),$B$69=1),$AA$101,HLOOKUP(INDIRECT(ADDRESS(2,COLUMN())),OFFSET($CL$2,0,0,ROW()-1,84),ROW()-1,FALSE))</f>
        <v>79425</v>
      </c>
      <c r="AB39">
        <f ca="1">IF(AND(ISNUMBER($AB$101),$B$69=1),$AB$101,HLOOKUP(INDIRECT(ADDRESS(2,COLUMN())),OFFSET($CL$2,0,0,ROW()-1,84),ROW()-1,FALSE))</f>
        <v>110030</v>
      </c>
      <c r="AC39">
        <f ca="1">IF(AND(ISNUMBER($AC$101),$B$69=1),$AC$101,HLOOKUP(INDIRECT(ADDRESS(2,COLUMN())),OFFSET($CL$2,0,0,ROW()-1,84),ROW()-1,FALSE))</f>
        <v>61231</v>
      </c>
      <c r="AD39">
        <f ca="1">IF(AND(ISNUMBER($AD$101),$B$69=1),$AD$101,HLOOKUP(INDIRECT(ADDRESS(2,COLUMN())),OFFSET($CL$2,0,0,ROW()-1,84),ROW()-1,FALSE))</f>
        <v>110132</v>
      </c>
      <c r="AE39">
        <f ca="1">IF(AND(ISNUMBER($AE$101),$B$69=1),$AE$101,HLOOKUP(INDIRECT(ADDRESS(2,COLUMN())),OFFSET($CL$2,0,0,ROW()-1,84),ROW()-1,FALSE))</f>
        <v>84786</v>
      </c>
      <c r="AF39">
        <f ca="1">IF(AND(ISNUMBER($AF$101),$B$69=1),$AF$101,HLOOKUP(INDIRECT(ADDRESS(2,COLUMN())),OFFSET($CL$2,0,0,ROW()-1,84),ROW()-1,FALSE))</f>
        <v>89000</v>
      </c>
      <c r="AG39">
        <f ca="1">IF(AND(ISNUMBER($AG$101),$B$69=1),$AG$101,HLOOKUP(INDIRECT(ADDRESS(2,COLUMN())),OFFSET($CL$2,0,0,ROW()-1,84),ROW()-1,FALSE))</f>
        <v>107948</v>
      </c>
      <c r="AH39">
        <f ca="1">IF(AND(ISNUMBER($AH$101),$B$69=1),$AH$101,HLOOKUP(INDIRECT(ADDRESS(2,COLUMN())),OFFSET($CL$2,0,0,ROW()-1,84),ROW()-1,FALSE))</f>
        <v>57145</v>
      </c>
      <c r="AI39">
        <f ca="1">IF(AND(ISNUMBER($AI$101),$B$69=1),$AI$101,HLOOKUP(INDIRECT(ADDRESS(2,COLUMN())),OFFSET($CL$2,0,0,ROW()-1,84),ROW()-1,FALSE))</f>
        <v>103885</v>
      </c>
      <c r="AJ39">
        <f ca="1">IF(AND(ISNUMBER($AJ$101),$B$69=1),$AJ$101,HLOOKUP(INDIRECT(ADDRESS(2,COLUMN())),OFFSET($CL$2,0,0,ROW()-1,84),ROW()-1,FALSE))</f>
        <v>59115</v>
      </c>
      <c r="AK39">
        <f ca="1">IF(AND(ISNUMBER($AK$101),$B$69=1),$AK$101,HLOOKUP(INDIRECT(ADDRESS(2,COLUMN())),OFFSET($CL$2,0,0,ROW()-1,84),ROW()-1,FALSE))</f>
        <v>100445</v>
      </c>
      <c r="AL39">
        <f ca="1">IF(AND(ISNUMBER($AL$101),$B$69=1),$AL$101,HLOOKUP(INDIRECT(ADDRESS(2,COLUMN())),OFFSET($CL$2,0,0,ROW()-1,84),ROW()-1,FALSE))</f>
        <v>72055</v>
      </c>
      <c r="AM39">
        <f ca="1">IF(AND(ISNUMBER($AM$101),$B$69=1),$AM$101,HLOOKUP(INDIRECT(ADDRESS(2,COLUMN())),OFFSET($CL$2,0,0,ROW()-1,84),ROW()-1,FALSE))</f>
        <v>99066</v>
      </c>
      <c r="AN39">
        <f ca="1">IF(AND(ISNUMBER($AN$101),$B$69=1),$AN$101,HLOOKUP(INDIRECT(ADDRESS(2,COLUMN())),OFFSET($CL$2,0,0,ROW()-1,84),ROW()-1,FALSE))</f>
        <v>110077</v>
      </c>
      <c r="AO39">
        <f ca="1">IF(AND(ISNUMBER($AO$101),$B$69=1),$AO$101,HLOOKUP(INDIRECT(ADDRESS(2,COLUMN())),OFFSET($CL$2,0,0,ROW()-1,84),ROW()-1,FALSE))</f>
        <v>95771</v>
      </c>
      <c r="AP39">
        <f ca="1">IF(AND(ISNUMBER($AP$101),$B$69=1),$AP$101,HLOOKUP(INDIRECT(ADDRESS(2,COLUMN())),OFFSET($CL$2,0,0,ROW()-1,84),ROW()-1,FALSE))</f>
        <v>120987</v>
      </c>
      <c r="AQ39">
        <f ca="1">IF(AND(ISNUMBER($AQ$101),$B$69=1),$AQ$101,HLOOKUP(INDIRECT(ADDRESS(2,COLUMN())),OFFSET($CL$2,0,0,ROW()-1,84),ROW()-1,FALSE))</f>
        <v>110083</v>
      </c>
      <c r="AR39">
        <f ca="1">IF(AND(ISNUMBER($AR$101),$B$69=1),$AR$101,HLOOKUP(INDIRECT(ADDRESS(2,COLUMN())),OFFSET($CL$2,0,0,ROW()-1,84),ROW()-1,FALSE))</f>
        <v>118936</v>
      </c>
      <c r="AS39">
        <f ca="1">IF(AND(ISNUMBER($AS$101),$B$69=1),$AS$101,HLOOKUP(INDIRECT(ADDRESS(2,COLUMN())),OFFSET($CL$2,0,0,ROW()-1,84),ROW()-1,FALSE))</f>
        <v>105104</v>
      </c>
      <c r="AT39">
        <f ca="1">IF(AND(ISNUMBER($AT$101),$B$69=1),$AT$101,HLOOKUP(INDIRECT(ADDRESS(2,COLUMN())),OFFSET($CL$2,0,0,ROW()-1,84),ROW()-1,FALSE))</f>
        <v>81915</v>
      </c>
      <c r="AU39">
        <f ca="1">IF(AND(ISNUMBER($AU$101),$B$69=1),$AU$101,HLOOKUP(INDIRECT(ADDRESS(2,COLUMN())),OFFSET($CL$2,0,0,ROW()-1,84),ROW()-1,FALSE))</f>
        <v>68472</v>
      </c>
      <c r="AV39">
        <f ca="1">IF(AND(ISNUMBER($AV$101),$B$69=1),$AV$101,HLOOKUP(INDIRECT(ADDRESS(2,COLUMN())),OFFSET($CL$2,0,0,ROW()-1,84),ROW()-1,FALSE))</f>
        <v>92047</v>
      </c>
      <c r="AW39">
        <f ca="1">IF(AND(ISNUMBER($AW$101),$B$69=1),$AW$101,HLOOKUP(INDIRECT(ADDRESS(2,COLUMN())),OFFSET($CL$2,0,0,ROW()-1,84),ROW()-1,FALSE))</f>
        <v>56162</v>
      </c>
      <c r="AX39">
        <f ca="1">IF(AND(ISNUMBER($AX$101),$B$69=1),$AX$101,HLOOKUP(INDIRECT(ADDRESS(2,COLUMN())),OFFSET($CL$2,0,0,ROW()-1,84),ROW()-1,FALSE))</f>
        <v>100340</v>
      </c>
      <c r="AY39">
        <f ca="1">IF(AND(ISNUMBER($AY$101),$B$69=1),$AY$101,HLOOKUP(INDIRECT(ADDRESS(2,COLUMN())),OFFSET($CL$2,0,0,ROW()-1,84),ROW()-1,FALSE))</f>
        <v>81487</v>
      </c>
      <c r="AZ39">
        <f ca="1">IF(AND(ISNUMBER($AZ$101),$B$69=1),$AZ$101,HLOOKUP(INDIRECT(ADDRESS(2,COLUMN())),OFFSET($CL$2,0,0,ROW()-1,84),ROW()-1,FALSE))</f>
        <v>107088</v>
      </c>
      <c r="BA39">
        <f ca="1">IF(AND(ISNUMBER($BA$101),$B$69=1),$BA$101,HLOOKUP(INDIRECT(ADDRESS(2,COLUMN())),OFFSET($CL$2,0,0,ROW()-1,84),ROW()-1,FALSE))</f>
        <v>105545</v>
      </c>
      <c r="BB39">
        <f ca="1">IF(AND(ISNUMBER($BB$101),$B$69=1),$BB$101,HLOOKUP(INDIRECT(ADDRESS(2,COLUMN())),OFFSET($CL$2,0,0,ROW()-1,84),ROW()-1,FALSE))</f>
        <v>101674</v>
      </c>
      <c r="BC39">
        <f ca="1">IF(AND(ISNUMBER($BC$101),$B$69=1),$BC$101,HLOOKUP(INDIRECT(ADDRESS(2,COLUMN())),OFFSET($CL$2,0,0,ROW()-1,84),ROW()-1,FALSE))</f>
        <v>113800</v>
      </c>
      <c r="BD39">
        <f ca="1">IF(AND(ISNUMBER($BD$101),$B$69=1),$BD$101,HLOOKUP(INDIRECT(ADDRESS(2,COLUMN())),OFFSET($CL$2,0,0,ROW()-1,84),ROW()-1,FALSE))</f>
        <v>123261</v>
      </c>
      <c r="BE39">
        <f ca="1">IF(AND(ISNUMBER($BE$101),$B$69=1),$BE$101,HLOOKUP(INDIRECT(ADDRESS(2,COLUMN())),OFFSET($CL$2,0,0,ROW()-1,84),ROW()-1,FALSE))</f>
        <v>109315</v>
      </c>
      <c r="BF39">
        <f ca="1">IF(AND(ISNUMBER($BF$101),$B$69=1),$BF$101,HLOOKUP(INDIRECT(ADDRESS(2,COLUMN())),OFFSET($CL$2,0,0,ROW()-1,84),ROW()-1,FALSE))</f>
        <v>95677</v>
      </c>
      <c r="BG39">
        <f ca="1">IF(AND(ISNUMBER($BG$101),$B$69=1),$BG$101,HLOOKUP(INDIRECT(ADDRESS(2,COLUMN())),OFFSET($CL$2,0,0,ROW()-1,84),ROW()-1,FALSE))</f>
        <v>108351</v>
      </c>
      <c r="BH39">
        <f ca="1">IF(AND(ISNUMBER($BH$101),$B$69=1),$BH$101,HLOOKUP(INDIRECT(ADDRESS(2,COLUMN())),OFFSET($CL$2,0,0,ROW()-1,84),ROW()-1,FALSE))</f>
        <v>97804</v>
      </c>
      <c r="BI39">
        <f ca="1">IF(AND(ISNUMBER($BI$101),$B$69=1),$BI$101,HLOOKUP(INDIRECT(ADDRESS(2,COLUMN())),OFFSET($CL$2,0,0,ROW()-1,84),ROW()-1,FALSE))</f>
        <v>86403</v>
      </c>
      <c r="BJ39">
        <f ca="1">IF(AND(ISNUMBER($BJ$101),$B$69=1),$BJ$101,HLOOKUP(INDIRECT(ADDRESS(2,COLUMN())),OFFSET($CL$2,0,0,ROW()-1,84),ROW()-1,FALSE))</f>
        <v>60980</v>
      </c>
      <c r="BK39">
        <f ca="1">IF(AND(ISNUMBER($BK$101),$B$69=1),$BK$101,HLOOKUP(INDIRECT(ADDRESS(2,COLUMN())),OFFSET($CL$2,0,0,ROW()-1,84),ROW()-1,FALSE))</f>
        <v>100868</v>
      </c>
      <c r="BL39">
        <f ca="1">IF(AND(ISNUMBER($BL$101),$B$69=1),$BL$101,HLOOKUP(INDIRECT(ADDRESS(2,COLUMN())),OFFSET($CL$2,0,0,ROW()-1,84),ROW()-1,FALSE))</f>
        <v>90830</v>
      </c>
      <c r="BM39">
        <f ca="1">IF(AND(ISNUMBER($BM$101),$B$69=1),$BM$101,HLOOKUP(INDIRECT(ADDRESS(2,COLUMN())),OFFSET($CL$2,0,0,ROW()-1,84),ROW()-1,FALSE))</f>
        <v>81666</v>
      </c>
      <c r="BN39">
        <f ca="1">IF(AND(ISNUMBER($BN$101),$B$69=1),$BN$101,HLOOKUP(INDIRECT(ADDRESS(2,COLUMN())),OFFSET($CL$2,0,0,ROW()-1,84),ROW()-1,FALSE))</f>
        <v>92316</v>
      </c>
      <c r="BO39">
        <f ca="1">IF(AND(ISNUMBER($BO$101),$B$69=1),$BO$101,HLOOKUP(INDIRECT(ADDRESS(2,COLUMN())),OFFSET($CL$2,0,0,ROW()-1,84),ROW()-1,FALSE))</f>
        <v>105059.75</v>
      </c>
      <c r="BP39">
        <f ca="1">IF(AND(ISNUMBER($BP$101),$B$69=1),$BP$101,HLOOKUP(INDIRECT(ADDRESS(2,COLUMN())),OFFSET($CL$2,0,0,ROW()-1,84),ROW()-1,FALSE))</f>
        <v>74822</v>
      </c>
      <c r="BQ39">
        <f ca="1">IF(AND(ISNUMBER($BQ$101),$B$69=1),$BQ$101,HLOOKUP(INDIRECT(ADDRESS(2,COLUMN())),OFFSET($CL$2,0,0,ROW()-1,84),ROW()-1,FALSE))</f>
        <v>88490</v>
      </c>
      <c r="BR39">
        <f ca="1">IF(AND(ISNUMBER($BR$101),$B$69=1),$BR$101,HLOOKUP(INDIRECT(ADDRESS(2,COLUMN())),OFFSET($CL$2,0,0,ROW()-1,84),ROW()-1,FALSE))</f>
        <v>91922</v>
      </c>
      <c r="BS39">
        <f ca="1">IF(AND(ISNUMBER($BS$101),$B$69=1),$BS$101,HLOOKUP(INDIRECT(ADDRESS(2,COLUMN())),OFFSET($CL$2,0,0,ROW()-1,84),ROW()-1,FALSE))</f>
        <v>89950</v>
      </c>
      <c r="BT39">
        <f ca="1">IF(AND(ISNUMBER($BT$101),$B$69=1),$BT$101,HLOOKUP(INDIRECT(ADDRESS(2,COLUMN())),OFFSET($CL$2,0,0,ROW()-1,84),ROW()-1,FALSE))</f>
        <v>81481</v>
      </c>
      <c r="BU39">
        <f ca="1">IF(AND(ISNUMBER($BU$101),$B$69=1),$BU$101,HLOOKUP(INDIRECT(ADDRESS(2,COLUMN())),OFFSET($CL$2,0,0,ROW()-1,84),ROW()-1,FALSE))</f>
        <v>78953</v>
      </c>
      <c r="BV39">
        <f ca="1">IF(AND(ISNUMBER($BV$101),$B$69=1),$BV$101,HLOOKUP(INDIRECT(ADDRESS(2,COLUMN())),OFFSET($CL$2,0,0,ROW()-1,84),ROW()-1,FALSE))</f>
        <v>76754</v>
      </c>
      <c r="BW39">
        <f ca="1">IF(AND(ISNUMBER($BW$101),$B$69=1),$BW$101,HLOOKUP(INDIRECT(ADDRESS(2,COLUMN())),OFFSET($CL$2,0,0,ROW()-1,84),ROW()-1,FALSE))</f>
        <v>83778</v>
      </c>
      <c r="BX39">
        <f ca="1">IF(AND(ISNUMBER($BX$101),$B$69=1),$BX$101,HLOOKUP(INDIRECT(ADDRESS(2,COLUMN())),OFFSET($CL$2,0,0,ROW()-1,84),ROW()-1,FALSE))</f>
        <v>77645</v>
      </c>
      <c r="BY39">
        <f ca="1">IF(AND(ISNUMBER($BY$101),$B$69=1),$BY$101,HLOOKUP(INDIRECT(ADDRESS(2,COLUMN())),OFFSET($CL$2,0,0,ROW()-1,84),ROW()-1,FALSE))</f>
        <v>85119</v>
      </c>
      <c r="BZ39">
        <f ca="1">IF(AND(ISNUMBER($BZ$101),$B$69=1),$BZ$101,HLOOKUP(INDIRECT(ADDRESS(2,COLUMN())),OFFSET($CL$2,0,0,ROW()-1,84),ROW()-1,FALSE))</f>
        <v>91829.5</v>
      </c>
      <c r="CA39">
        <f ca="1">IF(AND(ISNUMBER($CA$101),$B$69=1),$CA$101,HLOOKUP(INDIRECT(ADDRESS(2,COLUMN())),OFFSET($CL$2,0,0,ROW()-1,84),ROW()-1,FALSE))</f>
        <v>75772.25</v>
      </c>
      <c r="CB39">
        <f ca="1">IF(AND(ISNUMBER($CB$101),$B$69=1),$CB$101,HLOOKUP(INDIRECT(ADDRESS(2,COLUMN())),OFFSET($CL$2,0,0,ROW()-1,84),ROW()-1,FALSE))</f>
        <v>87521</v>
      </c>
      <c r="CC39">
        <f ca="1">IF(AND(ISNUMBER($CC$101),$B$69=1),$CC$101,HLOOKUP(INDIRECT(ADDRESS(2,COLUMN())),OFFSET($CL$2,0,0,ROW()-1,84),ROW()-1,FALSE))</f>
        <v>85784.75</v>
      </c>
      <c r="CD39">
        <f ca="1">IF(AND(ISNUMBER($CD$101),$B$69=1),$CD$101,HLOOKUP(INDIRECT(ADDRESS(2,COLUMN())),OFFSET($CL$2,0,0,ROW()-1,84),ROW()-1,FALSE))</f>
        <v>91842.25</v>
      </c>
      <c r="CE39">
        <f ca="1">IF(AND(ISNUMBER($CE$101),$B$69=1),$CE$101,HLOOKUP(INDIRECT(ADDRESS(2,COLUMN())),OFFSET($CL$2,0,0,ROW()-1,84),ROW()-1,FALSE))</f>
        <v>74174.5</v>
      </c>
      <c r="CF39">
        <f ca="1">IF(AND(ISNUMBER($CF$101),$B$69=1),$CF$101,HLOOKUP(INDIRECT(ADDRESS(2,COLUMN())),OFFSET($CL$2,0,0,ROW()-1,84),ROW()-1,FALSE))</f>
        <v>69971.75</v>
      </c>
      <c r="CG39">
        <f ca="1">IF(AND(ISNUMBER($CG$101),$B$69=1),$CG$101,HLOOKUP(INDIRECT(ADDRESS(2,COLUMN())),OFFSET($CL$2,0,0,ROW()-1,84),ROW()-1,FALSE))</f>
        <v>64195</v>
      </c>
      <c r="CH39">
        <f ca="1">IF(AND(ISNUMBER($CH$101),$B$69=1),$CH$101,HLOOKUP(INDIRECT(ADDRESS(2,COLUMN())),OFFSET($CL$2,0,0,ROW()-1,84),ROW()-1,FALSE))</f>
        <v>56648</v>
      </c>
      <c r="CI39">
        <f ca="1">IF(AND(ISNUMBER($CI$101),$B$69=1),$CI$101,HLOOKUP(INDIRECT(ADDRESS(2,COLUMN())),OFFSET($CL$2,0,0,ROW()-1,84),ROW()-1,FALSE))</f>
        <v>66035</v>
      </c>
      <c r="CJ39">
        <f ca="1">IF(AND(ISNUMBER($CJ$101),$B$69=1),$CJ$101,HLOOKUP(INDIRECT(ADDRESS(2,COLUMN())),OFFSET($CL$2,0,0,ROW()-1,84),ROW()-1,FALSE))</f>
        <v>58870</v>
      </c>
      <c r="CK39">
        <f ca="1">IF(AND(ISNUMBER($CK$101),$B$69=1),$CK$101,HLOOKUP(INDIRECT(ADDRESS(2,COLUMN())),OFFSET($CL$2,0,0,ROW()-1,84),ROW()-1,FALSE))</f>
        <v>49521</v>
      </c>
      <c r="CL39" t="str">
        <f>""</f>
        <v/>
      </c>
      <c r="CM39">
        <f>65899</f>
        <v>65899</v>
      </c>
      <c r="CN39">
        <f>47270</f>
        <v>47270</v>
      </c>
      <c r="CO39">
        <f>48499</f>
        <v>48499</v>
      </c>
      <c r="CP39">
        <f>64865</f>
        <v>64865</v>
      </c>
      <c r="CQ39">
        <f>78458</f>
        <v>78458</v>
      </c>
      <c r="CR39">
        <f>51537</f>
        <v>51537</v>
      </c>
      <c r="CS39">
        <f>63401</f>
        <v>63401</v>
      </c>
      <c r="CT39">
        <f>47578</f>
        <v>47578</v>
      </c>
      <c r="CU39">
        <f>76564</f>
        <v>76564</v>
      </c>
      <c r="CV39">
        <f>86765</f>
        <v>86765</v>
      </c>
      <c r="CW39">
        <f>72388</f>
        <v>72388</v>
      </c>
      <c r="CX39">
        <f>85930</f>
        <v>85930</v>
      </c>
      <c r="CY39">
        <f>89292</f>
        <v>89292</v>
      </c>
      <c r="CZ39">
        <f>114042</f>
        <v>114042</v>
      </c>
      <c r="DA39">
        <f>65347</f>
        <v>65347</v>
      </c>
      <c r="DB39">
        <f>84384</f>
        <v>84384</v>
      </c>
      <c r="DC39">
        <f>86559</f>
        <v>86559</v>
      </c>
      <c r="DD39">
        <f>100540</f>
        <v>100540</v>
      </c>
      <c r="DE39">
        <f>95193</f>
        <v>95193</v>
      </c>
      <c r="DF39">
        <f>75777</f>
        <v>75777</v>
      </c>
      <c r="DG39">
        <f>79425</f>
        <v>79425</v>
      </c>
      <c r="DH39">
        <f>110030</f>
        <v>110030</v>
      </c>
      <c r="DI39">
        <f>61231</f>
        <v>61231</v>
      </c>
      <c r="DJ39">
        <f>110132</f>
        <v>110132</v>
      </c>
      <c r="DK39">
        <f>84786</f>
        <v>84786</v>
      </c>
      <c r="DL39">
        <f>89000</f>
        <v>89000</v>
      </c>
      <c r="DM39">
        <f>107948</f>
        <v>107948</v>
      </c>
      <c r="DN39">
        <f>57145</f>
        <v>57145</v>
      </c>
      <c r="DO39">
        <f>103885</f>
        <v>103885</v>
      </c>
      <c r="DP39">
        <f>59115</f>
        <v>59115</v>
      </c>
      <c r="DQ39">
        <f>100445</f>
        <v>100445</v>
      </c>
      <c r="DR39">
        <f>72055</f>
        <v>72055</v>
      </c>
      <c r="DS39">
        <f>99066</f>
        <v>99066</v>
      </c>
      <c r="DT39">
        <f>110077</f>
        <v>110077</v>
      </c>
      <c r="DU39">
        <f>95771</f>
        <v>95771</v>
      </c>
      <c r="DV39">
        <f>120987</f>
        <v>120987</v>
      </c>
      <c r="DW39">
        <f>110083</f>
        <v>110083</v>
      </c>
      <c r="DX39">
        <f>118936</f>
        <v>118936</v>
      </c>
      <c r="DY39">
        <f>105104</f>
        <v>105104</v>
      </c>
      <c r="DZ39">
        <f>81915</f>
        <v>81915</v>
      </c>
      <c r="EA39">
        <f>68472</f>
        <v>68472</v>
      </c>
      <c r="EB39">
        <f>92047</f>
        <v>92047</v>
      </c>
      <c r="EC39">
        <f>56162</f>
        <v>56162</v>
      </c>
      <c r="ED39">
        <f>100340</f>
        <v>100340</v>
      </c>
      <c r="EE39">
        <f>81487</f>
        <v>81487</v>
      </c>
      <c r="EF39">
        <f>107088</f>
        <v>107088</v>
      </c>
      <c r="EG39">
        <f>105545</f>
        <v>105545</v>
      </c>
      <c r="EH39">
        <f>101674</f>
        <v>101674</v>
      </c>
      <c r="EI39">
        <f>113800</f>
        <v>113800</v>
      </c>
      <c r="EJ39">
        <f>123261</f>
        <v>123261</v>
      </c>
      <c r="EK39">
        <f>109315</f>
        <v>109315</v>
      </c>
      <c r="EL39">
        <f>95677</f>
        <v>95677</v>
      </c>
      <c r="EM39">
        <f>108351</f>
        <v>108351</v>
      </c>
      <c r="EN39">
        <f>97804</f>
        <v>97804</v>
      </c>
      <c r="EO39">
        <f>86403</f>
        <v>86403</v>
      </c>
      <c r="EP39">
        <f>60980</f>
        <v>60980</v>
      </c>
      <c r="EQ39">
        <f>100868</f>
        <v>100868</v>
      </c>
      <c r="ER39">
        <f>90830</f>
        <v>90830</v>
      </c>
      <c r="ES39">
        <f>81666</f>
        <v>81666</v>
      </c>
      <c r="ET39">
        <f>92316</f>
        <v>92316</v>
      </c>
      <c r="EU39">
        <f>105059.75</f>
        <v>105059.75</v>
      </c>
      <c r="EV39">
        <f>74822</f>
        <v>74822</v>
      </c>
      <c r="EW39">
        <f>88490</f>
        <v>88490</v>
      </c>
      <c r="EX39">
        <f>91922</f>
        <v>91922</v>
      </c>
      <c r="EY39">
        <f>89950</f>
        <v>89950</v>
      </c>
      <c r="EZ39">
        <f>81481</f>
        <v>81481</v>
      </c>
      <c r="FA39">
        <f>78953</f>
        <v>78953</v>
      </c>
      <c r="FB39">
        <f>76754</f>
        <v>76754</v>
      </c>
      <c r="FC39">
        <f>83778</f>
        <v>83778</v>
      </c>
      <c r="FD39">
        <f>77645</f>
        <v>77645</v>
      </c>
      <c r="FE39">
        <f>85119</f>
        <v>85119</v>
      </c>
      <c r="FF39">
        <f>91829.5</f>
        <v>91829.5</v>
      </c>
      <c r="FG39">
        <f>75772.25</f>
        <v>75772.25</v>
      </c>
      <c r="FH39">
        <f>87521</f>
        <v>87521</v>
      </c>
      <c r="FI39">
        <f>85784.75</f>
        <v>85784.75</v>
      </c>
      <c r="FJ39">
        <f>91842.25</f>
        <v>91842.25</v>
      </c>
      <c r="FK39">
        <f>74174.5</f>
        <v>74174.5</v>
      </c>
      <c r="FL39">
        <f>69971.75</f>
        <v>69971.75</v>
      </c>
      <c r="FM39">
        <f>64195</f>
        <v>64195</v>
      </c>
      <c r="FN39">
        <f>56648</f>
        <v>56648</v>
      </c>
      <c r="FO39">
        <f>66035</f>
        <v>66035</v>
      </c>
      <c r="FP39">
        <f>58870</f>
        <v>58870</v>
      </c>
      <c r="FQ39">
        <f>49521</f>
        <v>49521</v>
      </c>
    </row>
    <row r="40" spans="1:173" x14ac:dyDescent="0.25">
      <c r="A40" t="str">
        <f>"Suez Canal Traffic"</f>
        <v>Suez Canal Traffic</v>
      </c>
      <c r="B40" t="str">
        <f>""</f>
        <v/>
      </c>
      <c r="E40" t="str">
        <f>"Heading"</f>
        <v>Heading</v>
      </c>
      <c r="CL40" t="str">
        <f>""</f>
        <v/>
      </c>
      <c r="CM40" t="str">
        <f>""</f>
        <v/>
      </c>
      <c r="CN40" t="str">
        <f>""</f>
        <v/>
      </c>
      <c r="CO40" t="str">
        <f>""</f>
        <v/>
      </c>
      <c r="CP40" t="str">
        <f>""</f>
        <v/>
      </c>
      <c r="CQ40" t="str">
        <f>""</f>
        <v/>
      </c>
      <c r="CR40" t="str">
        <f>""</f>
        <v/>
      </c>
      <c r="CS40" t="str">
        <f>""</f>
        <v/>
      </c>
      <c r="CT40" t="str">
        <f>""</f>
        <v/>
      </c>
      <c r="CU40" t="str">
        <f>""</f>
        <v/>
      </c>
      <c r="CV40" t="str">
        <f>""</f>
        <v/>
      </c>
      <c r="CW40" t="str">
        <f>""</f>
        <v/>
      </c>
      <c r="CX40" t="str">
        <f>""</f>
        <v/>
      </c>
      <c r="CY40" t="str">
        <f>""</f>
        <v/>
      </c>
      <c r="CZ40" t="str">
        <f>""</f>
        <v/>
      </c>
      <c r="DA40" t="str">
        <f>""</f>
        <v/>
      </c>
      <c r="DB40" t="str">
        <f>""</f>
        <v/>
      </c>
      <c r="DC40" t="str">
        <f>""</f>
        <v/>
      </c>
      <c r="DD40" t="str">
        <f>""</f>
        <v/>
      </c>
      <c r="DE40" t="str">
        <f>""</f>
        <v/>
      </c>
      <c r="DF40" t="str">
        <f>""</f>
        <v/>
      </c>
      <c r="DG40" t="str">
        <f>""</f>
        <v/>
      </c>
      <c r="DH40" t="str">
        <f>""</f>
        <v/>
      </c>
      <c r="DI40" t="str">
        <f>""</f>
        <v/>
      </c>
      <c r="DJ40" t="str">
        <f>""</f>
        <v/>
      </c>
      <c r="DK40" t="str">
        <f>""</f>
        <v/>
      </c>
      <c r="DL40" t="str">
        <f>""</f>
        <v/>
      </c>
      <c r="DM40" t="str">
        <f>""</f>
        <v/>
      </c>
      <c r="DN40" t="str">
        <f>""</f>
        <v/>
      </c>
      <c r="DO40" t="str">
        <f>""</f>
        <v/>
      </c>
      <c r="DP40" t="str">
        <f>""</f>
        <v/>
      </c>
      <c r="DQ40" t="str">
        <f>""</f>
        <v/>
      </c>
      <c r="DR40" t="str">
        <f>""</f>
        <v/>
      </c>
      <c r="DS40" t="str">
        <f>""</f>
        <v/>
      </c>
      <c r="DT40" t="str">
        <f>""</f>
        <v/>
      </c>
      <c r="DU40" t="str">
        <f>""</f>
        <v/>
      </c>
      <c r="DV40" t="str">
        <f>""</f>
        <v/>
      </c>
      <c r="DW40" t="str">
        <f>""</f>
        <v/>
      </c>
      <c r="DX40" t="str">
        <f>""</f>
        <v/>
      </c>
      <c r="DY40" t="str">
        <f>""</f>
        <v/>
      </c>
      <c r="DZ40" t="str">
        <f>""</f>
        <v/>
      </c>
      <c r="EA40" t="str">
        <f>""</f>
        <v/>
      </c>
      <c r="EB40" t="str">
        <f>""</f>
        <v/>
      </c>
      <c r="EC40" t="str">
        <f>""</f>
        <v/>
      </c>
      <c r="ED40" t="str">
        <f>""</f>
        <v/>
      </c>
      <c r="EE40" t="str">
        <f>""</f>
        <v/>
      </c>
      <c r="EF40" t="str">
        <f>""</f>
        <v/>
      </c>
      <c r="EG40" t="str">
        <f>""</f>
        <v/>
      </c>
      <c r="EH40" t="str">
        <f>""</f>
        <v/>
      </c>
      <c r="EI40" t="str">
        <f>""</f>
        <v/>
      </c>
      <c r="EJ40" t="str">
        <f>""</f>
        <v/>
      </c>
      <c r="EK40" t="str">
        <f>""</f>
        <v/>
      </c>
      <c r="EL40" t="str">
        <f>""</f>
        <v/>
      </c>
      <c r="EM40" t="str">
        <f>""</f>
        <v/>
      </c>
      <c r="EN40" t="str">
        <f>""</f>
        <v/>
      </c>
      <c r="EO40" t="str">
        <f>""</f>
        <v/>
      </c>
      <c r="EP40" t="str">
        <f>""</f>
        <v/>
      </c>
      <c r="EQ40" t="str">
        <f>""</f>
        <v/>
      </c>
      <c r="ER40" t="str">
        <f>""</f>
        <v/>
      </c>
      <c r="ES40" t="str">
        <f>""</f>
        <v/>
      </c>
      <c r="ET40" t="str">
        <f>""</f>
        <v/>
      </c>
      <c r="EU40" t="str">
        <f>""</f>
        <v/>
      </c>
      <c r="EV40" t="str">
        <f>""</f>
        <v/>
      </c>
      <c r="EW40" t="str">
        <f>""</f>
        <v/>
      </c>
      <c r="EX40" t="str">
        <f>""</f>
        <v/>
      </c>
      <c r="EY40" t="str">
        <f>""</f>
        <v/>
      </c>
      <c r="EZ40" t="str">
        <f>""</f>
        <v/>
      </c>
      <c r="FA40" t="str">
        <f>""</f>
        <v/>
      </c>
      <c r="FB40" t="str">
        <f>""</f>
        <v/>
      </c>
      <c r="FC40" t="str">
        <f>""</f>
        <v/>
      </c>
      <c r="FD40" t="str">
        <f>""</f>
        <v/>
      </c>
      <c r="FE40" t="str">
        <f>""</f>
        <v/>
      </c>
      <c r="FF40" t="str">
        <f>""</f>
        <v/>
      </c>
      <c r="FG40" t="str">
        <f>""</f>
        <v/>
      </c>
      <c r="FH40" t="str">
        <f>""</f>
        <v/>
      </c>
      <c r="FI40" t="str">
        <f>""</f>
        <v/>
      </c>
      <c r="FJ40" t="str">
        <f>""</f>
        <v/>
      </c>
      <c r="FK40" t="str">
        <f>""</f>
        <v/>
      </c>
      <c r="FL40" t="str">
        <f>""</f>
        <v/>
      </c>
      <c r="FM40" t="str">
        <f>""</f>
        <v/>
      </c>
      <c r="FN40" t="str">
        <f>""</f>
        <v/>
      </c>
      <c r="FO40" t="str">
        <f>""</f>
        <v/>
      </c>
      <c r="FP40" t="str">
        <f>""</f>
        <v/>
      </c>
      <c r="FQ40" t="str">
        <f>""</f>
        <v/>
      </c>
    </row>
    <row r="41" spans="1:173" x14ac:dyDescent="0.25">
      <c r="A41" t="str">
        <f>"    Total Ships Net Tonnage (000)"</f>
        <v xml:space="preserve">    Total Ships Net Tonnage (000)</v>
      </c>
      <c r="B41" t="str">
        <f>"SCTSPK Index"</f>
        <v>SCTSPK Index</v>
      </c>
      <c r="C41" t="str">
        <f>"PX385"</f>
        <v>PX385</v>
      </c>
      <c r="D41" t="str">
        <f>"INTERVAL_SUM"</f>
        <v>INTERVAL_SUM</v>
      </c>
      <c r="E41" t="str">
        <f>"Dynamic"</f>
        <v>Dynamic</v>
      </c>
      <c r="F41" t="str">
        <f ca="1">IF(AND(ISNUMBER($F$102),$B$69=1),$F$102,HLOOKUP(INDIRECT(ADDRESS(2,COLUMN())),OFFSET($CL$2,0,0,ROW()-1,84),ROW()-1,FALSE))</f>
        <v/>
      </c>
      <c r="G41" t="str">
        <f ca="1">IF(AND(ISNUMBER($G$102),$B$69=1),$G$102,HLOOKUP(INDIRECT(ADDRESS(2,COLUMN())),OFFSET($CL$2,0,0,ROW()-1,84),ROW()-1,FALSE))</f>
        <v/>
      </c>
      <c r="H41" t="str">
        <f ca="1">IF(AND(ISNUMBER($H$102),$B$69=1),$H$102,HLOOKUP(INDIRECT(ADDRESS(2,COLUMN())),OFFSET($CL$2,0,0,ROW()-1,84),ROW()-1,FALSE))</f>
        <v/>
      </c>
      <c r="I41" t="str">
        <f ca="1">IF(AND(ISNUMBER($I$102),$B$69=1),$I$102,HLOOKUP(INDIRECT(ADDRESS(2,COLUMN())),OFFSET($CL$2,0,0,ROW()-1,84),ROW()-1,FALSE))</f>
        <v/>
      </c>
      <c r="J41" t="str">
        <f ca="1">IF(AND(ISNUMBER($J$102),$B$69=1),$J$102,HLOOKUP(INDIRECT(ADDRESS(2,COLUMN())),OFFSET($CL$2,0,0,ROW()-1,84),ROW()-1,FALSE))</f>
        <v/>
      </c>
      <c r="K41" t="str">
        <f ca="1">IF(AND(ISNUMBER($K$102),$B$69=1),$K$102,HLOOKUP(INDIRECT(ADDRESS(2,COLUMN())),OFFSET($CL$2,0,0,ROW()-1,84),ROW()-1,FALSE))</f>
        <v/>
      </c>
      <c r="L41" t="str">
        <f ca="1">IF(AND(ISNUMBER($L$102),$B$69=1),$L$102,HLOOKUP(INDIRECT(ADDRESS(2,COLUMN())),OFFSET($CL$2,0,0,ROW()-1,84),ROW()-1,FALSE))</f>
        <v/>
      </c>
      <c r="M41" t="str">
        <f ca="1">IF(AND(ISNUMBER($M$102),$B$69=1),$M$102,HLOOKUP(INDIRECT(ADDRESS(2,COLUMN())),OFFSET($CL$2,0,0,ROW()-1,84),ROW()-1,FALSE))</f>
        <v/>
      </c>
      <c r="N41" t="str">
        <f ca="1">IF(AND(ISNUMBER($N$102),$B$69=1),$N$102,HLOOKUP(INDIRECT(ADDRESS(2,COLUMN())),OFFSET($CL$2,0,0,ROW()-1,84),ROW()-1,FALSE))</f>
        <v/>
      </c>
      <c r="O41" t="str">
        <f ca="1">IF(AND(ISNUMBER($O$102),$B$69=1),$O$102,HLOOKUP(INDIRECT(ADDRESS(2,COLUMN())),OFFSET($CL$2,0,0,ROW()-1,84),ROW()-1,FALSE))</f>
        <v/>
      </c>
      <c r="P41" t="str">
        <f ca="1">IF(AND(ISNUMBER($P$102),$B$69=1),$P$102,HLOOKUP(INDIRECT(ADDRESS(2,COLUMN())),OFFSET($CL$2,0,0,ROW()-1,84),ROW()-1,FALSE))</f>
        <v/>
      </c>
      <c r="Q41" t="str">
        <f ca="1">IF(AND(ISNUMBER($Q$102),$B$69=1),$Q$102,HLOOKUP(INDIRECT(ADDRESS(2,COLUMN())),OFFSET($CL$2,0,0,ROW()-1,84),ROW()-1,FALSE))</f>
        <v/>
      </c>
      <c r="R41" t="str">
        <f ca="1">IF(AND(ISNUMBER($R$102),$B$69=1),$R$102,HLOOKUP(INDIRECT(ADDRESS(2,COLUMN())),OFFSET($CL$2,0,0,ROW()-1,84),ROW()-1,FALSE))</f>
        <v/>
      </c>
      <c r="S41" t="str">
        <f ca="1">IF(AND(ISNUMBER($S$102),$B$69=1),$S$102,HLOOKUP(INDIRECT(ADDRESS(2,COLUMN())),OFFSET($CL$2,0,0,ROW()-1,84),ROW()-1,FALSE))</f>
        <v/>
      </c>
      <c r="T41" t="str">
        <f ca="1">IF(AND(ISNUMBER($T$102),$B$69=1),$T$102,HLOOKUP(INDIRECT(ADDRESS(2,COLUMN())),OFFSET($CL$2,0,0,ROW()-1,84),ROW()-1,FALSE))</f>
        <v/>
      </c>
      <c r="U41" t="str">
        <f ca="1">IF(AND(ISNUMBER($U$102),$B$69=1),$U$102,HLOOKUP(INDIRECT(ADDRESS(2,COLUMN())),OFFSET($CL$2,0,0,ROW()-1,84),ROW()-1,FALSE))</f>
        <v/>
      </c>
      <c r="V41" t="str">
        <f ca="1">IF(AND(ISNUMBER($V$102),$B$69=1),$V$102,HLOOKUP(INDIRECT(ADDRESS(2,COLUMN())),OFFSET($CL$2,0,0,ROW()-1,84),ROW()-1,FALSE))</f>
        <v/>
      </c>
      <c r="W41" t="str">
        <f ca="1">IF(AND(ISNUMBER($W$102),$B$69=1),$W$102,HLOOKUP(INDIRECT(ADDRESS(2,COLUMN())),OFFSET($CL$2,0,0,ROW()-1,84),ROW()-1,FALSE))</f>
        <v/>
      </c>
      <c r="X41" t="str">
        <f ca="1">IF(AND(ISNUMBER($X$102),$B$69=1),$X$102,HLOOKUP(INDIRECT(ADDRESS(2,COLUMN())),OFFSET($CL$2,0,0,ROW()-1,84),ROW()-1,FALSE))</f>
        <v/>
      </c>
      <c r="Y41" t="str">
        <f ca="1">IF(AND(ISNUMBER($Y$102),$B$69=1),$Y$102,HLOOKUP(INDIRECT(ADDRESS(2,COLUMN())),OFFSET($CL$2,0,0,ROW()-1,84),ROW()-1,FALSE))</f>
        <v/>
      </c>
      <c r="Z41" t="str">
        <f ca="1">IF(AND(ISNUMBER($Z$102),$B$69=1),$Z$102,HLOOKUP(INDIRECT(ADDRESS(2,COLUMN())),OFFSET($CL$2,0,0,ROW()-1,84),ROW()-1,FALSE))</f>
        <v/>
      </c>
      <c r="AA41" t="str">
        <f ca="1">IF(AND(ISNUMBER($AA$102),$B$69=1),$AA$102,HLOOKUP(INDIRECT(ADDRESS(2,COLUMN())),OFFSET($CL$2,0,0,ROW()-1,84),ROW()-1,FALSE))</f>
        <v/>
      </c>
      <c r="AB41" t="str">
        <f ca="1">IF(AND(ISNUMBER($AB$102),$B$69=1),$AB$102,HLOOKUP(INDIRECT(ADDRESS(2,COLUMN())),OFFSET($CL$2,0,0,ROW()-1,84),ROW()-1,FALSE))</f>
        <v/>
      </c>
      <c r="AC41" t="str">
        <f ca="1">IF(AND(ISNUMBER($AC$102),$B$69=1),$AC$102,HLOOKUP(INDIRECT(ADDRESS(2,COLUMN())),OFFSET($CL$2,0,0,ROW()-1,84),ROW()-1,FALSE))</f>
        <v/>
      </c>
      <c r="AD41" t="str">
        <f ca="1">IF(AND(ISNUMBER($AD$102),$B$69=1),$AD$102,HLOOKUP(INDIRECT(ADDRESS(2,COLUMN())),OFFSET($CL$2,0,0,ROW()-1,84),ROW()-1,FALSE))</f>
        <v/>
      </c>
      <c r="AE41" t="str">
        <f ca="1">IF(AND(ISNUMBER($AE$102),$B$69=1),$AE$102,HLOOKUP(INDIRECT(ADDRESS(2,COLUMN())),OFFSET($CL$2,0,0,ROW()-1,84),ROW()-1,FALSE))</f>
        <v/>
      </c>
      <c r="AF41" t="str">
        <f ca="1">IF(AND(ISNUMBER($AF$102),$B$69=1),$AF$102,HLOOKUP(INDIRECT(ADDRESS(2,COLUMN())),OFFSET($CL$2,0,0,ROW()-1,84),ROW()-1,FALSE))</f>
        <v/>
      </c>
      <c r="AG41" t="str">
        <f ca="1">IF(AND(ISNUMBER($AG$102),$B$69=1),$AG$102,HLOOKUP(INDIRECT(ADDRESS(2,COLUMN())),OFFSET($CL$2,0,0,ROW()-1,84),ROW()-1,FALSE))</f>
        <v/>
      </c>
      <c r="AH41" t="str">
        <f ca="1">IF(AND(ISNUMBER($AH$102),$B$69=1),$AH$102,HLOOKUP(INDIRECT(ADDRESS(2,COLUMN())),OFFSET($CL$2,0,0,ROW()-1,84),ROW()-1,FALSE))</f>
        <v/>
      </c>
      <c r="AI41" t="str">
        <f ca="1">IF(AND(ISNUMBER($AI$102),$B$69=1),$AI$102,HLOOKUP(INDIRECT(ADDRESS(2,COLUMN())),OFFSET($CL$2,0,0,ROW()-1,84),ROW()-1,FALSE))</f>
        <v/>
      </c>
      <c r="AJ41" t="str">
        <f ca="1">IF(AND(ISNUMBER($AJ$102),$B$69=1),$AJ$102,HLOOKUP(INDIRECT(ADDRESS(2,COLUMN())),OFFSET($CL$2,0,0,ROW()-1,84),ROW()-1,FALSE))</f>
        <v/>
      </c>
      <c r="AK41" t="str">
        <f ca="1">IF(AND(ISNUMBER($AK$102),$B$69=1),$AK$102,HLOOKUP(INDIRECT(ADDRESS(2,COLUMN())),OFFSET($CL$2,0,0,ROW()-1,84),ROW()-1,FALSE))</f>
        <v/>
      </c>
      <c r="AL41" t="str">
        <f ca="1">IF(AND(ISNUMBER($AL$102),$B$69=1),$AL$102,HLOOKUP(INDIRECT(ADDRESS(2,COLUMN())),OFFSET($CL$2,0,0,ROW()-1,84),ROW()-1,FALSE))</f>
        <v/>
      </c>
      <c r="AM41" t="str">
        <f ca="1">IF(AND(ISNUMBER($AM$102),$B$69=1),$AM$102,HLOOKUP(INDIRECT(ADDRESS(2,COLUMN())),OFFSET($CL$2,0,0,ROW()-1,84),ROW()-1,FALSE))</f>
        <v/>
      </c>
      <c r="AN41" t="str">
        <f ca="1">IF(AND(ISNUMBER($AN$102),$B$69=1),$AN$102,HLOOKUP(INDIRECT(ADDRESS(2,COLUMN())),OFFSET($CL$2,0,0,ROW()-1,84),ROW()-1,FALSE))</f>
        <v/>
      </c>
      <c r="AO41" t="str">
        <f ca="1">IF(AND(ISNUMBER($AO$102),$B$69=1),$AO$102,HLOOKUP(INDIRECT(ADDRESS(2,COLUMN())),OFFSET($CL$2,0,0,ROW()-1,84),ROW()-1,FALSE))</f>
        <v/>
      </c>
      <c r="AP41" t="str">
        <f ca="1">IF(AND(ISNUMBER($AP$102),$B$69=1),$AP$102,HLOOKUP(INDIRECT(ADDRESS(2,COLUMN())),OFFSET($CL$2,0,0,ROW()-1,84),ROW()-1,FALSE))</f>
        <v/>
      </c>
      <c r="AQ41" t="str">
        <f ca="1">IF(AND(ISNUMBER($AQ$102),$B$69=1),$AQ$102,HLOOKUP(INDIRECT(ADDRESS(2,COLUMN())),OFFSET($CL$2,0,0,ROW()-1,84),ROW()-1,FALSE))</f>
        <v/>
      </c>
      <c r="AR41" t="str">
        <f ca="1">IF(AND(ISNUMBER($AR$102),$B$69=1),$AR$102,HLOOKUP(INDIRECT(ADDRESS(2,COLUMN())),OFFSET($CL$2,0,0,ROW()-1,84),ROW()-1,FALSE))</f>
        <v/>
      </c>
      <c r="AS41" t="str">
        <f ca="1">IF(AND(ISNUMBER($AS$102),$B$69=1),$AS$102,HLOOKUP(INDIRECT(ADDRESS(2,COLUMN())),OFFSET($CL$2,0,0,ROW()-1,84),ROW()-1,FALSE))</f>
        <v/>
      </c>
      <c r="AT41" t="str">
        <f ca="1">IF(AND(ISNUMBER($AT$102),$B$69=1),$AT$102,HLOOKUP(INDIRECT(ADDRESS(2,COLUMN())),OFFSET($CL$2,0,0,ROW()-1,84),ROW()-1,FALSE))</f>
        <v/>
      </c>
      <c r="AU41" t="str">
        <f ca="1">IF(AND(ISNUMBER($AU$102),$B$69=1),$AU$102,HLOOKUP(INDIRECT(ADDRESS(2,COLUMN())),OFFSET($CL$2,0,0,ROW()-1,84),ROW()-1,FALSE))</f>
        <v/>
      </c>
      <c r="AV41" t="str">
        <f ca="1">IF(AND(ISNUMBER($AV$102),$B$69=1),$AV$102,HLOOKUP(INDIRECT(ADDRESS(2,COLUMN())),OFFSET($CL$2,0,0,ROW()-1,84),ROW()-1,FALSE))</f>
        <v/>
      </c>
      <c r="AW41" t="str">
        <f ca="1">IF(AND(ISNUMBER($AW$102),$B$69=1),$AW$102,HLOOKUP(INDIRECT(ADDRESS(2,COLUMN())),OFFSET($CL$2,0,0,ROW()-1,84),ROW()-1,FALSE))</f>
        <v/>
      </c>
      <c r="AX41">
        <f ca="1">IF(AND(ISNUMBER($AX$102),$B$69=1),$AX$102,HLOOKUP(INDIRECT(ADDRESS(2,COLUMN())),OFFSET($CL$2,0,0,ROW()-1,84),ROW()-1,FALSE))</f>
        <v>99902</v>
      </c>
      <c r="AY41">
        <f ca="1">IF(AND(ISNUMBER($AY$102),$B$69=1),$AY$102,HLOOKUP(INDIRECT(ADDRESS(2,COLUMN())),OFFSET($CL$2,0,0,ROW()-1,84),ROW()-1,FALSE))</f>
        <v>105737</v>
      </c>
      <c r="AZ41">
        <f ca="1">IF(AND(ISNUMBER($AZ$102),$B$69=1),$AZ$102,HLOOKUP(INDIRECT(ADDRESS(2,COLUMN())),OFFSET($CL$2,0,0,ROW()-1,84),ROW()-1,FALSE))</f>
        <v>103867</v>
      </c>
      <c r="BA41">
        <f ca="1">IF(AND(ISNUMBER($BA$102),$B$69=1),$BA$102,HLOOKUP(INDIRECT(ADDRESS(2,COLUMN())),OFFSET($CL$2,0,0,ROW()-1,84),ROW()-1,FALSE))</f>
        <v>101668</v>
      </c>
      <c r="BB41">
        <f ca="1">IF(AND(ISNUMBER($BB$102),$B$69=1),$BB$102,HLOOKUP(INDIRECT(ADDRESS(2,COLUMN())),OFFSET($CL$2,0,0,ROW()-1,84),ROW()-1,FALSE))</f>
        <v>108919</v>
      </c>
      <c r="BC41">
        <f ca="1">IF(AND(ISNUMBER($BC$102),$B$69=1),$BC$102,HLOOKUP(INDIRECT(ADDRESS(2,COLUMN())),OFFSET($CL$2,0,0,ROW()-1,84),ROW()-1,FALSE))</f>
        <v>98974</v>
      </c>
      <c r="BD41">
        <f ca="1">IF(AND(ISNUMBER($BD$102),$B$69=1),$BD$102,HLOOKUP(INDIRECT(ADDRESS(2,COLUMN())),OFFSET($CL$2,0,0,ROW()-1,84),ROW()-1,FALSE))</f>
        <v>106000</v>
      </c>
      <c r="BE41">
        <f ca="1">IF(AND(ISNUMBER($BE$102),$B$69=1),$BE$102,HLOOKUP(INDIRECT(ADDRESS(2,COLUMN())),OFFSET($CL$2,0,0,ROW()-1,84),ROW()-1,FALSE))</f>
        <v>103574</v>
      </c>
      <c r="BF41">
        <f ca="1">IF(AND(ISNUMBER($BF$102),$B$69=1),$BF$102,HLOOKUP(INDIRECT(ADDRESS(2,COLUMN())),OFFSET($CL$2,0,0,ROW()-1,84),ROW()-1,FALSE))</f>
        <v>98233</v>
      </c>
      <c r="BG41">
        <f ca="1">IF(AND(ISNUMBER($BG$102),$B$69=1),$BG$102,HLOOKUP(INDIRECT(ADDRESS(2,COLUMN())),OFFSET($CL$2,0,0,ROW()-1,84),ROW()-1,FALSE))</f>
        <v>104914</v>
      </c>
      <c r="BH41">
        <f ca="1">IF(AND(ISNUMBER($BH$102),$B$69=1),$BH$102,HLOOKUP(INDIRECT(ADDRESS(2,COLUMN())),OFFSET($CL$2,0,0,ROW()-1,84),ROW()-1,FALSE))</f>
        <v>98341</v>
      </c>
      <c r="BI41">
        <f ca="1">IF(AND(ISNUMBER($BI$102),$B$69=1),$BI$102,HLOOKUP(INDIRECT(ADDRESS(2,COLUMN())),OFFSET($CL$2,0,0,ROW()-1,84),ROW()-1,FALSE))</f>
        <v>97796</v>
      </c>
      <c r="BJ41">
        <f ca="1">IF(AND(ISNUMBER($BJ$102),$B$69=1),$BJ$102,HLOOKUP(INDIRECT(ADDRESS(2,COLUMN())),OFFSET($CL$2,0,0,ROW()-1,84),ROW()-1,FALSE))</f>
        <v>88549</v>
      </c>
      <c r="BK41">
        <f ca="1">IF(AND(ISNUMBER($BK$102),$B$69=1),$BK$102,HLOOKUP(INDIRECT(ADDRESS(2,COLUMN())),OFFSET($CL$2,0,0,ROW()-1,84),ROW()-1,FALSE))</f>
        <v>96250</v>
      </c>
      <c r="BL41">
        <f ca="1">IF(AND(ISNUMBER($BL$102),$B$69=1),$BL$102,HLOOKUP(INDIRECT(ADDRESS(2,COLUMN())),OFFSET($CL$2,0,0,ROW()-1,84),ROW()-1,FALSE))</f>
        <v>96634</v>
      </c>
      <c r="BM41">
        <f ca="1">IF(AND(ISNUMBER($BM$102),$B$69=1),$BM$102,HLOOKUP(INDIRECT(ADDRESS(2,COLUMN())),OFFSET($CL$2,0,0,ROW()-1,84),ROW()-1,FALSE))</f>
        <v>96068</v>
      </c>
      <c r="BN41">
        <f ca="1">IF(AND(ISNUMBER($BN$102),$B$69=1),$BN$102,HLOOKUP(INDIRECT(ADDRESS(2,COLUMN())),OFFSET($CL$2,0,0,ROW()-1,84),ROW()-1,FALSE))</f>
        <v>103009</v>
      </c>
      <c r="BO41">
        <f ca="1">IF(AND(ISNUMBER($BO$102),$B$69=1),$BO$102,HLOOKUP(INDIRECT(ADDRESS(2,COLUMN())),OFFSET($CL$2,0,0,ROW()-1,84),ROW()-1,FALSE))</f>
        <v>93952</v>
      </c>
      <c r="BP41">
        <f ca="1">IF(AND(ISNUMBER($BP$102),$B$69=1),$BP$102,HLOOKUP(INDIRECT(ADDRESS(2,COLUMN())),OFFSET($CL$2,0,0,ROW()-1,84),ROW()-1,FALSE))</f>
        <v>101241</v>
      </c>
      <c r="BQ41">
        <f ca="1">IF(AND(ISNUMBER($BQ$102),$B$69=1),$BQ$102,HLOOKUP(INDIRECT(ADDRESS(2,COLUMN())),OFFSET($CL$2,0,0,ROW()-1,84),ROW()-1,FALSE))</f>
        <v>99739</v>
      </c>
      <c r="BR41">
        <f ca="1">IF(AND(ISNUMBER($BR$102),$B$69=1),$BR$102,HLOOKUP(INDIRECT(ADDRESS(2,COLUMN())),OFFSET($CL$2,0,0,ROW()-1,84),ROW()-1,FALSE))</f>
        <v>97157</v>
      </c>
      <c r="BS41">
        <f ca="1">IF(AND(ISNUMBER($BS$102),$B$69=1),$BS$102,HLOOKUP(INDIRECT(ADDRESS(2,COLUMN())),OFFSET($CL$2,0,0,ROW()-1,84),ROW()-1,FALSE))</f>
        <v>99171</v>
      </c>
      <c r="BT41">
        <f ca="1">IF(AND(ISNUMBER($BT$102),$B$69=1),$BT$102,HLOOKUP(INDIRECT(ADDRESS(2,COLUMN())),OFFSET($CL$2,0,0,ROW()-1,84),ROW()-1,FALSE))</f>
        <v>92474</v>
      </c>
      <c r="BU41">
        <f ca="1">IF(AND(ISNUMBER($BU$102),$B$69=1),$BU$102,HLOOKUP(INDIRECT(ADDRESS(2,COLUMN())),OFFSET($CL$2,0,0,ROW()-1,84),ROW()-1,FALSE))</f>
        <v>88938</v>
      </c>
      <c r="BV41">
        <f ca="1">IF(AND(ISNUMBER($BV$102),$B$69=1),$BV$102,HLOOKUP(INDIRECT(ADDRESS(2,COLUMN())),OFFSET($CL$2,0,0,ROW()-1,84),ROW()-1,FALSE))</f>
        <v>83486</v>
      </c>
      <c r="BW41">
        <f ca="1">IF(AND(ISNUMBER($BW$102),$B$69=1),$BW$102,HLOOKUP(INDIRECT(ADDRESS(2,COLUMN())),OFFSET($CL$2,0,0,ROW()-1,84),ROW()-1,FALSE))</f>
        <v>87760</v>
      </c>
      <c r="BX41">
        <f ca="1">IF(AND(ISNUMBER($BX$102),$B$69=1),$BX$102,HLOOKUP(INDIRECT(ADDRESS(2,COLUMN())),OFFSET($CL$2,0,0,ROW()-1,84),ROW()-1,FALSE))</f>
        <v>92258</v>
      </c>
      <c r="BY41">
        <f ca="1">IF(AND(ISNUMBER($BY$102),$B$69=1),$BY$102,HLOOKUP(INDIRECT(ADDRESS(2,COLUMN())),OFFSET($CL$2,0,0,ROW()-1,84),ROW()-1,FALSE))</f>
        <v>90990</v>
      </c>
      <c r="BZ41">
        <f ca="1">IF(AND(ISNUMBER($BZ$102),$B$69=1),$BZ$102,HLOOKUP(INDIRECT(ADDRESS(2,COLUMN())),OFFSET($CL$2,0,0,ROW()-1,84),ROW()-1,FALSE))</f>
        <v>93158</v>
      </c>
      <c r="CA41">
        <f ca="1">IF(AND(ISNUMBER($CA$102),$B$69=1),$CA$102,HLOOKUP(INDIRECT(ADDRESS(2,COLUMN())),OFFSET($CL$2,0,0,ROW()-1,84),ROW()-1,FALSE))</f>
        <v>87926</v>
      </c>
      <c r="CB41">
        <f ca="1">IF(AND(ISNUMBER($CB$102),$B$69=1),$CB$102,HLOOKUP(INDIRECT(ADDRESS(2,COLUMN())),OFFSET($CL$2,0,0,ROW()-1,84),ROW()-1,FALSE))</f>
        <v>91549</v>
      </c>
      <c r="CC41">
        <f ca="1">IF(AND(ISNUMBER($CC$102),$B$69=1),$CC$102,HLOOKUP(INDIRECT(ADDRESS(2,COLUMN())),OFFSET($CL$2,0,0,ROW()-1,84),ROW()-1,FALSE))</f>
        <v>87969</v>
      </c>
      <c r="CD41">
        <f ca="1">IF(AND(ISNUMBER($CD$102),$B$69=1),$CD$102,HLOOKUP(INDIRECT(ADDRESS(2,COLUMN())),OFFSET($CL$2,0,0,ROW()-1,84),ROW()-1,FALSE))</f>
        <v>84634</v>
      </c>
      <c r="CE41">
        <f ca="1">IF(AND(ISNUMBER($CE$102),$B$69=1),$CE$102,HLOOKUP(INDIRECT(ADDRESS(2,COLUMN())),OFFSET($CL$2,0,0,ROW()-1,84),ROW()-1,FALSE))</f>
        <v>88265</v>
      </c>
      <c r="CF41">
        <f ca="1">IF(AND(ISNUMBER($CF$102),$B$69=1),$CF$102,HLOOKUP(INDIRECT(ADDRESS(2,COLUMN())),OFFSET($CL$2,0,0,ROW()-1,84),ROW()-1,FALSE))</f>
        <v>86169</v>
      </c>
      <c r="CG41">
        <f ca="1">IF(AND(ISNUMBER($CG$102),$B$69=1),$CG$102,HLOOKUP(INDIRECT(ADDRESS(2,COLUMN())),OFFSET($CL$2,0,0,ROW()-1,84),ROW()-1,FALSE))</f>
        <v>84679</v>
      </c>
      <c r="CH41">
        <f ca="1">IF(AND(ISNUMBER($CH$102),$B$69=1),$CH$102,HLOOKUP(INDIRECT(ADDRESS(2,COLUMN())),OFFSET($CL$2,0,0,ROW()-1,84),ROW()-1,FALSE))</f>
        <v>75303</v>
      </c>
      <c r="CI41">
        <f ca="1">IF(AND(ISNUMBER($CI$102),$B$69=1),$CI$102,HLOOKUP(INDIRECT(ADDRESS(2,COLUMN())),OFFSET($CL$2,0,0,ROW()-1,84),ROW()-1,FALSE))</f>
        <v>78673</v>
      </c>
      <c r="CJ41">
        <f ca="1">IF(AND(ISNUMBER($CJ$102),$B$69=1),$CJ$102,HLOOKUP(INDIRECT(ADDRESS(2,COLUMN())),OFFSET($CL$2,0,0,ROW()-1,84),ROW()-1,FALSE))</f>
        <v>83271</v>
      </c>
      <c r="CK41">
        <f ca="1">IF(AND(ISNUMBER($CK$102),$B$69=1),$CK$102,HLOOKUP(INDIRECT(ADDRESS(2,COLUMN())),OFFSET($CL$2,0,0,ROW()-1,84),ROW()-1,FALSE))</f>
        <v>77836</v>
      </c>
      <c r="CL41" t="str">
        <f>""</f>
        <v/>
      </c>
      <c r="CM41" t="str">
        <f>""</f>
        <v/>
      </c>
      <c r="CN41" t="str">
        <f>""</f>
        <v/>
      </c>
      <c r="CO41" t="str">
        <f>""</f>
        <v/>
      </c>
      <c r="CP41" t="str">
        <f>""</f>
        <v/>
      </c>
      <c r="CQ41" t="str">
        <f>""</f>
        <v/>
      </c>
      <c r="CR41" t="str">
        <f>""</f>
        <v/>
      </c>
      <c r="CS41" t="str">
        <f>""</f>
        <v/>
      </c>
      <c r="CT41" t="str">
        <f>""</f>
        <v/>
      </c>
      <c r="CU41" t="str">
        <f>""</f>
        <v/>
      </c>
      <c r="CV41" t="str">
        <f>""</f>
        <v/>
      </c>
      <c r="CW41" t="str">
        <f>""</f>
        <v/>
      </c>
      <c r="CX41" t="str">
        <f>""</f>
        <v/>
      </c>
      <c r="CY41" t="str">
        <f>""</f>
        <v/>
      </c>
      <c r="CZ41" t="str">
        <f>""</f>
        <v/>
      </c>
      <c r="DA41" t="str">
        <f>""</f>
        <v/>
      </c>
      <c r="DB41" t="str">
        <f>""</f>
        <v/>
      </c>
      <c r="DC41" t="str">
        <f>""</f>
        <v/>
      </c>
      <c r="DD41" t="str">
        <f>""</f>
        <v/>
      </c>
      <c r="DE41" t="str">
        <f>""</f>
        <v/>
      </c>
      <c r="DF41" t="str">
        <f>""</f>
        <v/>
      </c>
      <c r="DG41" t="str">
        <f>""</f>
        <v/>
      </c>
      <c r="DH41" t="str">
        <f>""</f>
        <v/>
      </c>
      <c r="DI41" t="str">
        <f>""</f>
        <v/>
      </c>
      <c r="DJ41" t="str">
        <f>""</f>
        <v/>
      </c>
      <c r="DK41" t="str">
        <f>""</f>
        <v/>
      </c>
      <c r="DL41" t="str">
        <f>""</f>
        <v/>
      </c>
      <c r="DM41" t="str">
        <f>""</f>
        <v/>
      </c>
      <c r="DN41" t="str">
        <f>""</f>
        <v/>
      </c>
      <c r="DO41" t="str">
        <f>""</f>
        <v/>
      </c>
      <c r="DP41" t="str">
        <f>""</f>
        <v/>
      </c>
      <c r="DQ41" t="str">
        <f>""</f>
        <v/>
      </c>
      <c r="DR41" t="str">
        <f>""</f>
        <v/>
      </c>
      <c r="DS41" t="str">
        <f>""</f>
        <v/>
      </c>
      <c r="DT41" t="str">
        <f>""</f>
        <v/>
      </c>
      <c r="DU41" t="str">
        <f>""</f>
        <v/>
      </c>
      <c r="DV41" t="str">
        <f>""</f>
        <v/>
      </c>
      <c r="DW41" t="str">
        <f>""</f>
        <v/>
      </c>
      <c r="DX41" t="str">
        <f>""</f>
        <v/>
      </c>
      <c r="DY41" t="str">
        <f>""</f>
        <v/>
      </c>
      <c r="DZ41" t="str">
        <f>""</f>
        <v/>
      </c>
      <c r="EA41" t="str">
        <f>""</f>
        <v/>
      </c>
      <c r="EB41" t="str">
        <f>""</f>
        <v/>
      </c>
      <c r="EC41" t="str">
        <f>""</f>
        <v/>
      </c>
      <c r="ED41">
        <f>99902</f>
        <v>99902</v>
      </c>
      <c r="EE41">
        <f>105737</f>
        <v>105737</v>
      </c>
      <c r="EF41">
        <f>103867</f>
        <v>103867</v>
      </c>
      <c r="EG41">
        <f>101668</f>
        <v>101668</v>
      </c>
      <c r="EH41">
        <f>108919</f>
        <v>108919</v>
      </c>
      <c r="EI41">
        <f>98974</f>
        <v>98974</v>
      </c>
      <c r="EJ41">
        <f>106000</f>
        <v>106000</v>
      </c>
      <c r="EK41">
        <f>103574</f>
        <v>103574</v>
      </c>
      <c r="EL41">
        <f>98233</f>
        <v>98233</v>
      </c>
      <c r="EM41">
        <f>104914</f>
        <v>104914</v>
      </c>
      <c r="EN41">
        <f>98341</f>
        <v>98341</v>
      </c>
      <c r="EO41">
        <f>97796</f>
        <v>97796</v>
      </c>
      <c r="EP41">
        <f>88549</f>
        <v>88549</v>
      </c>
      <c r="EQ41">
        <f>96250</f>
        <v>96250</v>
      </c>
      <c r="ER41">
        <f>96634</f>
        <v>96634</v>
      </c>
      <c r="ES41">
        <f>96068</f>
        <v>96068</v>
      </c>
      <c r="ET41">
        <f>103009</f>
        <v>103009</v>
      </c>
      <c r="EU41">
        <f>93952</f>
        <v>93952</v>
      </c>
      <c r="EV41">
        <f>101241</f>
        <v>101241</v>
      </c>
      <c r="EW41">
        <f>99739</f>
        <v>99739</v>
      </c>
      <c r="EX41">
        <f>97157</f>
        <v>97157</v>
      </c>
      <c r="EY41">
        <f>99171</f>
        <v>99171</v>
      </c>
      <c r="EZ41">
        <f>92474</f>
        <v>92474</v>
      </c>
      <c r="FA41">
        <f>88938</f>
        <v>88938</v>
      </c>
      <c r="FB41">
        <f>83486</f>
        <v>83486</v>
      </c>
      <c r="FC41">
        <f>87760</f>
        <v>87760</v>
      </c>
      <c r="FD41">
        <f>92258</f>
        <v>92258</v>
      </c>
      <c r="FE41">
        <f>90990</f>
        <v>90990</v>
      </c>
      <c r="FF41">
        <f>93158</f>
        <v>93158</v>
      </c>
      <c r="FG41">
        <f>87926</f>
        <v>87926</v>
      </c>
      <c r="FH41">
        <f>91549</f>
        <v>91549</v>
      </c>
      <c r="FI41">
        <f>87969</f>
        <v>87969</v>
      </c>
      <c r="FJ41">
        <f>84634</f>
        <v>84634</v>
      </c>
      <c r="FK41">
        <f>88265</f>
        <v>88265</v>
      </c>
      <c r="FL41">
        <f>86169</f>
        <v>86169</v>
      </c>
      <c r="FM41">
        <f>84679</f>
        <v>84679</v>
      </c>
      <c r="FN41">
        <f>75303</f>
        <v>75303</v>
      </c>
      <c r="FO41">
        <f>78673</f>
        <v>78673</v>
      </c>
      <c r="FP41">
        <f>83271</f>
        <v>83271</v>
      </c>
      <c r="FQ41">
        <f>77836</f>
        <v>77836</v>
      </c>
    </row>
    <row r="42" spans="1:173" x14ac:dyDescent="0.25">
      <c r="A42" t="str">
        <f>"    Total Number of Ships"</f>
        <v xml:space="preserve">    Total Number of Ships</v>
      </c>
      <c r="B42" t="str">
        <f>"SCTSXK Index"</f>
        <v>SCTSXK Index</v>
      </c>
      <c r="C42" t="str">
        <f>"PX385"</f>
        <v>PX385</v>
      </c>
      <c r="D42" t="str">
        <f>"INTERVAL_SUM"</f>
        <v>INTERVAL_SUM</v>
      </c>
      <c r="E42" t="str">
        <f>"Dynamic"</f>
        <v>Dynamic</v>
      </c>
      <c r="F42" t="str">
        <f ca="1">IF(AND(ISNUMBER($F$103),$B$69=1),$F$103,HLOOKUP(INDIRECT(ADDRESS(2,COLUMN())),OFFSET($CL$2,0,0,ROW()-1,84),ROW()-1,FALSE))</f>
        <v/>
      </c>
      <c r="G42" t="str">
        <f ca="1">IF(AND(ISNUMBER($G$103),$B$69=1),$G$103,HLOOKUP(INDIRECT(ADDRESS(2,COLUMN())),OFFSET($CL$2,0,0,ROW()-1,84),ROW()-1,FALSE))</f>
        <v/>
      </c>
      <c r="H42" t="str">
        <f ca="1">IF(AND(ISNUMBER($H$103),$B$69=1),$H$103,HLOOKUP(INDIRECT(ADDRESS(2,COLUMN())),OFFSET($CL$2,0,0,ROW()-1,84),ROW()-1,FALSE))</f>
        <v/>
      </c>
      <c r="I42" t="str">
        <f ca="1">IF(AND(ISNUMBER($I$103),$B$69=1),$I$103,HLOOKUP(INDIRECT(ADDRESS(2,COLUMN())),OFFSET($CL$2,0,0,ROW()-1,84),ROW()-1,FALSE))</f>
        <v/>
      </c>
      <c r="J42" t="str">
        <f ca="1">IF(AND(ISNUMBER($J$103),$B$69=1),$J$103,HLOOKUP(INDIRECT(ADDRESS(2,COLUMN())),OFFSET($CL$2,0,0,ROW()-1,84),ROW()-1,FALSE))</f>
        <v/>
      </c>
      <c r="K42" t="str">
        <f ca="1">IF(AND(ISNUMBER($K$103),$B$69=1),$K$103,HLOOKUP(INDIRECT(ADDRESS(2,COLUMN())),OFFSET($CL$2,0,0,ROW()-1,84),ROW()-1,FALSE))</f>
        <v/>
      </c>
      <c r="L42" t="str">
        <f ca="1">IF(AND(ISNUMBER($L$103),$B$69=1),$L$103,HLOOKUP(INDIRECT(ADDRESS(2,COLUMN())),OFFSET($CL$2,0,0,ROW()-1,84),ROW()-1,FALSE))</f>
        <v/>
      </c>
      <c r="M42" t="str">
        <f ca="1">IF(AND(ISNUMBER($M$103),$B$69=1),$M$103,HLOOKUP(INDIRECT(ADDRESS(2,COLUMN())),OFFSET($CL$2,0,0,ROW()-1,84),ROW()-1,FALSE))</f>
        <v/>
      </c>
      <c r="N42" t="str">
        <f ca="1">IF(AND(ISNUMBER($N$103),$B$69=1),$N$103,HLOOKUP(INDIRECT(ADDRESS(2,COLUMN())),OFFSET($CL$2,0,0,ROW()-1,84),ROW()-1,FALSE))</f>
        <v/>
      </c>
      <c r="O42" t="str">
        <f ca="1">IF(AND(ISNUMBER($O$103),$B$69=1),$O$103,HLOOKUP(INDIRECT(ADDRESS(2,COLUMN())),OFFSET($CL$2,0,0,ROW()-1,84),ROW()-1,FALSE))</f>
        <v/>
      </c>
      <c r="P42" t="str">
        <f ca="1">IF(AND(ISNUMBER($P$103),$B$69=1),$P$103,HLOOKUP(INDIRECT(ADDRESS(2,COLUMN())),OFFSET($CL$2,0,0,ROW()-1,84),ROW()-1,FALSE))</f>
        <v/>
      </c>
      <c r="Q42" t="str">
        <f ca="1">IF(AND(ISNUMBER($Q$103),$B$69=1),$Q$103,HLOOKUP(INDIRECT(ADDRESS(2,COLUMN())),OFFSET($CL$2,0,0,ROW()-1,84),ROW()-1,FALSE))</f>
        <v/>
      </c>
      <c r="R42" t="str">
        <f ca="1">IF(AND(ISNUMBER($R$103),$B$69=1),$R$103,HLOOKUP(INDIRECT(ADDRESS(2,COLUMN())),OFFSET($CL$2,0,0,ROW()-1,84),ROW()-1,FALSE))</f>
        <v/>
      </c>
      <c r="S42" t="str">
        <f ca="1">IF(AND(ISNUMBER($S$103),$B$69=1),$S$103,HLOOKUP(INDIRECT(ADDRESS(2,COLUMN())),OFFSET($CL$2,0,0,ROW()-1,84),ROW()-1,FALSE))</f>
        <v/>
      </c>
      <c r="T42" t="str">
        <f ca="1">IF(AND(ISNUMBER($T$103),$B$69=1),$T$103,HLOOKUP(INDIRECT(ADDRESS(2,COLUMN())),OFFSET($CL$2,0,0,ROW()-1,84),ROW()-1,FALSE))</f>
        <v/>
      </c>
      <c r="U42" t="str">
        <f ca="1">IF(AND(ISNUMBER($U$103),$B$69=1),$U$103,HLOOKUP(INDIRECT(ADDRESS(2,COLUMN())),OFFSET($CL$2,0,0,ROW()-1,84),ROW()-1,FALSE))</f>
        <v/>
      </c>
      <c r="V42" t="str">
        <f ca="1">IF(AND(ISNUMBER($V$103),$B$69=1),$V$103,HLOOKUP(INDIRECT(ADDRESS(2,COLUMN())),OFFSET($CL$2,0,0,ROW()-1,84),ROW()-1,FALSE))</f>
        <v/>
      </c>
      <c r="W42" t="str">
        <f ca="1">IF(AND(ISNUMBER($W$103),$B$69=1),$W$103,HLOOKUP(INDIRECT(ADDRESS(2,COLUMN())),OFFSET($CL$2,0,0,ROW()-1,84),ROW()-1,FALSE))</f>
        <v/>
      </c>
      <c r="X42" t="str">
        <f ca="1">IF(AND(ISNUMBER($X$103),$B$69=1),$X$103,HLOOKUP(INDIRECT(ADDRESS(2,COLUMN())),OFFSET($CL$2,0,0,ROW()-1,84),ROW()-1,FALSE))</f>
        <v/>
      </c>
      <c r="Y42" t="str">
        <f ca="1">IF(AND(ISNUMBER($Y$103),$B$69=1),$Y$103,HLOOKUP(INDIRECT(ADDRESS(2,COLUMN())),OFFSET($CL$2,0,0,ROW()-1,84),ROW()-1,FALSE))</f>
        <v/>
      </c>
      <c r="Z42" t="str">
        <f ca="1">IF(AND(ISNUMBER($Z$103),$B$69=1),$Z$103,HLOOKUP(INDIRECT(ADDRESS(2,COLUMN())),OFFSET($CL$2,0,0,ROW()-1,84),ROW()-1,FALSE))</f>
        <v/>
      </c>
      <c r="AA42" t="str">
        <f ca="1">IF(AND(ISNUMBER($AA$103),$B$69=1),$AA$103,HLOOKUP(INDIRECT(ADDRESS(2,COLUMN())),OFFSET($CL$2,0,0,ROW()-1,84),ROW()-1,FALSE))</f>
        <v/>
      </c>
      <c r="AB42" t="str">
        <f ca="1">IF(AND(ISNUMBER($AB$103),$B$69=1),$AB$103,HLOOKUP(INDIRECT(ADDRESS(2,COLUMN())),OFFSET($CL$2,0,0,ROW()-1,84),ROW()-1,FALSE))</f>
        <v/>
      </c>
      <c r="AC42" t="str">
        <f ca="1">IF(AND(ISNUMBER($AC$103),$B$69=1),$AC$103,HLOOKUP(INDIRECT(ADDRESS(2,COLUMN())),OFFSET($CL$2,0,0,ROW()-1,84),ROW()-1,FALSE))</f>
        <v/>
      </c>
      <c r="AD42" t="str">
        <f ca="1">IF(AND(ISNUMBER($AD$103),$B$69=1),$AD$103,HLOOKUP(INDIRECT(ADDRESS(2,COLUMN())),OFFSET($CL$2,0,0,ROW()-1,84),ROW()-1,FALSE))</f>
        <v/>
      </c>
      <c r="AE42" t="str">
        <f ca="1">IF(AND(ISNUMBER($AE$103),$B$69=1),$AE$103,HLOOKUP(INDIRECT(ADDRESS(2,COLUMN())),OFFSET($CL$2,0,0,ROW()-1,84),ROW()-1,FALSE))</f>
        <v/>
      </c>
      <c r="AF42" t="str">
        <f ca="1">IF(AND(ISNUMBER($AF$103),$B$69=1),$AF$103,HLOOKUP(INDIRECT(ADDRESS(2,COLUMN())),OFFSET($CL$2,0,0,ROW()-1,84),ROW()-1,FALSE))</f>
        <v/>
      </c>
      <c r="AG42" t="str">
        <f ca="1">IF(AND(ISNUMBER($AG$103),$B$69=1),$AG$103,HLOOKUP(INDIRECT(ADDRESS(2,COLUMN())),OFFSET($CL$2,0,0,ROW()-1,84),ROW()-1,FALSE))</f>
        <v/>
      </c>
      <c r="AH42" t="str">
        <f ca="1">IF(AND(ISNUMBER($AH$103),$B$69=1),$AH$103,HLOOKUP(INDIRECT(ADDRESS(2,COLUMN())),OFFSET($CL$2,0,0,ROW()-1,84),ROW()-1,FALSE))</f>
        <v/>
      </c>
      <c r="AI42" t="str">
        <f ca="1">IF(AND(ISNUMBER($AI$103),$B$69=1),$AI$103,HLOOKUP(INDIRECT(ADDRESS(2,COLUMN())),OFFSET($CL$2,0,0,ROW()-1,84),ROW()-1,FALSE))</f>
        <v/>
      </c>
      <c r="AJ42" t="str">
        <f ca="1">IF(AND(ISNUMBER($AJ$103),$B$69=1),$AJ$103,HLOOKUP(INDIRECT(ADDRESS(2,COLUMN())),OFFSET($CL$2,0,0,ROW()-1,84),ROW()-1,FALSE))</f>
        <v/>
      </c>
      <c r="AK42" t="str">
        <f ca="1">IF(AND(ISNUMBER($AK$103),$B$69=1),$AK$103,HLOOKUP(INDIRECT(ADDRESS(2,COLUMN())),OFFSET($CL$2,0,0,ROW()-1,84),ROW()-1,FALSE))</f>
        <v/>
      </c>
      <c r="AL42" t="str">
        <f ca="1">IF(AND(ISNUMBER($AL$103),$B$69=1),$AL$103,HLOOKUP(INDIRECT(ADDRESS(2,COLUMN())),OFFSET($CL$2,0,0,ROW()-1,84),ROW()-1,FALSE))</f>
        <v/>
      </c>
      <c r="AM42" t="str">
        <f ca="1">IF(AND(ISNUMBER($AM$103),$B$69=1),$AM$103,HLOOKUP(INDIRECT(ADDRESS(2,COLUMN())),OFFSET($CL$2,0,0,ROW()-1,84),ROW()-1,FALSE))</f>
        <v/>
      </c>
      <c r="AN42" t="str">
        <f ca="1">IF(AND(ISNUMBER($AN$103),$B$69=1),$AN$103,HLOOKUP(INDIRECT(ADDRESS(2,COLUMN())),OFFSET($CL$2,0,0,ROW()-1,84),ROW()-1,FALSE))</f>
        <v/>
      </c>
      <c r="AO42" t="str">
        <f ca="1">IF(AND(ISNUMBER($AO$103),$B$69=1),$AO$103,HLOOKUP(INDIRECT(ADDRESS(2,COLUMN())),OFFSET($CL$2,0,0,ROW()-1,84),ROW()-1,FALSE))</f>
        <v/>
      </c>
      <c r="AP42" t="str">
        <f ca="1">IF(AND(ISNUMBER($AP$103),$B$69=1),$AP$103,HLOOKUP(INDIRECT(ADDRESS(2,COLUMN())),OFFSET($CL$2,0,0,ROW()-1,84),ROW()-1,FALSE))</f>
        <v/>
      </c>
      <c r="AQ42" t="str">
        <f ca="1">IF(AND(ISNUMBER($AQ$103),$B$69=1),$AQ$103,HLOOKUP(INDIRECT(ADDRESS(2,COLUMN())),OFFSET($CL$2,0,0,ROW()-1,84),ROW()-1,FALSE))</f>
        <v/>
      </c>
      <c r="AR42" t="str">
        <f ca="1">IF(AND(ISNUMBER($AR$103),$B$69=1),$AR$103,HLOOKUP(INDIRECT(ADDRESS(2,COLUMN())),OFFSET($CL$2,0,0,ROW()-1,84),ROW()-1,FALSE))</f>
        <v/>
      </c>
      <c r="AS42" t="str">
        <f ca="1">IF(AND(ISNUMBER($AS$103),$B$69=1),$AS$103,HLOOKUP(INDIRECT(ADDRESS(2,COLUMN())),OFFSET($CL$2,0,0,ROW()-1,84),ROW()-1,FALSE))</f>
        <v/>
      </c>
      <c r="AT42" t="str">
        <f ca="1">IF(AND(ISNUMBER($AT$103),$B$69=1),$AT$103,HLOOKUP(INDIRECT(ADDRESS(2,COLUMN())),OFFSET($CL$2,0,0,ROW()-1,84),ROW()-1,FALSE))</f>
        <v/>
      </c>
      <c r="AU42" t="str">
        <f ca="1">IF(AND(ISNUMBER($AU$103),$B$69=1),$AU$103,HLOOKUP(INDIRECT(ADDRESS(2,COLUMN())),OFFSET($CL$2,0,0,ROW()-1,84),ROW()-1,FALSE))</f>
        <v/>
      </c>
      <c r="AV42" t="str">
        <f ca="1">IF(AND(ISNUMBER($AV$103),$B$69=1),$AV$103,HLOOKUP(INDIRECT(ADDRESS(2,COLUMN())),OFFSET($CL$2,0,0,ROW()-1,84),ROW()-1,FALSE))</f>
        <v/>
      </c>
      <c r="AW42" t="str">
        <f ca="1">IF(AND(ISNUMBER($AW$103),$B$69=1),$AW$103,HLOOKUP(INDIRECT(ADDRESS(2,COLUMN())),OFFSET($CL$2,0,0,ROW()-1,84),ROW()-1,FALSE))</f>
        <v/>
      </c>
      <c r="AX42">
        <f ca="1">IF(AND(ISNUMBER($AX$103),$B$69=1),$AX$103,HLOOKUP(INDIRECT(ADDRESS(2,COLUMN())),OFFSET($CL$2,0,0,ROW()-1,84),ROW()-1,FALSE))</f>
        <v>1525</v>
      </c>
      <c r="AY42">
        <f ca="1">IF(AND(ISNUMBER($AY$103),$B$69=1),$AY$103,HLOOKUP(INDIRECT(ADDRESS(2,COLUMN())),OFFSET($CL$2,0,0,ROW()-1,84),ROW()-1,FALSE))</f>
        <v>1645</v>
      </c>
      <c r="AZ42">
        <f ca="1">IF(AND(ISNUMBER($AZ$103),$B$69=1),$AZ$103,HLOOKUP(INDIRECT(ADDRESS(2,COLUMN())),OFFSET($CL$2,0,0,ROW()-1,84),ROW()-1,FALSE))</f>
        <v>1651</v>
      </c>
      <c r="BA42">
        <f ca="1">IF(AND(ISNUMBER($BA$103),$B$69=1),$BA$103,HLOOKUP(INDIRECT(ADDRESS(2,COLUMN())),OFFSET($CL$2,0,0,ROW()-1,84),ROW()-1,FALSE))</f>
        <v>1594</v>
      </c>
      <c r="BB42">
        <f ca="1">IF(AND(ISNUMBER($BB$103),$B$69=1),$BB$103,HLOOKUP(INDIRECT(ADDRESS(2,COLUMN())),OFFSET($CL$2,0,0,ROW()-1,84),ROW()-1,FALSE))</f>
        <v>1781</v>
      </c>
      <c r="BC42">
        <f ca="1">IF(AND(ISNUMBER($BC$103),$B$69=1),$BC$103,HLOOKUP(INDIRECT(ADDRESS(2,COLUMN())),OFFSET($CL$2,0,0,ROW()-1,84),ROW()-1,FALSE))</f>
        <v>1522</v>
      </c>
      <c r="BD42">
        <f ca="1">IF(AND(ISNUMBER($BD$103),$B$69=1),$BD$103,HLOOKUP(INDIRECT(ADDRESS(2,COLUMN())),OFFSET($CL$2,0,0,ROW()-1,84),ROW()-1,FALSE))</f>
        <v>1679</v>
      </c>
      <c r="BE42">
        <f ca="1">IF(AND(ISNUMBER($BE$103),$B$69=1),$BE$103,HLOOKUP(INDIRECT(ADDRESS(2,COLUMN())),OFFSET($CL$2,0,0,ROW()-1,84),ROW()-1,FALSE))</f>
        <v>1539</v>
      </c>
      <c r="BF42">
        <f ca="1">IF(AND(ISNUMBER($BF$103),$B$69=1),$BF$103,HLOOKUP(INDIRECT(ADDRESS(2,COLUMN())),OFFSET($CL$2,0,0,ROW()-1,84),ROW()-1,FALSE))</f>
        <v>1476</v>
      </c>
      <c r="BG42">
        <f ca="1">IF(AND(ISNUMBER($BG$103),$B$69=1),$BG$103,HLOOKUP(INDIRECT(ADDRESS(2,COLUMN())),OFFSET($CL$2,0,0,ROW()-1,84),ROW()-1,FALSE))</f>
        <v>1600</v>
      </c>
      <c r="BH42">
        <f ca="1">IF(AND(ISNUMBER($BH$103),$B$69=1),$BH$103,HLOOKUP(INDIRECT(ADDRESS(2,COLUMN())),OFFSET($CL$2,0,0,ROW()-1,84),ROW()-1,FALSE))</f>
        <v>1580</v>
      </c>
      <c r="BI42">
        <f ca="1">IF(AND(ISNUMBER($BI$103),$B$69=1),$BI$103,HLOOKUP(INDIRECT(ADDRESS(2,COLUMN())),OFFSET($CL$2,0,0,ROW()-1,84),ROW()-1,FALSE))</f>
        <v>1589</v>
      </c>
      <c r="BJ42">
        <f ca="1">IF(AND(ISNUMBER($BJ$103),$B$69=1),$BJ$103,HLOOKUP(INDIRECT(ADDRESS(2,COLUMN())),OFFSET($CL$2,0,0,ROW()-1,84),ROW()-1,FALSE))</f>
        <v>1353</v>
      </c>
      <c r="BK42">
        <f ca="1">IF(AND(ISNUMBER($BK$103),$B$69=1),$BK$103,HLOOKUP(INDIRECT(ADDRESS(2,COLUMN())),OFFSET($CL$2,0,0,ROW()-1,84),ROW()-1,FALSE))</f>
        <v>1516</v>
      </c>
      <c r="BL42">
        <f ca="1">IF(AND(ISNUMBER($BL$103),$B$69=1),$BL$103,HLOOKUP(INDIRECT(ADDRESS(2,COLUMN())),OFFSET($CL$2,0,0,ROW()-1,84),ROW()-1,FALSE))</f>
        <v>1537</v>
      </c>
      <c r="BM42">
        <f ca="1">IF(AND(ISNUMBER($BM$103),$B$69=1),$BM$103,HLOOKUP(INDIRECT(ADDRESS(2,COLUMN())),OFFSET($CL$2,0,0,ROW()-1,84),ROW()-1,FALSE))</f>
        <v>1528</v>
      </c>
      <c r="BN42">
        <f ca="1">IF(AND(ISNUMBER($BN$103),$B$69=1),$BN$103,HLOOKUP(INDIRECT(ADDRESS(2,COLUMN())),OFFSET($CL$2,0,0,ROW()-1,84),ROW()-1,FALSE))</f>
        <v>1657</v>
      </c>
      <c r="BO42">
        <f ca="1">IF(AND(ISNUMBER($BO$103),$B$69=1),$BO$103,HLOOKUP(INDIRECT(ADDRESS(2,COLUMN())),OFFSET($CL$2,0,0,ROW()-1,84),ROW()-1,FALSE))</f>
        <v>1501</v>
      </c>
      <c r="BP42">
        <f ca="1">IF(AND(ISNUMBER($BP$103),$B$69=1),$BP$103,HLOOKUP(INDIRECT(ADDRESS(2,COLUMN())),OFFSET($CL$2,0,0,ROW()-1,84),ROW()-1,FALSE))</f>
        <v>1605</v>
      </c>
      <c r="BQ42">
        <f ca="1">IF(AND(ISNUMBER($BQ$103),$B$69=1),$BQ$103,HLOOKUP(INDIRECT(ADDRESS(2,COLUMN())),OFFSET($CL$2,0,0,ROW()-1,84),ROW()-1,FALSE))</f>
        <v>1540</v>
      </c>
      <c r="BR42">
        <f ca="1">IF(AND(ISNUMBER($BR$103),$B$69=1),$BR$103,HLOOKUP(INDIRECT(ADDRESS(2,COLUMN())),OFFSET($CL$2,0,0,ROW()-1,84),ROW()-1,FALSE))</f>
        <v>1544</v>
      </c>
      <c r="BS42">
        <f ca="1">IF(AND(ISNUMBER($BS$103),$B$69=1),$BS$103,HLOOKUP(INDIRECT(ADDRESS(2,COLUMN())),OFFSET($CL$2,0,0,ROW()-1,84),ROW()-1,FALSE))</f>
        <v>1605</v>
      </c>
      <c r="BT42">
        <f ca="1">IF(AND(ISNUMBER($BT$103),$B$69=1),$BT$103,HLOOKUP(INDIRECT(ADDRESS(2,COLUMN())),OFFSET($CL$2,0,0,ROW()-1,84),ROW()-1,FALSE))</f>
        <v>1483</v>
      </c>
      <c r="BU42">
        <f ca="1">IF(AND(ISNUMBER($BU$103),$B$69=1),$BU$103,HLOOKUP(INDIRECT(ADDRESS(2,COLUMN())),OFFSET($CL$2,0,0,ROW()-1,84),ROW()-1,FALSE))</f>
        <v>1450</v>
      </c>
      <c r="BV42">
        <f ca="1">IF(AND(ISNUMBER($BV$103),$B$69=1),$BV$103,HLOOKUP(INDIRECT(ADDRESS(2,COLUMN())),OFFSET($CL$2,0,0,ROW()-1,84),ROW()-1,FALSE))</f>
        <v>1319</v>
      </c>
      <c r="BW42">
        <f ca="1">IF(AND(ISNUMBER($BW$103),$B$69=1),$BW$103,HLOOKUP(INDIRECT(ADDRESS(2,COLUMN())),OFFSET($CL$2,0,0,ROW()-1,84),ROW()-1,FALSE))</f>
        <v>1405</v>
      </c>
      <c r="BX42">
        <f ca="1">IF(AND(ISNUMBER($BX$103),$B$69=1),$BX$103,HLOOKUP(INDIRECT(ADDRESS(2,COLUMN())),OFFSET($CL$2,0,0,ROW()-1,84),ROW()-1,FALSE))</f>
        <v>1530</v>
      </c>
      <c r="BY42">
        <f ca="1">IF(AND(ISNUMBER($BY$103),$B$69=1),$BY$103,HLOOKUP(INDIRECT(ADDRESS(2,COLUMN())),OFFSET($CL$2,0,0,ROW()-1,84),ROW()-1,FALSE))</f>
        <v>1534</v>
      </c>
      <c r="BZ42">
        <f ca="1">IF(AND(ISNUMBER($BZ$103),$B$69=1),$BZ$103,HLOOKUP(INDIRECT(ADDRESS(2,COLUMN())),OFFSET($CL$2,0,0,ROW()-1,84),ROW()-1,FALSE))</f>
        <v>1552</v>
      </c>
      <c r="CA42">
        <f ca="1">IF(AND(ISNUMBER($CA$103),$B$69=1),$CA$103,HLOOKUP(INDIRECT(ADDRESS(2,COLUMN())),OFFSET($CL$2,0,0,ROW()-1,84),ROW()-1,FALSE))</f>
        <v>1457</v>
      </c>
      <c r="CB42">
        <f ca="1">IF(AND(ISNUMBER($CB$103),$B$69=1),$CB$103,HLOOKUP(INDIRECT(ADDRESS(2,COLUMN())),OFFSET($CL$2,0,0,ROW()-1,84),ROW()-1,FALSE))</f>
        <v>1528</v>
      </c>
      <c r="CC42">
        <f ca="1">IF(AND(ISNUMBER($CC$103),$B$69=1),$CC$103,HLOOKUP(INDIRECT(ADDRESS(2,COLUMN())),OFFSET($CL$2,0,0,ROW()-1,84),ROW()-1,FALSE))</f>
        <v>1453</v>
      </c>
      <c r="CD42">
        <f ca="1">IF(AND(ISNUMBER($CD$103),$B$69=1),$CD$103,HLOOKUP(INDIRECT(ADDRESS(2,COLUMN())),OFFSET($CL$2,0,0,ROW()-1,84),ROW()-1,FALSE))</f>
        <v>1384</v>
      </c>
      <c r="CE42">
        <f ca="1">IF(AND(ISNUMBER($CE$103),$B$69=1),$CE$103,HLOOKUP(INDIRECT(ADDRESS(2,COLUMN())),OFFSET($CL$2,0,0,ROW()-1,84),ROW()-1,FALSE))</f>
        <v>1484</v>
      </c>
      <c r="CF42">
        <f ca="1">IF(AND(ISNUMBER($CF$103),$B$69=1),$CF$103,HLOOKUP(INDIRECT(ADDRESS(2,COLUMN())),OFFSET($CL$2,0,0,ROW()-1,84),ROW()-1,FALSE))</f>
        <v>1449</v>
      </c>
      <c r="CG42">
        <f ca="1">IF(AND(ISNUMBER($CG$103),$B$69=1),$CG$103,HLOOKUP(INDIRECT(ADDRESS(2,COLUMN())),OFFSET($CL$2,0,0,ROW()-1,84),ROW()-1,FALSE))</f>
        <v>1524</v>
      </c>
      <c r="CH42">
        <f ca="1">IF(AND(ISNUMBER($CH$103),$B$69=1),$CH$103,HLOOKUP(INDIRECT(ADDRESS(2,COLUMN())),OFFSET($CL$2,0,0,ROW()-1,84),ROW()-1,FALSE))</f>
        <v>1286</v>
      </c>
      <c r="CI42">
        <f ca="1">IF(AND(ISNUMBER($CI$103),$B$69=1),$CI$103,HLOOKUP(INDIRECT(ADDRESS(2,COLUMN())),OFFSET($CL$2,0,0,ROW()-1,84),ROW()-1,FALSE))</f>
        <v>1369</v>
      </c>
      <c r="CJ42">
        <f ca="1">IF(AND(ISNUMBER($CJ$103),$B$69=1),$CJ$103,HLOOKUP(INDIRECT(ADDRESS(2,COLUMN())),OFFSET($CL$2,0,0,ROW()-1,84),ROW()-1,FALSE))</f>
        <v>1414</v>
      </c>
      <c r="CK42">
        <f ca="1">IF(AND(ISNUMBER($CK$103),$B$69=1),$CK$103,HLOOKUP(INDIRECT(ADDRESS(2,COLUMN())),OFFSET($CL$2,0,0,ROW()-1,84),ROW()-1,FALSE))</f>
        <v>1366</v>
      </c>
      <c r="CL42" t="str">
        <f>""</f>
        <v/>
      </c>
      <c r="CM42" t="str">
        <f>""</f>
        <v/>
      </c>
      <c r="CN42" t="str">
        <f>""</f>
        <v/>
      </c>
      <c r="CO42" t="str">
        <f>""</f>
        <v/>
      </c>
      <c r="CP42" t="str">
        <f>""</f>
        <v/>
      </c>
      <c r="CQ42" t="str">
        <f>""</f>
        <v/>
      </c>
      <c r="CR42" t="str">
        <f>""</f>
        <v/>
      </c>
      <c r="CS42" t="str">
        <f>""</f>
        <v/>
      </c>
      <c r="CT42" t="str">
        <f>""</f>
        <v/>
      </c>
      <c r="CU42" t="str">
        <f>""</f>
        <v/>
      </c>
      <c r="CV42" t="str">
        <f>""</f>
        <v/>
      </c>
      <c r="CW42" t="str">
        <f>""</f>
        <v/>
      </c>
      <c r="CX42" t="str">
        <f>""</f>
        <v/>
      </c>
      <c r="CY42" t="str">
        <f>""</f>
        <v/>
      </c>
      <c r="CZ42" t="str">
        <f>""</f>
        <v/>
      </c>
      <c r="DA42" t="str">
        <f>""</f>
        <v/>
      </c>
      <c r="DB42" t="str">
        <f>""</f>
        <v/>
      </c>
      <c r="DC42" t="str">
        <f>""</f>
        <v/>
      </c>
      <c r="DD42" t="str">
        <f>""</f>
        <v/>
      </c>
      <c r="DE42" t="str">
        <f>""</f>
        <v/>
      </c>
      <c r="DF42" t="str">
        <f>""</f>
        <v/>
      </c>
      <c r="DG42" t="str">
        <f>""</f>
        <v/>
      </c>
      <c r="DH42" t="str">
        <f>""</f>
        <v/>
      </c>
      <c r="DI42" t="str">
        <f>""</f>
        <v/>
      </c>
      <c r="DJ42" t="str">
        <f>""</f>
        <v/>
      </c>
      <c r="DK42" t="str">
        <f>""</f>
        <v/>
      </c>
      <c r="DL42" t="str">
        <f>""</f>
        <v/>
      </c>
      <c r="DM42" t="str">
        <f>""</f>
        <v/>
      </c>
      <c r="DN42" t="str">
        <f>""</f>
        <v/>
      </c>
      <c r="DO42" t="str">
        <f>""</f>
        <v/>
      </c>
      <c r="DP42" t="str">
        <f>""</f>
        <v/>
      </c>
      <c r="DQ42" t="str">
        <f>""</f>
        <v/>
      </c>
      <c r="DR42" t="str">
        <f>""</f>
        <v/>
      </c>
      <c r="DS42" t="str">
        <f>""</f>
        <v/>
      </c>
      <c r="DT42" t="str">
        <f>""</f>
        <v/>
      </c>
      <c r="DU42" t="str">
        <f>""</f>
        <v/>
      </c>
      <c r="DV42" t="str">
        <f>""</f>
        <v/>
      </c>
      <c r="DW42" t="str">
        <f>""</f>
        <v/>
      </c>
      <c r="DX42" t="str">
        <f>""</f>
        <v/>
      </c>
      <c r="DY42" t="str">
        <f>""</f>
        <v/>
      </c>
      <c r="DZ42" t="str">
        <f>""</f>
        <v/>
      </c>
      <c r="EA42" t="str">
        <f>""</f>
        <v/>
      </c>
      <c r="EB42" t="str">
        <f>""</f>
        <v/>
      </c>
      <c r="EC42" t="str">
        <f>""</f>
        <v/>
      </c>
      <c r="ED42">
        <f>1525</f>
        <v>1525</v>
      </c>
      <c r="EE42">
        <f>1645</f>
        <v>1645</v>
      </c>
      <c r="EF42">
        <f>1651</f>
        <v>1651</v>
      </c>
      <c r="EG42">
        <f>1594</f>
        <v>1594</v>
      </c>
      <c r="EH42">
        <f>1781</f>
        <v>1781</v>
      </c>
      <c r="EI42">
        <f>1522</f>
        <v>1522</v>
      </c>
      <c r="EJ42">
        <f>1679</f>
        <v>1679</v>
      </c>
      <c r="EK42">
        <f>1539</f>
        <v>1539</v>
      </c>
      <c r="EL42">
        <f>1476</f>
        <v>1476</v>
      </c>
      <c r="EM42">
        <f>1600</f>
        <v>1600</v>
      </c>
      <c r="EN42">
        <f>1580</f>
        <v>1580</v>
      </c>
      <c r="EO42">
        <f>1589</f>
        <v>1589</v>
      </c>
      <c r="EP42">
        <f>1353</f>
        <v>1353</v>
      </c>
      <c r="EQ42">
        <f>1516</f>
        <v>1516</v>
      </c>
      <c r="ER42">
        <f>1537</f>
        <v>1537</v>
      </c>
      <c r="ES42">
        <f>1528</f>
        <v>1528</v>
      </c>
      <c r="ET42">
        <f>1657</f>
        <v>1657</v>
      </c>
      <c r="EU42">
        <f>1501</f>
        <v>1501</v>
      </c>
      <c r="EV42">
        <f>1605</f>
        <v>1605</v>
      </c>
      <c r="EW42">
        <f>1540</f>
        <v>1540</v>
      </c>
      <c r="EX42">
        <f>1544</f>
        <v>1544</v>
      </c>
      <c r="EY42">
        <f>1605</f>
        <v>1605</v>
      </c>
      <c r="EZ42">
        <f>1483</f>
        <v>1483</v>
      </c>
      <c r="FA42">
        <f>1450</f>
        <v>1450</v>
      </c>
      <c r="FB42">
        <f>1319</f>
        <v>1319</v>
      </c>
      <c r="FC42">
        <f>1405</f>
        <v>1405</v>
      </c>
      <c r="FD42">
        <f>1530</f>
        <v>1530</v>
      </c>
      <c r="FE42">
        <f>1534</f>
        <v>1534</v>
      </c>
      <c r="FF42">
        <f>1552</f>
        <v>1552</v>
      </c>
      <c r="FG42">
        <f>1457</f>
        <v>1457</v>
      </c>
      <c r="FH42">
        <f>1528</f>
        <v>1528</v>
      </c>
      <c r="FI42">
        <f>1453</f>
        <v>1453</v>
      </c>
      <c r="FJ42">
        <f>1384</f>
        <v>1384</v>
      </c>
      <c r="FK42">
        <f>1484</f>
        <v>1484</v>
      </c>
      <c r="FL42">
        <f>1449</f>
        <v>1449</v>
      </c>
      <c r="FM42">
        <f>1524</f>
        <v>1524</v>
      </c>
      <c r="FN42">
        <f>1286</f>
        <v>1286</v>
      </c>
      <c r="FO42">
        <f>1369</f>
        <v>1369</v>
      </c>
      <c r="FP42">
        <f>1414</f>
        <v>1414</v>
      </c>
      <c r="FQ42">
        <f>1366</f>
        <v>1366</v>
      </c>
    </row>
    <row r="43" spans="1:173" x14ac:dyDescent="0.25">
      <c r="A43" t="str">
        <f>"Panama Canal Traffic"</f>
        <v>Panama Canal Traffic</v>
      </c>
      <c r="B43" t="str">
        <f>""</f>
        <v/>
      </c>
      <c r="E43" t="str">
        <f>"Heading"</f>
        <v>Heading</v>
      </c>
      <c r="CL43" t="str">
        <f>""</f>
        <v/>
      </c>
      <c r="CM43" t="str">
        <f>""</f>
        <v/>
      </c>
      <c r="CN43" t="str">
        <f>""</f>
        <v/>
      </c>
      <c r="CO43" t="str">
        <f>""</f>
        <v/>
      </c>
      <c r="CP43" t="str">
        <f>""</f>
        <v/>
      </c>
      <c r="CQ43" t="str">
        <f>""</f>
        <v/>
      </c>
      <c r="CR43" t="str">
        <f>""</f>
        <v/>
      </c>
      <c r="CS43" t="str">
        <f>""</f>
        <v/>
      </c>
      <c r="CT43" t="str">
        <f>""</f>
        <v/>
      </c>
      <c r="CU43" t="str">
        <f>""</f>
        <v/>
      </c>
      <c r="CV43" t="str">
        <f>""</f>
        <v/>
      </c>
      <c r="CW43" t="str">
        <f>""</f>
        <v/>
      </c>
      <c r="CX43" t="str">
        <f>""</f>
        <v/>
      </c>
      <c r="CY43" t="str">
        <f>""</f>
        <v/>
      </c>
      <c r="CZ43" t="str">
        <f>""</f>
        <v/>
      </c>
      <c r="DA43" t="str">
        <f>""</f>
        <v/>
      </c>
      <c r="DB43" t="str">
        <f>""</f>
        <v/>
      </c>
      <c r="DC43" t="str">
        <f>""</f>
        <v/>
      </c>
      <c r="DD43" t="str">
        <f>""</f>
        <v/>
      </c>
      <c r="DE43" t="str">
        <f>""</f>
        <v/>
      </c>
      <c r="DF43" t="str">
        <f>""</f>
        <v/>
      </c>
      <c r="DG43" t="str">
        <f>""</f>
        <v/>
      </c>
      <c r="DH43" t="str">
        <f>""</f>
        <v/>
      </c>
      <c r="DI43" t="str">
        <f>""</f>
        <v/>
      </c>
      <c r="DJ43" t="str">
        <f>""</f>
        <v/>
      </c>
      <c r="DK43" t="str">
        <f>""</f>
        <v/>
      </c>
      <c r="DL43" t="str">
        <f>""</f>
        <v/>
      </c>
      <c r="DM43" t="str">
        <f>""</f>
        <v/>
      </c>
      <c r="DN43" t="str">
        <f>""</f>
        <v/>
      </c>
      <c r="DO43" t="str">
        <f>""</f>
        <v/>
      </c>
      <c r="DP43" t="str">
        <f>""</f>
        <v/>
      </c>
      <c r="DQ43" t="str">
        <f>""</f>
        <v/>
      </c>
      <c r="DR43" t="str">
        <f>""</f>
        <v/>
      </c>
      <c r="DS43" t="str">
        <f>""</f>
        <v/>
      </c>
      <c r="DT43" t="str">
        <f>""</f>
        <v/>
      </c>
      <c r="DU43" t="str">
        <f>""</f>
        <v/>
      </c>
      <c r="DV43" t="str">
        <f>""</f>
        <v/>
      </c>
      <c r="DW43" t="str">
        <f>""</f>
        <v/>
      </c>
      <c r="DX43" t="str">
        <f>""</f>
        <v/>
      </c>
      <c r="DY43" t="str">
        <f>""</f>
        <v/>
      </c>
      <c r="DZ43" t="str">
        <f>""</f>
        <v/>
      </c>
      <c r="EA43" t="str">
        <f>""</f>
        <v/>
      </c>
      <c r="EB43" t="str">
        <f>""</f>
        <v/>
      </c>
      <c r="EC43" t="str">
        <f>""</f>
        <v/>
      </c>
      <c r="ED43" t="str">
        <f>""</f>
        <v/>
      </c>
      <c r="EE43" t="str">
        <f>""</f>
        <v/>
      </c>
      <c r="EF43" t="str">
        <f>""</f>
        <v/>
      </c>
      <c r="EG43" t="str">
        <f>""</f>
        <v/>
      </c>
      <c r="EH43" t="str">
        <f>""</f>
        <v/>
      </c>
      <c r="EI43" t="str">
        <f>""</f>
        <v/>
      </c>
      <c r="EJ43" t="str">
        <f>""</f>
        <v/>
      </c>
      <c r="EK43" t="str">
        <f>""</f>
        <v/>
      </c>
      <c r="EL43" t="str">
        <f>""</f>
        <v/>
      </c>
      <c r="EM43" t="str">
        <f>""</f>
        <v/>
      </c>
      <c r="EN43" t="str">
        <f>""</f>
        <v/>
      </c>
      <c r="EO43" t="str">
        <f>""</f>
        <v/>
      </c>
      <c r="EP43" t="str">
        <f>""</f>
        <v/>
      </c>
      <c r="EQ43" t="str">
        <f>""</f>
        <v/>
      </c>
      <c r="ER43" t="str">
        <f>""</f>
        <v/>
      </c>
      <c r="ES43" t="str">
        <f>""</f>
        <v/>
      </c>
      <c r="ET43" t="str">
        <f>""</f>
        <v/>
      </c>
      <c r="EU43" t="str">
        <f>""</f>
        <v/>
      </c>
      <c r="EV43" t="str">
        <f>""</f>
        <v/>
      </c>
      <c r="EW43" t="str">
        <f>""</f>
        <v/>
      </c>
      <c r="EX43" t="str">
        <f>""</f>
        <v/>
      </c>
      <c r="EY43" t="str">
        <f>""</f>
        <v/>
      </c>
      <c r="EZ43" t="str">
        <f>""</f>
        <v/>
      </c>
      <c r="FA43" t="str">
        <f>""</f>
        <v/>
      </c>
      <c r="FB43" t="str">
        <f>""</f>
        <v/>
      </c>
      <c r="FC43" t="str">
        <f>""</f>
        <v/>
      </c>
      <c r="FD43" t="str">
        <f>""</f>
        <v/>
      </c>
      <c r="FE43" t="str">
        <f>""</f>
        <v/>
      </c>
      <c r="FF43" t="str">
        <f>""</f>
        <v/>
      </c>
      <c r="FG43" t="str">
        <f>""</f>
        <v/>
      </c>
      <c r="FH43" t="str">
        <f>""</f>
        <v/>
      </c>
      <c r="FI43" t="str">
        <f>""</f>
        <v/>
      </c>
      <c r="FJ43" t="str">
        <f>""</f>
        <v/>
      </c>
      <c r="FK43" t="str">
        <f>""</f>
        <v/>
      </c>
      <c r="FL43" t="str">
        <f>""</f>
        <v/>
      </c>
      <c r="FM43" t="str">
        <f>""</f>
        <v/>
      </c>
      <c r="FN43" t="str">
        <f>""</f>
        <v/>
      </c>
      <c r="FO43" t="str">
        <f>""</f>
        <v/>
      </c>
      <c r="FP43" t="str">
        <f>""</f>
        <v/>
      </c>
      <c r="FQ43" t="str">
        <f>""</f>
        <v/>
      </c>
    </row>
    <row r="44" spans="1:173" x14ac:dyDescent="0.25">
      <c r="A44" t="str">
        <f>"    Total Vessels Crossing"</f>
        <v xml:space="preserve">    Total Vessels Crossing</v>
      </c>
      <c r="B44" t="str">
        <f>"PNTRTNV Index"</f>
        <v>PNTRTNV Index</v>
      </c>
      <c r="C44" t="str">
        <f t="shared" ref="C44:C53" si="3">"PX385"</f>
        <v>PX385</v>
      </c>
      <c r="D44" t="str">
        <f t="shared" ref="D44:D53" si="4">"INTERVAL_SUM"</f>
        <v>INTERVAL_SUM</v>
      </c>
      <c r="E44" t="str">
        <f t="shared" ref="E44:E53" si="5">"Dynamic"</f>
        <v>Dynamic</v>
      </c>
      <c r="F44">
        <f ca="1">IF(AND(ISNUMBER($F$104),$B$69=1),$F$104,HLOOKUP(INDIRECT(ADDRESS(2,COLUMN())),OFFSET($CL$2,0,0,ROW()-1,84),ROW()-1,FALSE))</f>
        <v>1003</v>
      </c>
      <c r="G44">
        <f ca="1">IF(AND(ISNUMBER($G$104),$B$69=1),$G$104,HLOOKUP(INDIRECT(ADDRESS(2,COLUMN())),OFFSET($CL$2,0,0,ROW()-1,84),ROW()-1,FALSE))</f>
        <v>977</v>
      </c>
      <c r="H44">
        <f ca="1">IF(AND(ISNUMBER($H$104),$B$69=1),$H$104,HLOOKUP(INDIRECT(ADDRESS(2,COLUMN())),OFFSET($CL$2,0,0,ROW()-1,84),ROW()-1,FALSE))</f>
        <v>1012</v>
      </c>
      <c r="I44">
        <f ca="1">IF(AND(ISNUMBER($I$104),$B$69=1),$I$104,HLOOKUP(INDIRECT(ADDRESS(2,COLUMN())),OFFSET($CL$2,0,0,ROW()-1,84),ROW()-1,FALSE))</f>
        <v>1036</v>
      </c>
      <c r="J44">
        <f ca="1">IF(AND(ISNUMBER($J$104),$B$69=1),$J$104,HLOOKUP(INDIRECT(ADDRESS(2,COLUMN())),OFFSET($CL$2,0,0,ROW()-1,84),ROW()-1,FALSE))</f>
        <v>964</v>
      </c>
      <c r="K44">
        <f ca="1">IF(AND(ISNUMBER($K$104),$B$69=1),$K$104,HLOOKUP(INDIRECT(ADDRESS(2,COLUMN())),OFFSET($CL$2,0,0,ROW()-1,84),ROW()-1,FALSE))</f>
        <v>1010</v>
      </c>
      <c r="L44">
        <f ca="1">IF(AND(ISNUMBER($L$104),$B$69=1),$L$104,HLOOKUP(INDIRECT(ADDRESS(2,COLUMN())),OFFSET($CL$2,0,0,ROW()-1,84),ROW()-1,FALSE))</f>
        <v>1078</v>
      </c>
      <c r="M44">
        <f ca="1">IF(AND(ISNUMBER($M$104),$B$69=1),$M$104,HLOOKUP(INDIRECT(ADDRESS(2,COLUMN())),OFFSET($CL$2,0,0,ROW()-1,84),ROW()-1,FALSE))</f>
        <v>1113</v>
      </c>
      <c r="N44">
        <f ca="1">IF(AND(ISNUMBER($N$104),$B$69=1),$N$104,HLOOKUP(INDIRECT(ADDRESS(2,COLUMN())),OFFSET($CL$2,0,0,ROW()-1,84),ROW()-1,FALSE))</f>
        <v>995</v>
      </c>
      <c r="O44">
        <f ca="1">IF(AND(ISNUMBER($O$104),$B$69=1),$O$104,HLOOKUP(INDIRECT(ADDRESS(2,COLUMN())),OFFSET($CL$2,0,0,ROW()-1,84),ROW()-1,FALSE))</f>
        <v>1128</v>
      </c>
      <c r="P44">
        <f ca="1">IF(AND(ISNUMBER($P$104),$B$69=1),$P$104,HLOOKUP(INDIRECT(ADDRESS(2,COLUMN())),OFFSET($CL$2,0,0,ROW()-1,84),ROW()-1,FALSE))</f>
        <v>1148</v>
      </c>
      <c r="Q44">
        <f ca="1">IF(AND(ISNUMBER($Q$104),$B$69=1),$Q$104,HLOOKUP(INDIRECT(ADDRESS(2,COLUMN())),OFFSET($CL$2,0,0,ROW()-1,84),ROW()-1,FALSE))</f>
        <v>1091</v>
      </c>
      <c r="R44">
        <f ca="1">IF(AND(ISNUMBER($R$104),$B$69=1),$R$104,HLOOKUP(INDIRECT(ADDRESS(2,COLUMN())),OFFSET($CL$2,0,0,ROW()-1,84),ROW()-1,FALSE))</f>
        <v>1086</v>
      </c>
      <c r="S44">
        <f ca="1">IF(AND(ISNUMBER($S$104),$B$69=1),$S$104,HLOOKUP(INDIRECT(ADDRESS(2,COLUMN())),OFFSET($CL$2,0,0,ROW()-1,84),ROW()-1,FALSE))</f>
        <v>999</v>
      </c>
      <c r="T44">
        <f ca="1">IF(AND(ISNUMBER($T$104),$B$69=1),$T$104,HLOOKUP(INDIRECT(ADDRESS(2,COLUMN())),OFFSET($CL$2,0,0,ROW()-1,84),ROW()-1,FALSE))</f>
        <v>1115</v>
      </c>
      <c r="U44">
        <f ca="1">IF(AND(ISNUMBER($U$104),$B$69=1),$U$104,HLOOKUP(INDIRECT(ADDRESS(2,COLUMN())),OFFSET($CL$2,0,0,ROW()-1,84),ROW()-1,FALSE))</f>
        <v>1049</v>
      </c>
      <c r="V44">
        <f ca="1">IF(AND(ISNUMBER($V$104),$B$69=1),$V$104,HLOOKUP(INDIRECT(ADDRESS(2,COLUMN())),OFFSET($CL$2,0,0,ROW()-1,84),ROW()-1,FALSE))</f>
        <v>1090</v>
      </c>
      <c r="W44">
        <f ca="1">IF(AND(ISNUMBER($W$104),$B$69=1),$W$104,HLOOKUP(INDIRECT(ADDRESS(2,COLUMN())),OFFSET($CL$2,0,0,ROW()-1,84),ROW()-1,FALSE))</f>
        <v>1096</v>
      </c>
      <c r="X44">
        <f ca="1">IF(AND(ISNUMBER($X$104),$B$69=1),$X$104,HLOOKUP(INDIRECT(ADDRESS(2,COLUMN())),OFFSET($CL$2,0,0,ROW()-1,84),ROW()-1,FALSE))</f>
        <v>1034</v>
      </c>
      <c r="Y44">
        <f ca="1">IF(AND(ISNUMBER($Y$104),$B$69=1),$Y$104,HLOOKUP(INDIRECT(ADDRESS(2,COLUMN())),OFFSET($CL$2,0,0,ROW()-1,84),ROW()-1,FALSE))</f>
        <v>1098</v>
      </c>
      <c r="Z44">
        <f ca="1">IF(AND(ISNUMBER($Z$104),$B$69=1),$Z$104,HLOOKUP(INDIRECT(ADDRESS(2,COLUMN())),OFFSET($CL$2,0,0,ROW()-1,84),ROW()-1,FALSE))</f>
        <v>1046</v>
      </c>
      <c r="AA44">
        <f ca="1">IF(AND(ISNUMBER($AA$104),$B$69=1),$AA$104,HLOOKUP(INDIRECT(ADDRESS(2,COLUMN())),OFFSET($CL$2,0,0,ROW()-1,84),ROW()-1,FALSE))</f>
        <v>1107</v>
      </c>
      <c r="AB44">
        <f ca="1">IF(AND(ISNUMBER($AB$104),$B$69=1),$AB$104,HLOOKUP(INDIRECT(ADDRESS(2,COLUMN())),OFFSET($CL$2,0,0,ROW()-1,84),ROW()-1,FALSE))</f>
        <v>1180</v>
      </c>
      <c r="AC44">
        <f ca="1">IF(AND(ISNUMBER($AC$104),$B$69=1),$AC$104,HLOOKUP(INDIRECT(ADDRESS(2,COLUMN())),OFFSET($CL$2,0,0,ROW()-1,84),ROW()-1,FALSE))</f>
        <v>1134</v>
      </c>
      <c r="AD44">
        <f ca="1">IF(AND(ISNUMBER($AD$104),$B$69=1),$AD$104,HLOOKUP(INDIRECT(ADDRESS(2,COLUMN())),OFFSET($CL$2,0,0,ROW()-1,84),ROW()-1,FALSE))</f>
        <v>1061</v>
      </c>
      <c r="AE44">
        <f ca="1">IF(AND(ISNUMBER($AE$104),$B$69=1),$AE$104,HLOOKUP(INDIRECT(ADDRESS(2,COLUMN())),OFFSET($CL$2,0,0,ROW()-1,84),ROW()-1,FALSE))</f>
        <v>905</v>
      </c>
      <c r="AF44">
        <f ca="1">IF(AND(ISNUMBER($AF$104),$B$69=1),$AF$104,HLOOKUP(INDIRECT(ADDRESS(2,COLUMN())),OFFSET($CL$2,0,0,ROW()-1,84),ROW()-1,FALSE))</f>
        <v>1101</v>
      </c>
      <c r="AG44">
        <f ca="1">IF(AND(ISNUMBER($AG$104),$B$69=1),$AG$104,HLOOKUP(INDIRECT(ADDRESS(2,COLUMN())),OFFSET($CL$2,0,0,ROW()-1,84),ROW()-1,FALSE))</f>
        <v>1044</v>
      </c>
      <c r="AH44">
        <f ca="1">IF(AND(ISNUMBER($AH$104),$B$69=1),$AH$104,HLOOKUP(INDIRECT(ADDRESS(2,COLUMN())),OFFSET($CL$2,0,0,ROW()-1,84),ROW()-1,FALSE))</f>
        <v>995</v>
      </c>
      <c r="AI44">
        <f ca="1">IF(AND(ISNUMBER($AI$104),$B$69=1),$AI$104,HLOOKUP(INDIRECT(ADDRESS(2,COLUMN())),OFFSET($CL$2,0,0,ROW()-1,84),ROW()-1,FALSE))</f>
        <v>1026</v>
      </c>
      <c r="AJ44">
        <f ca="1">IF(AND(ISNUMBER($AJ$104),$B$69=1),$AJ$104,HLOOKUP(INDIRECT(ADDRESS(2,COLUMN())),OFFSET($CL$2,0,0,ROW()-1,84),ROW()-1,FALSE))</f>
        <v>1033</v>
      </c>
      <c r="AK44">
        <f ca="1">IF(AND(ISNUMBER($AK$104),$B$69=1),$AK$104,HLOOKUP(INDIRECT(ADDRESS(2,COLUMN())),OFFSET($CL$2,0,0,ROW()-1,84),ROW()-1,FALSE))</f>
        <v>1099</v>
      </c>
      <c r="AL44">
        <f ca="1">IF(AND(ISNUMBER($AL$104),$B$69=1),$AL$104,HLOOKUP(INDIRECT(ADDRESS(2,COLUMN())),OFFSET($CL$2,0,0,ROW()-1,84),ROW()-1,FALSE))</f>
        <v>990</v>
      </c>
      <c r="AM44">
        <f ca="1">IF(AND(ISNUMBER($AM$104),$B$69=1),$AM$104,HLOOKUP(INDIRECT(ADDRESS(2,COLUMN())),OFFSET($CL$2,0,0,ROW()-1,84),ROW()-1,FALSE))</f>
        <v>1082</v>
      </c>
      <c r="AN44">
        <f ca="1">IF(AND(ISNUMBER($AN$104),$B$69=1),$AN$104,HLOOKUP(INDIRECT(ADDRESS(2,COLUMN())),OFFSET($CL$2,0,0,ROW()-1,84),ROW()-1,FALSE))</f>
        <v>1114</v>
      </c>
      <c r="AO44">
        <f ca="1">IF(AND(ISNUMBER($AO$104),$B$69=1),$AO$104,HLOOKUP(INDIRECT(ADDRESS(2,COLUMN())),OFFSET($CL$2,0,0,ROW()-1,84),ROW()-1,FALSE))</f>
        <v>1050</v>
      </c>
      <c r="AP44">
        <f ca="1">IF(AND(ISNUMBER($AP$104),$B$69=1),$AP$104,HLOOKUP(INDIRECT(ADDRESS(2,COLUMN())),OFFSET($CL$2,0,0,ROW()-1,84),ROW()-1,FALSE))</f>
        <v>1097</v>
      </c>
      <c r="AQ44">
        <f ca="1">IF(AND(ISNUMBER($AQ$104),$B$69=1),$AQ$104,HLOOKUP(INDIRECT(ADDRESS(2,COLUMN())),OFFSET($CL$2,0,0,ROW()-1,84),ROW()-1,FALSE))</f>
        <v>949</v>
      </c>
      <c r="AR44">
        <f ca="1">IF(AND(ISNUMBER($AR$104),$B$69=1),$AR$104,HLOOKUP(INDIRECT(ADDRESS(2,COLUMN())),OFFSET($CL$2,0,0,ROW()-1,84),ROW()-1,FALSE))</f>
        <v>1000</v>
      </c>
      <c r="AS44">
        <f ca="1">IF(AND(ISNUMBER($AS$104),$B$69=1),$AS$104,HLOOKUP(INDIRECT(ADDRESS(2,COLUMN())),OFFSET($CL$2,0,0,ROW()-1,84),ROW()-1,FALSE))</f>
        <v>933</v>
      </c>
      <c r="AT44">
        <f ca="1">IF(AND(ISNUMBER($AT$104),$B$69=1),$AT$104,HLOOKUP(INDIRECT(ADDRESS(2,COLUMN())),OFFSET($CL$2,0,0,ROW()-1,84),ROW()-1,FALSE))</f>
        <v>845</v>
      </c>
      <c r="AU44">
        <f ca="1">IF(AND(ISNUMBER($AU$104),$B$69=1),$AU$104,HLOOKUP(INDIRECT(ADDRESS(2,COLUMN())),OFFSET($CL$2,0,0,ROW()-1,84),ROW()-1,FALSE))</f>
        <v>894</v>
      </c>
      <c r="AV44">
        <f ca="1">IF(AND(ISNUMBER($AV$104),$B$69=1),$AV$104,HLOOKUP(INDIRECT(ADDRESS(2,COLUMN())),OFFSET($CL$2,0,0,ROW()-1,84),ROW()-1,FALSE))</f>
        <v>969</v>
      </c>
      <c r="AW44">
        <f ca="1">IF(AND(ISNUMBER($AW$104),$B$69=1),$AW$104,HLOOKUP(INDIRECT(ADDRESS(2,COLUMN())),OFFSET($CL$2,0,0,ROW()-1,84),ROW()-1,FALSE))</f>
        <v>1086</v>
      </c>
      <c r="AX44">
        <f ca="1">IF(AND(ISNUMBER($AX$104),$B$69=1),$AX$104,HLOOKUP(INDIRECT(ADDRESS(2,COLUMN())),OFFSET($CL$2,0,0,ROW()-1,84),ROW()-1,FALSE))</f>
        <v>1021</v>
      </c>
      <c r="AY44">
        <f ca="1">IF(AND(ISNUMBER($AY$104),$B$69=1),$AY$104,HLOOKUP(INDIRECT(ADDRESS(2,COLUMN())),OFFSET($CL$2,0,0,ROW()-1,84),ROW()-1,FALSE))</f>
        <v>1134</v>
      </c>
      <c r="AZ44">
        <f ca="1">IF(AND(ISNUMBER($AZ$104),$B$69=1),$AZ$104,HLOOKUP(INDIRECT(ADDRESS(2,COLUMN())),OFFSET($CL$2,0,0,ROW()-1,84),ROW()-1,FALSE))</f>
        <v>1143</v>
      </c>
      <c r="BA44">
        <f ca="1">IF(AND(ISNUMBER($BA$104),$B$69=1),$BA$104,HLOOKUP(INDIRECT(ADDRESS(2,COLUMN())),OFFSET($CL$2,0,0,ROW()-1,84),ROW()-1,FALSE))</f>
        <v>1136</v>
      </c>
      <c r="BB44">
        <f ca="1">IF(AND(ISNUMBER($BB$104),$B$69=1),$BB$104,HLOOKUP(INDIRECT(ADDRESS(2,COLUMN())),OFFSET($CL$2,0,0,ROW()-1,84),ROW()-1,FALSE))</f>
        <v>1137</v>
      </c>
      <c r="BC44">
        <f ca="1">IF(AND(ISNUMBER($BC$104),$B$69=1),$BC$104,HLOOKUP(INDIRECT(ADDRESS(2,COLUMN())),OFFSET($CL$2,0,0,ROW()-1,84),ROW()-1,FALSE))</f>
        <v>1025</v>
      </c>
      <c r="BD44">
        <f ca="1">IF(AND(ISNUMBER($BD$104),$B$69=1),$BD$104,HLOOKUP(INDIRECT(ADDRESS(2,COLUMN())),OFFSET($CL$2,0,0,ROW()-1,84),ROW()-1,FALSE))</f>
        <v>1113</v>
      </c>
      <c r="BE44">
        <f ca="1">IF(AND(ISNUMBER($BE$104),$B$69=1),$BE$104,HLOOKUP(INDIRECT(ADDRESS(2,COLUMN())),OFFSET($CL$2,0,0,ROW()-1,84),ROW()-1,FALSE))</f>
        <v>1001</v>
      </c>
      <c r="BF44">
        <f ca="1">IF(AND(ISNUMBER($BF$104),$B$69=1),$BF$104,HLOOKUP(INDIRECT(ADDRESS(2,COLUMN())),OFFSET($CL$2,0,0,ROW()-1,84),ROW()-1,FALSE))</f>
        <v>975</v>
      </c>
      <c r="BG44">
        <f ca="1">IF(AND(ISNUMBER($BG$104),$B$69=1),$BG$104,HLOOKUP(INDIRECT(ADDRESS(2,COLUMN())),OFFSET($CL$2,0,0,ROW()-1,84),ROW()-1,FALSE))</f>
        <v>1032</v>
      </c>
      <c r="BH44">
        <f ca="1">IF(AND(ISNUMBER($BH$104),$B$69=1),$BH$104,HLOOKUP(INDIRECT(ADDRESS(2,COLUMN())),OFFSET($CL$2,0,0,ROW()-1,84),ROW()-1,FALSE))</f>
        <v>1006</v>
      </c>
      <c r="BI44">
        <f ca="1">IF(AND(ISNUMBER($BI$104),$B$69=1),$BI$104,HLOOKUP(INDIRECT(ADDRESS(2,COLUMN())),OFFSET($CL$2,0,0,ROW()-1,84),ROW()-1,FALSE))</f>
        <v>1067</v>
      </c>
      <c r="BJ44">
        <f ca="1">IF(AND(ISNUMBER($BJ$104),$B$69=1),$BJ$104,HLOOKUP(INDIRECT(ADDRESS(2,COLUMN())),OFFSET($CL$2,0,0,ROW()-1,84),ROW()-1,FALSE))</f>
        <v>962</v>
      </c>
      <c r="BK44">
        <f ca="1">IF(AND(ISNUMBER($BK$104),$B$69=1),$BK$104,HLOOKUP(INDIRECT(ADDRESS(2,COLUMN())),OFFSET($CL$2,0,0,ROW()-1,84),ROW()-1,FALSE))</f>
        <v>1072</v>
      </c>
      <c r="BL44">
        <f ca="1">IF(AND(ISNUMBER($BL$104),$B$69=1),$BL$104,HLOOKUP(INDIRECT(ADDRESS(2,COLUMN())),OFFSET($CL$2,0,0,ROW()-1,84),ROW()-1,FALSE))</f>
        <v>1014</v>
      </c>
      <c r="BM44">
        <f ca="1">IF(AND(ISNUMBER($BM$104),$B$69=1),$BM$104,HLOOKUP(INDIRECT(ADDRESS(2,COLUMN())),OFFSET($CL$2,0,0,ROW()-1,84),ROW()-1,FALSE))</f>
        <v>977</v>
      </c>
      <c r="BN44">
        <f ca="1">IF(AND(ISNUMBER($BN$104),$B$69=1),$BN$104,HLOOKUP(INDIRECT(ADDRESS(2,COLUMN())),OFFSET($CL$2,0,0,ROW()-1,84),ROW()-1,FALSE))</f>
        <v>1046</v>
      </c>
      <c r="BO44">
        <f ca="1">IF(AND(ISNUMBER($BO$104),$B$69=1),$BO$104,HLOOKUP(INDIRECT(ADDRESS(2,COLUMN())),OFFSET($CL$2,0,0,ROW()-1,84),ROW()-1,FALSE))</f>
        <v>992</v>
      </c>
      <c r="BP44">
        <f ca="1">IF(AND(ISNUMBER($BP$104),$B$69=1),$BP$104,HLOOKUP(INDIRECT(ADDRESS(2,COLUMN())),OFFSET($CL$2,0,0,ROW()-1,84),ROW()-1,FALSE))</f>
        <v>1005</v>
      </c>
      <c r="BQ44">
        <f ca="1">IF(AND(ISNUMBER($BQ$104),$B$69=1),$BQ$104,HLOOKUP(INDIRECT(ADDRESS(2,COLUMN())),OFFSET($CL$2,0,0,ROW()-1,84),ROW()-1,FALSE))</f>
        <v>998</v>
      </c>
      <c r="BR44">
        <f ca="1">IF(AND(ISNUMBER($BR$104),$B$69=1),$BR$104,HLOOKUP(INDIRECT(ADDRESS(2,COLUMN())),OFFSET($CL$2,0,0,ROW()-1,84),ROW()-1,FALSE))</f>
        <v>955</v>
      </c>
      <c r="BS44">
        <f ca="1">IF(AND(ISNUMBER($BS$104),$B$69=1),$BS$104,HLOOKUP(INDIRECT(ADDRESS(2,COLUMN())),OFFSET($CL$2,0,0,ROW()-1,84),ROW()-1,FALSE))</f>
        <v>1069</v>
      </c>
      <c r="BT44">
        <f ca="1">IF(AND(ISNUMBER($BT$104),$B$69=1),$BT$104,HLOOKUP(INDIRECT(ADDRESS(2,COLUMN())),OFFSET($CL$2,0,0,ROW()-1,84),ROW()-1,FALSE))</f>
        <v>1014</v>
      </c>
      <c r="BU44">
        <f ca="1">IF(AND(ISNUMBER($BU$104),$B$69=1),$BU$104,HLOOKUP(INDIRECT(ADDRESS(2,COLUMN())),OFFSET($CL$2,0,0,ROW()-1,84),ROW()-1,FALSE))</f>
        <v>1014</v>
      </c>
      <c r="BV44">
        <f ca="1">IF(AND(ISNUMBER($BV$104),$B$69=1),$BV$104,HLOOKUP(INDIRECT(ADDRESS(2,COLUMN())),OFFSET($CL$2,0,0,ROW()-1,84),ROW()-1,FALSE))</f>
        <v>1088</v>
      </c>
      <c r="BW44">
        <f ca="1">IF(AND(ISNUMBER($BW$104),$B$69=1),$BW$104,HLOOKUP(INDIRECT(ADDRESS(2,COLUMN())),OFFSET($CL$2,0,0,ROW()-1,84),ROW()-1,FALSE))</f>
        <v>1050</v>
      </c>
      <c r="BX44">
        <f ca="1">IF(AND(ISNUMBER($BX$104),$B$69=1),$BX$104,HLOOKUP(INDIRECT(ADDRESS(2,COLUMN())),OFFSET($CL$2,0,0,ROW()-1,84),ROW()-1,FALSE))</f>
        <v>1047</v>
      </c>
      <c r="BY44">
        <f ca="1">IF(AND(ISNUMBER($BY$104),$B$69=1),$BY$104,HLOOKUP(INDIRECT(ADDRESS(2,COLUMN())),OFFSET($CL$2,0,0,ROW()-1,84),ROW()-1,FALSE))</f>
        <v>994</v>
      </c>
      <c r="BZ44">
        <f ca="1">IF(AND(ISNUMBER($BZ$104),$B$69=1),$BZ$104,HLOOKUP(INDIRECT(ADDRESS(2,COLUMN())),OFFSET($CL$2,0,0,ROW()-1,84),ROW()-1,FALSE))</f>
        <v>1055</v>
      </c>
      <c r="CA44">
        <f ca="1">IF(AND(ISNUMBER($CA$104),$B$69=1),$CA$104,HLOOKUP(INDIRECT(ADDRESS(2,COLUMN())),OFFSET($CL$2,0,0,ROW()-1,84),ROW()-1,FALSE))</f>
        <v>964</v>
      </c>
      <c r="CB44">
        <f ca="1">IF(AND(ISNUMBER($CB$104),$B$69=1),$CB$104,HLOOKUP(INDIRECT(ADDRESS(2,COLUMN())),OFFSET($CL$2,0,0,ROW()-1,84),ROW()-1,FALSE))</f>
        <v>974</v>
      </c>
      <c r="CC44">
        <f ca="1">IF(AND(ISNUMBER($CC$104),$B$69=1),$CC$104,HLOOKUP(INDIRECT(ADDRESS(2,COLUMN())),OFFSET($CL$2,0,0,ROW()-1,84),ROW()-1,FALSE))</f>
        <v>1017</v>
      </c>
      <c r="CD44">
        <f ca="1">IF(AND(ISNUMBER($CD$104),$B$69=1),$CD$104,HLOOKUP(INDIRECT(ADDRESS(2,COLUMN())),OFFSET($CL$2,0,0,ROW()-1,84),ROW()-1,FALSE))</f>
        <v>889</v>
      </c>
      <c r="CE44">
        <f ca="1">IF(AND(ISNUMBER($CE$104),$B$69=1),$CE$104,HLOOKUP(INDIRECT(ADDRESS(2,COLUMN())),OFFSET($CL$2,0,0,ROW()-1,84),ROW()-1,FALSE))</f>
        <v>990</v>
      </c>
      <c r="CF44">
        <f ca="1">IF(AND(ISNUMBER($CF$104),$B$69=1),$CF$104,HLOOKUP(INDIRECT(ADDRESS(2,COLUMN())),OFFSET($CL$2,0,0,ROW()-1,84),ROW()-1,FALSE))</f>
        <v>1016</v>
      </c>
      <c r="CG44">
        <f ca="1">IF(AND(ISNUMBER($CG$104),$B$69=1),$CG$104,HLOOKUP(INDIRECT(ADDRESS(2,COLUMN())),OFFSET($CL$2,0,0,ROW()-1,84),ROW()-1,FALSE))</f>
        <v>1071</v>
      </c>
      <c r="CH44">
        <f ca="1">IF(AND(ISNUMBER($CH$104),$B$69=1),$CH$104,HLOOKUP(INDIRECT(ADDRESS(2,COLUMN())),OFFSET($CL$2,0,0,ROW()-1,84),ROW()-1,FALSE))</f>
        <v>983</v>
      </c>
      <c r="CI44">
        <f ca="1">IF(AND(ISNUMBER($CI$104),$B$69=1),$CI$104,HLOOKUP(INDIRECT(ADDRESS(2,COLUMN())),OFFSET($CL$2,0,0,ROW()-1,84),ROW()-1,FALSE))</f>
        <v>1111</v>
      </c>
      <c r="CJ44">
        <f ca="1">IF(AND(ISNUMBER($CJ$104),$B$69=1),$CJ$104,HLOOKUP(INDIRECT(ADDRESS(2,COLUMN())),OFFSET($CL$2,0,0,ROW()-1,84),ROW()-1,FALSE))</f>
        <v>1043.521761</v>
      </c>
      <c r="CK44">
        <f ca="1">IF(AND(ISNUMBER($CK$104),$B$69=1),$CK$104,HLOOKUP(INDIRECT(ADDRESS(2,COLUMN())),OFFSET($CL$2,0,0,ROW()-1,84),ROW()-1,FALSE))</f>
        <v>968.90310969999996</v>
      </c>
      <c r="CL44">
        <f>1003</f>
        <v>1003</v>
      </c>
      <c r="CM44">
        <f>977</f>
        <v>977</v>
      </c>
      <c r="CN44">
        <f>1012</f>
        <v>1012</v>
      </c>
      <c r="CO44">
        <f>1036</f>
        <v>1036</v>
      </c>
      <c r="CP44">
        <f>964</f>
        <v>964</v>
      </c>
      <c r="CQ44">
        <f>1010</f>
        <v>1010</v>
      </c>
      <c r="CR44">
        <f>1078</f>
        <v>1078</v>
      </c>
      <c r="CS44">
        <f>1113</f>
        <v>1113</v>
      </c>
      <c r="CT44">
        <f>995</f>
        <v>995</v>
      </c>
      <c r="CU44">
        <f>1128</f>
        <v>1128</v>
      </c>
      <c r="CV44">
        <f>1148</f>
        <v>1148</v>
      </c>
      <c r="CW44">
        <f>1091</f>
        <v>1091</v>
      </c>
      <c r="CX44">
        <f>1086</f>
        <v>1086</v>
      </c>
      <c r="CY44">
        <f>999</f>
        <v>999</v>
      </c>
      <c r="CZ44">
        <f>1115</f>
        <v>1115</v>
      </c>
      <c r="DA44">
        <f>1049</f>
        <v>1049</v>
      </c>
      <c r="DB44">
        <f>1090</f>
        <v>1090</v>
      </c>
      <c r="DC44">
        <f>1096</f>
        <v>1096</v>
      </c>
      <c r="DD44">
        <f>1034</f>
        <v>1034</v>
      </c>
      <c r="DE44">
        <f>1098</f>
        <v>1098</v>
      </c>
      <c r="DF44">
        <f>1046</f>
        <v>1046</v>
      </c>
      <c r="DG44">
        <f>1107</f>
        <v>1107</v>
      </c>
      <c r="DH44">
        <f>1180</f>
        <v>1180</v>
      </c>
      <c r="DI44">
        <f>1134</f>
        <v>1134</v>
      </c>
      <c r="DJ44">
        <f>1061</f>
        <v>1061</v>
      </c>
      <c r="DK44">
        <f>905</f>
        <v>905</v>
      </c>
      <c r="DL44">
        <f>1101</f>
        <v>1101</v>
      </c>
      <c r="DM44">
        <f>1044</f>
        <v>1044</v>
      </c>
      <c r="DN44">
        <f>995</f>
        <v>995</v>
      </c>
      <c r="DO44">
        <f>1026</f>
        <v>1026</v>
      </c>
      <c r="DP44">
        <f>1033</f>
        <v>1033</v>
      </c>
      <c r="DQ44">
        <f>1099</f>
        <v>1099</v>
      </c>
      <c r="DR44">
        <f>990</f>
        <v>990</v>
      </c>
      <c r="DS44">
        <f>1082</f>
        <v>1082</v>
      </c>
      <c r="DT44">
        <f>1114</f>
        <v>1114</v>
      </c>
      <c r="DU44">
        <f>1050</f>
        <v>1050</v>
      </c>
      <c r="DV44">
        <f>1097</f>
        <v>1097</v>
      </c>
      <c r="DW44">
        <f>949</f>
        <v>949</v>
      </c>
      <c r="DX44">
        <f>1000</f>
        <v>1000</v>
      </c>
      <c r="DY44">
        <f>933</f>
        <v>933</v>
      </c>
      <c r="DZ44">
        <f>845</f>
        <v>845</v>
      </c>
      <c r="EA44">
        <f>894</f>
        <v>894</v>
      </c>
      <c r="EB44">
        <f>969</f>
        <v>969</v>
      </c>
      <c r="EC44">
        <f>1086</f>
        <v>1086</v>
      </c>
      <c r="ED44">
        <f>1021</f>
        <v>1021</v>
      </c>
      <c r="EE44">
        <f>1134</f>
        <v>1134</v>
      </c>
      <c r="EF44">
        <f>1143</f>
        <v>1143</v>
      </c>
      <c r="EG44">
        <f>1136</f>
        <v>1136</v>
      </c>
      <c r="EH44">
        <f>1137</f>
        <v>1137</v>
      </c>
      <c r="EI44">
        <f>1025</f>
        <v>1025</v>
      </c>
      <c r="EJ44">
        <f>1113</f>
        <v>1113</v>
      </c>
      <c r="EK44">
        <f>1001</f>
        <v>1001</v>
      </c>
      <c r="EL44">
        <f>975</f>
        <v>975</v>
      </c>
      <c r="EM44">
        <f>1032</f>
        <v>1032</v>
      </c>
      <c r="EN44">
        <f>1006</f>
        <v>1006</v>
      </c>
      <c r="EO44">
        <f>1067</f>
        <v>1067</v>
      </c>
      <c r="EP44">
        <f>962</f>
        <v>962</v>
      </c>
      <c r="EQ44">
        <f>1072</f>
        <v>1072</v>
      </c>
      <c r="ER44">
        <f>1014</f>
        <v>1014</v>
      </c>
      <c r="ES44">
        <f>977</f>
        <v>977</v>
      </c>
      <c r="ET44">
        <f>1046</f>
        <v>1046</v>
      </c>
      <c r="EU44">
        <f>992</f>
        <v>992</v>
      </c>
      <c r="EV44">
        <f>1005</f>
        <v>1005</v>
      </c>
      <c r="EW44">
        <f>998</f>
        <v>998</v>
      </c>
      <c r="EX44">
        <f>955</f>
        <v>955</v>
      </c>
      <c r="EY44">
        <f>1069</f>
        <v>1069</v>
      </c>
      <c r="EZ44">
        <f>1014</f>
        <v>1014</v>
      </c>
      <c r="FA44">
        <f>1014</f>
        <v>1014</v>
      </c>
      <c r="FB44">
        <f>1088</f>
        <v>1088</v>
      </c>
      <c r="FC44">
        <f>1050</f>
        <v>1050</v>
      </c>
      <c r="FD44">
        <f>1047</f>
        <v>1047</v>
      </c>
      <c r="FE44">
        <f>994</f>
        <v>994</v>
      </c>
      <c r="FF44">
        <f>1055</f>
        <v>1055</v>
      </c>
      <c r="FG44">
        <f>964</f>
        <v>964</v>
      </c>
      <c r="FH44">
        <f>974</f>
        <v>974</v>
      </c>
      <c r="FI44">
        <f>1017</f>
        <v>1017</v>
      </c>
      <c r="FJ44">
        <f>889</f>
        <v>889</v>
      </c>
      <c r="FK44">
        <f>990</f>
        <v>990</v>
      </c>
      <c r="FL44">
        <f>1016</f>
        <v>1016</v>
      </c>
      <c r="FM44">
        <f>1071</f>
        <v>1071</v>
      </c>
      <c r="FN44">
        <f>983</f>
        <v>983</v>
      </c>
      <c r="FO44">
        <f>1111</f>
        <v>1111</v>
      </c>
      <c r="FP44">
        <f>1043.521761</f>
        <v>1043.521761</v>
      </c>
      <c r="FQ44">
        <f>968.9031097</f>
        <v>968.90310969999996</v>
      </c>
    </row>
    <row r="45" spans="1:173" x14ac:dyDescent="0.25">
      <c r="A45" t="str">
        <f>"Port Hedland Cargo Statistics - Australia Port Hedland Total Exports (tonnes) - Loaded Container Exports"</f>
        <v>Port Hedland Cargo Statistics - Australia Port Hedland Total Exports (tonnes) - Loaded Container Exports</v>
      </c>
      <c r="B45" t="str">
        <f>"AHEDEXGE Index"</f>
        <v>AHEDEXGE Index</v>
      </c>
      <c r="C45" t="str">
        <f t="shared" si="3"/>
        <v>PX385</v>
      </c>
      <c r="D45" t="str">
        <f t="shared" si="4"/>
        <v>INTERVAL_SUM</v>
      </c>
      <c r="E45" t="str">
        <f t="shared" si="5"/>
        <v>Dynamic</v>
      </c>
      <c r="F45" t="str">
        <f ca="1">IF(AND(ISNUMBER($F$105),$B$69=1),$F$105,HLOOKUP(INDIRECT(ADDRESS(2,COLUMN())),OFFSET($CL$2,0,0,ROW()-1,84),ROW()-1,FALSE))</f>
        <v/>
      </c>
      <c r="G45">
        <f ca="1">IF(AND(ISNUMBER($G$105),$B$69=1),$G$105,HLOOKUP(INDIRECT(ADDRESS(2,COLUMN())),OFFSET($CL$2,0,0,ROW()-1,84),ROW()-1,FALSE))</f>
        <v>28545.1</v>
      </c>
      <c r="H45">
        <f ca="1">IF(AND(ISNUMBER($H$105),$B$69=1),$H$105,HLOOKUP(INDIRECT(ADDRESS(2,COLUMN())),OFFSET($CL$2,0,0,ROW()-1,84),ROW()-1,FALSE))</f>
        <v>10185.98</v>
      </c>
      <c r="I45">
        <f ca="1">IF(AND(ISNUMBER($I$105),$B$69=1),$I$105,HLOOKUP(INDIRECT(ADDRESS(2,COLUMN())),OFFSET($CL$2,0,0,ROW()-1,84),ROW()-1,FALSE))</f>
        <v>940.51</v>
      </c>
      <c r="J45">
        <f ca="1">IF(AND(ISNUMBER($J$105),$B$69=1),$J$105,HLOOKUP(INDIRECT(ADDRESS(2,COLUMN())),OFFSET($CL$2,0,0,ROW()-1,84),ROW()-1,FALSE))</f>
        <v>0</v>
      </c>
      <c r="K45">
        <f ca="1">IF(AND(ISNUMBER($K$105),$B$69=1),$K$105,HLOOKUP(INDIRECT(ADDRESS(2,COLUMN())),OFFSET($CL$2,0,0,ROW()-1,84),ROW()-1,FALSE))</f>
        <v>0</v>
      </c>
      <c r="L45">
        <f ca="1">IF(AND(ISNUMBER($L$105),$B$69=1),$L$105,HLOOKUP(INDIRECT(ADDRESS(2,COLUMN())),OFFSET($CL$2,0,0,ROW()-1,84),ROW()-1,FALSE))</f>
        <v>0</v>
      </c>
      <c r="M45">
        <f ca="1">IF(AND(ISNUMBER($M$105),$B$69=1),$M$105,HLOOKUP(INDIRECT(ADDRESS(2,COLUMN())),OFFSET($CL$2,0,0,ROW()-1,84),ROW()-1,FALSE))</f>
        <v>12814</v>
      </c>
      <c r="N45">
        <f ca="1">IF(AND(ISNUMBER($N$105),$B$69=1),$N$105,HLOOKUP(INDIRECT(ADDRESS(2,COLUMN())),OFFSET($CL$2,0,0,ROW()-1,84),ROW()-1,FALSE))</f>
        <v>0</v>
      </c>
      <c r="O45">
        <f ca="1">IF(AND(ISNUMBER($O$105),$B$69=1),$O$105,HLOOKUP(INDIRECT(ADDRESS(2,COLUMN())),OFFSET($CL$2,0,0,ROW()-1,84),ROW()-1,FALSE))</f>
        <v>0</v>
      </c>
      <c r="P45">
        <f ca="1">IF(AND(ISNUMBER($P$105),$B$69=1),$P$105,HLOOKUP(INDIRECT(ADDRESS(2,COLUMN())),OFFSET($CL$2,0,0,ROW()-1,84),ROW()-1,FALSE))</f>
        <v>18696.79</v>
      </c>
      <c r="Q45">
        <f ca="1">IF(AND(ISNUMBER($Q$105),$B$69=1),$Q$105,HLOOKUP(INDIRECT(ADDRESS(2,COLUMN())),OFFSET($CL$2,0,0,ROW()-1,84),ROW()-1,FALSE))</f>
        <v>20.71</v>
      </c>
      <c r="R45">
        <f ca="1">IF(AND(ISNUMBER($R$105),$B$69=1),$R$105,HLOOKUP(INDIRECT(ADDRESS(2,COLUMN())),OFFSET($CL$2,0,0,ROW()-1,84),ROW()-1,FALSE))</f>
        <v>0</v>
      </c>
      <c r="S45">
        <f ca="1">IF(AND(ISNUMBER($S$105),$B$69=1),$S$105,HLOOKUP(INDIRECT(ADDRESS(2,COLUMN())),OFFSET($CL$2,0,0,ROW()-1,84),ROW()-1,FALSE))</f>
        <v>0</v>
      </c>
      <c r="T45">
        <f ca="1">IF(AND(ISNUMBER($T$105),$B$69=1),$T$105,HLOOKUP(INDIRECT(ADDRESS(2,COLUMN())),OFFSET($CL$2,0,0,ROW()-1,84),ROW()-1,FALSE))</f>
        <v>19913.46</v>
      </c>
      <c r="U45">
        <f ca="1">IF(AND(ISNUMBER($U$105),$B$69=1),$U$105,HLOOKUP(INDIRECT(ADDRESS(2,COLUMN())),OFFSET($CL$2,0,0,ROW()-1,84),ROW()-1,FALSE))</f>
        <v>6.5</v>
      </c>
      <c r="V45">
        <f ca="1">IF(AND(ISNUMBER($V$105),$B$69=1),$V$105,HLOOKUP(INDIRECT(ADDRESS(2,COLUMN())),OFFSET($CL$2,0,0,ROW()-1,84),ROW()-1,FALSE))</f>
        <v>11704</v>
      </c>
      <c r="W45">
        <f ca="1">IF(AND(ISNUMBER($W$105),$B$69=1),$W$105,HLOOKUP(INDIRECT(ADDRESS(2,COLUMN())),OFFSET($CL$2,0,0,ROW()-1,84),ROW()-1,FALSE))</f>
        <v>0</v>
      </c>
      <c r="X45">
        <f ca="1">IF(AND(ISNUMBER($X$105),$B$69=1),$X$105,HLOOKUP(INDIRECT(ADDRESS(2,COLUMN())),OFFSET($CL$2,0,0,ROW()-1,84),ROW()-1,FALSE))</f>
        <v>14489.26</v>
      </c>
      <c r="Y45">
        <f ca="1">IF(AND(ISNUMBER($Y$105),$B$69=1),$Y$105,HLOOKUP(INDIRECT(ADDRESS(2,COLUMN())),OFFSET($CL$2,0,0,ROW()-1,84),ROW()-1,FALSE))</f>
        <v>222</v>
      </c>
      <c r="Z45">
        <f ca="1">IF(AND(ISNUMBER($Z$105),$B$69=1),$Z$105,HLOOKUP(INDIRECT(ADDRESS(2,COLUMN())),OFFSET($CL$2,0,0,ROW()-1,84),ROW()-1,FALSE))</f>
        <v>0</v>
      </c>
      <c r="AA45">
        <f ca="1">IF(AND(ISNUMBER($AA$105),$B$69=1),$AA$105,HLOOKUP(INDIRECT(ADDRESS(2,COLUMN())),OFFSET($CL$2,0,0,ROW()-1,84),ROW()-1,FALSE))</f>
        <v>9058.86</v>
      </c>
      <c r="AB45">
        <f ca="1">IF(AND(ISNUMBER($AB$105),$B$69=1),$AB$105,HLOOKUP(INDIRECT(ADDRESS(2,COLUMN())),OFFSET($CL$2,0,0,ROW()-1,84),ROW()-1,FALSE))</f>
        <v>78.37</v>
      </c>
      <c r="AC45">
        <f ca="1">IF(AND(ISNUMBER($AC$105),$B$69=1),$AC$105,HLOOKUP(INDIRECT(ADDRESS(2,COLUMN())),OFFSET($CL$2,0,0,ROW()-1,84),ROW()-1,FALSE))</f>
        <v>9.9600000000000009</v>
      </c>
      <c r="AD45">
        <f ca="1">IF(AND(ISNUMBER($AD$105),$B$69=1),$AD$105,HLOOKUP(INDIRECT(ADDRESS(2,COLUMN())),OFFSET($CL$2,0,0,ROW()-1,84),ROW()-1,FALSE))</f>
        <v>35104.879999999997</v>
      </c>
      <c r="AE45">
        <f ca="1">IF(AND(ISNUMBER($AE$105),$B$69=1),$AE$105,HLOOKUP(INDIRECT(ADDRESS(2,COLUMN())),OFFSET($CL$2,0,0,ROW()-1,84),ROW()-1,FALSE))</f>
        <v>0</v>
      </c>
      <c r="AF45">
        <f ca="1">IF(AND(ISNUMBER($AF$105),$B$69=1),$AF$105,HLOOKUP(INDIRECT(ADDRESS(2,COLUMN())),OFFSET($CL$2,0,0,ROW()-1,84),ROW()-1,FALSE))</f>
        <v>121.3</v>
      </c>
      <c r="AG45">
        <f ca="1">IF(AND(ISNUMBER($AG$105),$B$69=1),$AG$105,HLOOKUP(INDIRECT(ADDRESS(2,COLUMN())),OFFSET($CL$2,0,0,ROW()-1,84),ROW()-1,FALSE))</f>
        <v>22.26</v>
      </c>
      <c r="AH45">
        <f ca="1">IF(AND(ISNUMBER($AH$105),$B$69=1),$AH$105,HLOOKUP(INDIRECT(ADDRESS(2,COLUMN())),OFFSET($CL$2,0,0,ROW()-1,84),ROW()-1,FALSE))</f>
        <v>19992.740000000002</v>
      </c>
      <c r="AI45">
        <f ca="1">IF(AND(ISNUMBER($AI$105),$B$69=1),$AI$105,HLOOKUP(INDIRECT(ADDRESS(2,COLUMN())),OFFSET($CL$2,0,0,ROW()-1,84),ROW()-1,FALSE))</f>
        <v>74.22</v>
      </c>
      <c r="AJ45">
        <f ca="1">IF(AND(ISNUMBER($AJ$105),$B$69=1),$AJ$105,HLOOKUP(INDIRECT(ADDRESS(2,COLUMN())),OFFSET($CL$2,0,0,ROW()-1,84),ROW()-1,FALSE))</f>
        <v>111.56</v>
      </c>
      <c r="AK45">
        <f ca="1">IF(AND(ISNUMBER($AK$105),$B$69=1),$AK$105,HLOOKUP(INDIRECT(ADDRESS(2,COLUMN())),OFFSET($CL$2,0,0,ROW()-1,84),ROW()-1,FALSE))</f>
        <v>65.959999999999994</v>
      </c>
      <c r="AL45">
        <f ca="1">IF(AND(ISNUMBER($AL$105),$B$69=1),$AL$105,HLOOKUP(INDIRECT(ADDRESS(2,COLUMN())),OFFSET($CL$2,0,0,ROW()-1,84),ROW()-1,FALSE))</f>
        <v>24782.15</v>
      </c>
      <c r="AM45">
        <f ca="1">IF(AND(ISNUMBER($AM$105),$B$69=1),$AM$105,HLOOKUP(INDIRECT(ADDRESS(2,COLUMN())),OFFSET($CL$2,0,0,ROW()-1,84),ROW()-1,FALSE))</f>
        <v>0</v>
      </c>
      <c r="AN45">
        <f ca="1">IF(AND(ISNUMBER($AN$105),$B$69=1),$AN$105,HLOOKUP(INDIRECT(ADDRESS(2,COLUMN())),OFFSET($CL$2,0,0,ROW()-1,84),ROW()-1,FALSE))</f>
        <v>0</v>
      </c>
      <c r="AO45">
        <f ca="1">IF(AND(ISNUMBER($AO$105),$B$69=1),$AO$105,HLOOKUP(INDIRECT(ADDRESS(2,COLUMN())),OFFSET($CL$2,0,0,ROW()-1,84),ROW()-1,FALSE))</f>
        <v>0</v>
      </c>
      <c r="AP45">
        <f ca="1">IF(AND(ISNUMBER($AP$105),$B$69=1),$AP$105,HLOOKUP(INDIRECT(ADDRESS(2,COLUMN())),OFFSET($CL$2,0,0,ROW()-1,84),ROW()-1,FALSE))</f>
        <v>19833.5</v>
      </c>
      <c r="AQ45">
        <f ca="1">IF(AND(ISNUMBER($AQ$105),$B$69=1),$AQ$105,HLOOKUP(INDIRECT(ADDRESS(2,COLUMN())),OFFSET($CL$2,0,0,ROW()-1,84),ROW()-1,FALSE))</f>
        <v>9810.5</v>
      </c>
      <c r="AR45">
        <f ca="1">IF(AND(ISNUMBER($AR$105),$B$69=1),$AR$105,HLOOKUP(INDIRECT(ADDRESS(2,COLUMN())),OFFSET($CL$2,0,0,ROW()-1,84),ROW()-1,FALSE))</f>
        <v>170</v>
      </c>
      <c r="AS45">
        <f ca="1">IF(AND(ISNUMBER($AS$105),$B$69=1),$AS$105,HLOOKUP(INDIRECT(ADDRESS(2,COLUMN())),OFFSET($CL$2,0,0,ROW()-1,84),ROW()-1,FALSE))</f>
        <v>12977.56</v>
      </c>
      <c r="AT45">
        <f ca="1">IF(AND(ISNUMBER($AT$105),$B$69=1),$AT$105,HLOOKUP(INDIRECT(ADDRESS(2,COLUMN())),OFFSET($CL$2,0,0,ROW()-1,84),ROW()-1,FALSE))</f>
        <v>12903.36</v>
      </c>
      <c r="AU45">
        <f ca="1">IF(AND(ISNUMBER($AU$105),$B$69=1),$AU$105,HLOOKUP(INDIRECT(ADDRESS(2,COLUMN())),OFFSET($CL$2,0,0,ROW()-1,84),ROW()-1,FALSE))</f>
        <v>0</v>
      </c>
      <c r="AV45">
        <f ca="1">IF(AND(ISNUMBER($AV$105),$B$69=1),$AV$105,HLOOKUP(INDIRECT(ADDRESS(2,COLUMN())),OFFSET($CL$2,0,0,ROW()-1,84),ROW()-1,FALSE))</f>
        <v>0</v>
      </c>
      <c r="AW45">
        <f ca="1">IF(AND(ISNUMBER($AW$105),$B$69=1),$AW$105,HLOOKUP(INDIRECT(ADDRESS(2,COLUMN())),OFFSET($CL$2,0,0,ROW()-1,84),ROW()-1,FALSE))</f>
        <v>13293.63</v>
      </c>
      <c r="AX45">
        <f ca="1">IF(AND(ISNUMBER($AX$105),$B$69=1),$AX$105,HLOOKUP(INDIRECT(ADDRESS(2,COLUMN())),OFFSET($CL$2,0,0,ROW()-1,84),ROW()-1,FALSE))</f>
        <v>0</v>
      </c>
      <c r="AY45">
        <f ca="1">IF(AND(ISNUMBER($AY$105),$B$69=1),$AY$105,HLOOKUP(INDIRECT(ADDRESS(2,COLUMN())),OFFSET($CL$2,0,0,ROW()-1,84),ROW()-1,FALSE))</f>
        <v>0</v>
      </c>
      <c r="AZ45">
        <f ca="1">IF(AND(ISNUMBER($AZ$105),$B$69=1),$AZ$105,HLOOKUP(INDIRECT(ADDRESS(2,COLUMN())),OFFSET($CL$2,0,0,ROW()-1,84),ROW()-1,FALSE))</f>
        <v>26545.91</v>
      </c>
      <c r="BA45">
        <f ca="1">IF(AND(ISNUMBER($BA$105),$B$69=1),$BA$105,HLOOKUP(INDIRECT(ADDRESS(2,COLUMN())),OFFSET($CL$2,0,0,ROW()-1,84),ROW()-1,FALSE))</f>
        <v>0</v>
      </c>
      <c r="BB45">
        <f ca="1">IF(AND(ISNUMBER($BB$105),$B$69=1),$BB$105,HLOOKUP(INDIRECT(ADDRESS(2,COLUMN())),OFFSET($CL$2,0,0,ROW()-1,84),ROW()-1,FALSE))</f>
        <v>12148.56</v>
      </c>
      <c r="BC45">
        <f ca="1">IF(AND(ISNUMBER($BC$105),$B$69=1),$BC$105,HLOOKUP(INDIRECT(ADDRESS(2,COLUMN())),OFFSET($CL$2,0,0,ROW()-1,84),ROW()-1,FALSE))</f>
        <v>1050.99</v>
      </c>
      <c r="BD45">
        <f ca="1">IF(AND(ISNUMBER($BD$105),$B$69=1),$BD$105,HLOOKUP(INDIRECT(ADDRESS(2,COLUMN())),OFFSET($CL$2,0,0,ROW()-1,84),ROW()-1,FALSE))</f>
        <v>0</v>
      </c>
      <c r="BE45">
        <f ca="1">IF(AND(ISNUMBER($BE$105),$B$69=1),$BE$105,HLOOKUP(INDIRECT(ADDRESS(2,COLUMN())),OFFSET($CL$2,0,0,ROW()-1,84),ROW()-1,FALSE))</f>
        <v>0</v>
      </c>
      <c r="BF45">
        <f ca="1">IF(AND(ISNUMBER($BF$105),$B$69=1),$BF$105,HLOOKUP(INDIRECT(ADDRESS(2,COLUMN())),OFFSET($CL$2,0,0,ROW()-1,84),ROW()-1,FALSE))</f>
        <v>14836.35</v>
      </c>
      <c r="BG45">
        <f ca="1">IF(AND(ISNUMBER($BG$105),$B$69=1),$BG$105,HLOOKUP(INDIRECT(ADDRESS(2,COLUMN())),OFFSET($CL$2,0,0,ROW()-1,84),ROW()-1,FALSE))</f>
        <v>13595</v>
      </c>
      <c r="BH45">
        <f ca="1">IF(AND(ISNUMBER($BH$105),$B$69=1),$BH$105,HLOOKUP(INDIRECT(ADDRESS(2,COLUMN())),OFFSET($CL$2,0,0,ROW()-1,84),ROW()-1,FALSE))</f>
        <v>19837.939999999999</v>
      </c>
      <c r="BI45">
        <f ca="1">IF(AND(ISNUMBER($BI$105),$B$69=1),$BI$105,HLOOKUP(INDIRECT(ADDRESS(2,COLUMN())),OFFSET($CL$2,0,0,ROW()-1,84),ROW()-1,FALSE))</f>
        <v>0</v>
      </c>
      <c r="BJ45">
        <f ca="1">IF(AND(ISNUMBER($BJ$105),$B$69=1),$BJ$105,HLOOKUP(INDIRECT(ADDRESS(2,COLUMN())),OFFSET($CL$2,0,0,ROW()-1,84),ROW()-1,FALSE))</f>
        <v>0</v>
      </c>
      <c r="BK45">
        <f ca="1">IF(AND(ISNUMBER($BK$105),$B$69=1),$BK$105,HLOOKUP(INDIRECT(ADDRESS(2,COLUMN())),OFFSET($CL$2,0,0,ROW()-1,84),ROW()-1,FALSE))</f>
        <v>21493.67</v>
      </c>
      <c r="BL45">
        <f ca="1">IF(AND(ISNUMBER($BL$105),$B$69=1),$BL$105,HLOOKUP(INDIRECT(ADDRESS(2,COLUMN())),OFFSET($CL$2,0,0,ROW()-1,84),ROW()-1,FALSE))</f>
        <v>0</v>
      </c>
      <c r="BM45">
        <f ca="1">IF(AND(ISNUMBER($BM$105),$B$69=1),$BM$105,HLOOKUP(INDIRECT(ADDRESS(2,COLUMN())),OFFSET($CL$2,0,0,ROW()-1,84),ROW()-1,FALSE))</f>
        <v>0</v>
      </c>
      <c r="BN45">
        <f ca="1">IF(AND(ISNUMBER($BN$105),$B$69=1),$BN$105,HLOOKUP(INDIRECT(ADDRESS(2,COLUMN())),OFFSET($CL$2,0,0,ROW()-1,84),ROW()-1,FALSE))</f>
        <v>0</v>
      </c>
      <c r="BO45">
        <f ca="1">IF(AND(ISNUMBER($BO$105),$B$69=1),$BO$105,HLOOKUP(INDIRECT(ADDRESS(2,COLUMN())),OFFSET($CL$2,0,0,ROW()-1,84),ROW()-1,FALSE))</f>
        <v>12950.58</v>
      </c>
      <c r="BP45">
        <f ca="1">IF(AND(ISNUMBER($BP$105),$B$69=1),$BP$105,HLOOKUP(INDIRECT(ADDRESS(2,COLUMN())),OFFSET($CL$2,0,0,ROW()-1,84),ROW()-1,FALSE))</f>
        <v>1937.7</v>
      </c>
      <c r="BQ45">
        <f ca="1">IF(AND(ISNUMBER($BQ$105),$B$69=1),$BQ$105,HLOOKUP(INDIRECT(ADDRESS(2,COLUMN())),OFFSET($CL$2,0,0,ROW()-1,84),ROW()-1,FALSE))</f>
        <v>0</v>
      </c>
      <c r="BR45">
        <f ca="1">IF(AND(ISNUMBER($BR$105),$B$69=1),$BR$105,HLOOKUP(INDIRECT(ADDRESS(2,COLUMN())),OFFSET($CL$2,0,0,ROW()-1,84),ROW()-1,FALSE))</f>
        <v>17770.8</v>
      </c>
      <c r="BS45">
        <f ca="1">IF(AND(ISNUMBER($BS$105),$B$69=1),$BS$105,HLOOKUP(INDIRECT(ADDRESS(2,COLUMN())),OFFSET($CL$2,0,0,ROW()-1,84),ROW()-1,FALSE))</f>
        <v>16954.77</v>
      </c>
      <c r="BT45" t="str">
        <f ca="1">IF(AND(ISNUMBER($BT$105),$B$69=1),$BT$105,HLOOKUP(INDIRECT(ADDRESS(2,COLUMN())),OFFSET($CL$2,0,0,ROW()-1,84),ROW()-1,FALSE))</f>
        <v/>
      </c>
      <c r="BU45">
        <f ca="1">IF(AND(ISNUMBER($BU$105),$B$69=1),$BU$105,HLOOKUP(INDIRECT(ADDRESS(2,COLUMN())),OFFSET($CL$2,0,0,ROW()-1,84),ROW()-1,FALSE))</f>
        <v>752.2</v>
      </c>
      <c r="BV45">
        <f ca="1">IF(AND(ISNUMBER($BV$105),$B$69=1),$BV$105,HLOOKUP(INDIRECT(ADDRESS(2,COLUMN())),OFFSET($CL$2,0,0,ROW()-1,84),ROW()-1,FALSE))</f>
        <v>5183.91</v>
      </c>
      <c r="BW45">
        <f ca="1">IF(AND(ISNUMBER($BW$105),$B$69=1),$BW$105,HLOOKUP(INDIRECT(ADDRESS(2,COLUMN())),OFFSET($CL$2,0,0,ROW()-1,84),ROW()-1,FALSE))</f>
        <v>949.23</v>
      </c>
      <c r="BX45">
        <f ca="1">IF(AND(ISNUMBER($BX$105),$B$69=1),$BX$105,HLOOKUP(INDIRECT(ADDRESS(2,COLUMN())),OFFSET($CL$2,0,0,ROW()-1,84),ROW()-1,FALSE))</f>
        <v>11272.08</v>
      </c>
      <c r="BY45">
        <f ca="1">IF(AND(ISNUMBER($BY$105),$B$69=1),$BY$105,HLOOKUP(INDIRECT(ADDRESS(2,COLUMN())),OFFSET($CL$2,0,0,ROW()-1,84),ROW()-1,FALSE))</f>
        <v>3476.96</v>
      </c>
      <c r="BZ45">
        <f ca="1">IF(AND(ISNUMBER($BZ$105),$B$69=1),$BZ$105,HLOOKUP(INDIRECT(ADDRESS(2,COLUMN())),OFFSET($CL$2,0,0,ROW()-1,84),ROW()-1,FALSE))</f>
        <v>17899.57</v>
      </c>
      <c r="CA45">
        <f ca="1">IF(AND(ISNUMBER($CA$105),$B$69=1),$CA$105,HLOOKUP(INDIRECT(ADDRESS(2,COLUMN())),OFFSET($CL$2,0,0,ROW()-1,84),ROW()-1,FALSE))</f>
        <v>15998.04</v>
      </c>
      <c r="CB45">
        <f ca="1">IF(AND(ISNUMBER($CB$105),$B$69=1),$CB$105,HLOOKUP(INDIRECT(ADDRESS(2,COLUMN())),OFFSET($CL$2,0,0,ROW()-1,84),ROW()-1,FALSE))</f>
        <v>0</v>
      </c>
      <c r="CC45">
        <f ca="1">IF(AND(ISNUMBER($CC$105),$B$69=1),$CC$105,HLOOKUP(INDIRECT(ADDRESS(2,COLUMN())),OFFSET($CL$2,0,0,ROW()-1,84),ROW()-1,FALSE))</f>
        <v>884.95</v>
      </c>
      <c r="CD45">
        <f ca="1">IF(AND(ISNUMBER($CD$105),$B$69=1),$CD$105,HLOOKUP(INDIRECT(ADDRESS(2,COLUMN())),OFFSET($CL$2,0,0,ROW()-1,84),ROW()-1,FALSE))</f>
        <v>15138.83</v>
      </c>
      <c r="CE45">
        <f ca="1">IF(AND(ISNUMBER($CE$105),$B$69=1),$CE$105,HLOOKUP(INDIRECT(ADDRESS(2,COLUMN())),OFFSET($CL$2,0,0,ROW()-1,84),ROW()-1,FALSE))</f>
        <v>0</v>
      </c>
      <c r="CF45">
        <f ca="1">IF(AND(ISNUMBER($CF$105),$B$69=1),$CF$105,HLOOKUP(INDIRECT(ADDRESS(2,COLUMN())),OFFSET($CL$2,0,0,ROW()-1,84),ROW()-1,FALSE))</f>
        <v>10007.379999999999</v>
      </c>
      <c r="CG45">
        <f ca="1">IF(AND(ISNUMBER($CG$105),$B$69=1),$CG$105,HLOOKUP(INDIRECT(ADDRESS(2,COLUMN())),OFFSET($CL$2,0,0,ROW()-1,84),ROW()-1,FALSE))</f>
        <v>0</v>
      </c>
      <c r="CH45">
        <f ca="1">IF(AND(ISNUMBER($CH$105),$B$69=1),$CH$105,HLOOKUP(INDIRECT(ADDRESS(2,COLUMN())),OFFSET($CL$2,0,0,ROW()-1,84),ROW()-1,FALSE))</f>
        <v>0</v>
      </c>
      <c r="CI45">
        <f ca="1">IF(AND(ISNUMBER($CI$105),$B$69=1),$CI$105,HLOOKUP(INDIRECT(ADDRESS(2,COLUMN())),OFFSET($CL$2,0,0,ROW()-1,84),ROW()-1,FALSE))</f>
        <v>0</v>
      </c>
      <c r="CJ45">
        <f ca="1">IF(AND(ISNUMBER($CJ$105),$B$69=1),$CJ$105,HLOOKUP(INDIRECT(ADDRESS(2,COLUMN())),OFFSET($CL$2,0,0,ROW()-1,84),ROW()-1,FALSE))</f>
        <v>27374.13</v>
      </c>
      <c r="CK45">
        <f ca="1">IF(AND(ISNUMBER($CK$105),$B$69=1),$CK$105,HLOOKUP(INDIRECT(ADDRESS(2,COLUMN())),OFFSET($CL$2,0,0,ROW()-1,84),ROW()-1,FALSE))</f>
        <v>4265.63</v>
      </c>
      <c r="CL45" t="str">
        <f>""</f>
        <v/>
      </c>
      <c r="CM45">
        <f>28545.1</f>
        <v>28545.1</v>
      </c>
      <c r="CN45">
        <f>10185.98</f>
        <v>10185.98</v>
      </c>
      <c r="CO45">
        <f>940.51</f>
        <v>940.51</v>
      </c>
      <c r="CP45">
        <f>0</f>
        <v>0</v>
      </c>
      <c r="CQ45">
        <f>0</f>
        <v>0</v>
      </c>
      <c r="CR45">
        <f>0</f>
        <v>0</v>
      </c>
      <c r="CS45">
        <f>12814</f>
        <v>12814</v>
      </c>
      <c r="CT45">
        <f>0</f>
        <v>0</v>
      </c>
      <c r="CU45">
        <f>0</f>
        <v>0</v>
      </c>
      <c r="CV45">
        <f>18696.79</f>
        <v>18696.79</v>
      </c>
      <c r="CW45">
        <f>20.71</f>
        <v>20.71</v>
      </c>
      <c r="CX45">
        <f>0</f>
        <v>0</v>
      </c>
      <c r="CY45">
        <f>0</f>
        <v>0</v>
      </c>
      <c r="CZ45">
        <f>19913.46</f>
        <v>19913.46</v>
      </c>
      <c r="DA45">
        <f>6.5</f>
        <v>6.5</v>
      </c>
      <c r="DB45">
        <f>11704</f>
        <v>11704</v>
      </c>
      <c r="DC45">
        <f>0</f>
        <v>0</v>
      </c>
      <c r="DD45">
        <f>14489.26</f>
        <v>14489.26</v>
      </c>
      <c r="DE45">
        <f>222</f>
        <v>222</v>
      </c>
      <c r="DF45">
        <f>0</f>
        <v>0</v>
      </c>
      <c r="DG45">
        <f>9058.86</f>
        <v>9058.86</v>
      </c>
      <c r="DH45">
        <f>78.37</f>
        <v>78.37</v>
      </c>
      <c r="DI45">
        <f>9.96</f>
        <v>9.9600000000000009</v>
      </c>
      <c r="DJ45">
        <f>35104.88</f>
        <v>35104.879999999997</v>
      </c>
      <c r="DK45">
        <f>0</f>
        <v>0</v>
      </c>
      <c r="DL45">
        <f>121.3</f>
        <v>121.3</v>
      </c>
      <c r="DM45">
        <f>22.26</f>
        <v>22.26</v>
      </c>
      <c r="DN45">
        <f>19992.74</f>
        <v>19992.740000000002</v>
      </c>
      <c r="DO45">
        <f>74.22</f>
        <v>74.22</v>
      </c>
      <c r="DP45">
        <f>111.56</f>
        <v>111.56</v>
      </c>
      <c r="DQ45">
        <f>65.96</f>
        <v>65.959999999999994</v>
      </c>
      <c r="DR45">
        <f>24782.15</f>
        <v>24782.15</v>
      </c>
      <c r="DS45">
        <f>0</f>
        <v>0</v>
      </c>
      <c r="DT45">
        <f>0</f>
        <v>0</v>
      </c>
      <c r="DU45">
        <f>0</f>
        <v>0</v>
      </c>
      <c r="DV45">
        <f>19833.5</f>
        <v>19833.5</v>
      </c>
      <c r="DW45">
        <f>9810.5</f>
        <v>9810.5</v>
      </c>
      <c r="DX45">
        <f>170</f>
        <v>170</v>
      </c>
      <c r="DY45">
        <f>12977.56</f>
        <v>12977.56</v>
      </c>
      <c r="DZ45">
        <f>12903.36</f>
        <v>12903.36</v>
      </c>
      <c r="EA45">
        <f>0</f>
        <v>0</v>
      </c>
      <c r="EB45">
        <f>0</f>
        <v>0</v>
      </c>
      <c r="EC45">
        <f>13293.63</f>
        <v>13293.63</v>
      </c>
      <c r="ED45">
        <f>0</f>
        <v>0</v>
      </c>
      <c r="EE45">
        <f>0</f>
        <v>0</v>
      </c>
      <c r="EF45">
        <f>26545.91</f>
        <v>26545.91</v>
      </c>
      <c r="EG45">
        <f>0</f>
        <v>0</v>
      </c>
      <c r="EH45">
        <f>12148.56</f>
        <v>12148.56</v>
      </c>
      <c r="EI45">
        <f>1050.99</f>
        <v>1050.99</v>
      </c>
      <c r="EJ45">
        <f>0</f>
        <v>0</v>
      </c>
      <c r="EK45">
        <f>0</f>
        <v>0</v>
      </c>
      <c r="EL45">
        <f>14836.35</f>
        <v>14836.35</v>
      </c>
      <c r="EM45">
        <f>13595</f>
        <v>13595</v>
      </c>
      <c r="EN45">
        <f>19837.94</f>
        <v>19837.939999999999</v>
      </c>
      <c r="EO45">
        <f>0</f>
        <v>0</v>
      </c>
      <c r="EP45">
        <f>0</f>
        <v>0</v>
      </c>
      <c r="EQ45">
        <f>21493.67</f>
        <v>21493.67</v>
      </c>
      <c r="ER45">
        <f>0</f>
        <v>0</v>
      </c>
      <c r="ES45">
        <f>0</f>
        <v>0</v>
      </c>
      <c r="ET45">
        <f>0</f>
        <v>0</v>
      </c>
      <c r="EU45">
        <f>12950.58</f>
        <v>12950.58</v>
      </c>
      <c r="EV45">
        <f>1937.7</f>
        <v>1937.7</v>
      </c>
      <c r="EW45">
        <f>0</f>
        <v>0</v>
      </c>
      <c r="EX45">
        <f>17770.8</f>
        <v>17770.8</v>
      </c>
      <c r="EY45">
        <f>16954.77</f>
        <v>16954.77</v>
      </c>
      <c r="EZ45" t="str">
        <f>""</f>
        <v/>
      </c>
      <c r="FA45">
        <f>752.2</f>
        <v>752.2</v>
      </c>
      <c r="FB45">
        <f>5183.91</f>
        <v>5183.91</v>
      </c>
      <c r="FC45">
        <f>949.23</f>
        <v>949.23</v>
      </c>
      <c r="FD45">
        <f>11272.08</f>
        <v>11272.08</v>
      </c>
      <c r="FE45">
        <f>3476.96</f>
        <v>3476.96</v>
      </c>
      <c r="FF45">
        <f>17899.57</f>
        <v>17899.57</v>
      </c>
      <c r="FG45">
        <f>15998.04</f>
        <v>15998.04</v>
      </c>
      <c r="FH45">
        <f>0</f>
        <v>0</v>
      </c>
      <c r="FI45">
        <f>884.95</f>
        <v>884.95</v>
      </c>
      <c r="FJ45">
        <f>15138.83</f>
        <v>15138.83</v>
      </c>
      <c r="FK45">
        <f>0</f>
        <v>0</v>
      </c>
      <c r="FL45">
        <f>10007.38</f>
        <v>10007.379999999999</v>
      </c>
      <c r="FM45">
        <f>0</f>
        <v>0</v>
      </c>
      <c r="FN45">
        <f>0</f>
        <v>0</v>
      </c>
      <c r="FO45">
        <f>0</f>
        <v>0</v>
      </c>
      <c r="FP45">
        <f>27374.13</f>
        <v>27374.13</v>
      </c>
      <c r="FQ45">
        <f>4265.63</f>
        <v>4265.63</v>
      </c>
    </row>
    <row r="46" spans="1:173" x14ac:dyDescent="0.25">
      <c r="A46" t="str">
        <f>"Port Hedland Cargo Statistics - Australia Port Hedland Total Exports (tonnes) - Iron Ore Exports (tonnes)"</f>
        <v>Port Hedland Cargo Statistics - Australia Port Hedland Total Exports (tonnes) - Iron Ore Exports (tonnes)</v>
      </c>
      <c r="B46" t="str">
        <f>"AHEDEXIO Index"</f>
        <v>AHEDEXIO Index</v>
      </c>
      <c r="C46" t="str">
        <f t="shared" si="3"/>
        <v>PX385</v>
      </c>
      <c r="D46" t="str">
        <f t="shared" si="4"/>
        <v>INTERVAL_SUM</v>
      </c>
      <c r="E46" t="str">
        <f t="shared" si="5"/>
        <v>Dynamic</v>
      </c>
      <c r="F46" t="str">
        <f ca="1">IF(AND(ISNUMBER($F$106),$B$69=1),$F$106,HLOOKUP(INDIRECT(ADDRESS(2,COLUMN())),OFFSET($CL$2,0,0,ROW()-1,84),ROW()-1,FALSE))</f>
        <v/>
      </c>
      <c r="G46">
        <f ca="1">IF(AND(ISNUMBER($G$106),$B$69=1),$G$106,HLOOKUP(INDIRECT(ADDRESS(2,COLUMN())),OFFSET($CL$2,0,0,ROW()-1,84),ROW()-1,FALSE))</f>
        <v>45074671</v>
      </c>
      <c r="H46">
        <f ca="1">IF(AND(ISNUMBER($H$106),$B$69=1),$H$106,HLOOKUP(INDIRECT(ADDRESS(2,COLUMN())),OFFSET($CL$2,0,0,ROW()-1,84),ROW()-1,FALSE))</f>
        <v>47817110</v>
      </c>
      <c r="I46">
        <f ca="1">IF(AND(ISNUMBER($I$106),$B$69=1),$I$106,HLOOKUP(INDIRECT(ADDRESS(2,COLUMN())),OFFSET($CL$2,0,0,ROW()-1,84),ROW()-1,FALSE))</f>
        <v>43742907</v>
      </c>
      <c r="J46">
        <f ca="1">IF(AND(ISNUMBER($J$106),$B$69=1),$J$106,HLOOKUP(INDIRECT(ADDRESS(2,COLUMN())),OFFSET($CL$2,0,0,ROW()-1,84),ROW()-1,FALSE))</f>
        <v>51929362</v>
      </c>
      <c r="K46">
        <f ca="1">IF(AND(ISNUMBER($K$106),$B$69=1),$K$106,HLOOKUP(INDIRECT(ADDRESS(2,COLUMN())),OFFSET($CL$2,0,0,ROW()-1,84),ROW()-1,FALSE))</f>
        <v>48165980</v>
      </c>
      <c r="L46">
        <f ca="1">IF(AND(ISNUMBER($L$106),$B$69=1),$L$106,HLOOKUP(INDIRECT(ADDRESS(2,COLUMN())),OFFSET($CL$2,0,0,ROW()-1,84),ROW()-1,FALSE))</f>
        <v>43267574</v>
      </c>
      <c r="M46">
        <f ca="1">IF(AND(ISNUMBER($M$106),$B$69=1),$M$106,HLOOKUP(INDIRECT(ADDRESS(2,COLUMN())),OFFSET($CL$2,0,0,ROW()-1,84),ROW()-1,FALSE))</f>
        <v>45762554</v>
      </c>
      <c r="N46">
        <f ca="1">IF(AND(ISNUMBER($N$106),$B$69=1),$N$106,HLOOKUP(INDIRECT(ADDRESS(2,COLUMN())),OFFSET($CL$2,0,0,ROW()-1,84),ROW()-1,FALSE))</f>
        <v>38811009</v>
      </c>
      <c r="O46">
        <f ca="1">IF(AND(ISNUMBER($O$106),$B$69=1),$O$106,HLOOKUP(INDIRECT(ADDRESS(2,COLUMN())),OFFSET($CL$2,0,0,ROW()-1,84),ROW()-1,FALSE))</f>
        <v>47998375</v>
      </c>
      <c r="P46">
        <f ca="1">IF(AND(ISNUMBER($P$106),$B$69=1),$P$106,HLOOKUP(INDIRECT(ADDRESS(2,COLUMN())),OFFSET($CL$2,0,0,ROW()-1,84),ROW()-1,FALSE))</f>
        <v>49273659</v>
      </c>
      <c r="Q46">
        <f ca="1">IF(AND(ISNUMBER($Q$106),$B$69=1),$Q$106,HLOOKUP(INDIRECT(ADDRESS(2,COLUMN())),OFFSET($CL$2,0,0,ROW()-1,84),ROW()-1,FALSE))</f>
        <v>47584357</v>
      </c>
      <c r="R46">
        <f ca="1">IF(AND(ISNUMBER($R$106),$B$69=1),$R$106,HLOOKUP(INDIRECT(ADDRESS(2,COLUMN())),OFFSET($CL$2,0,0,ROW()-1,84),ROW()-1,FALSE))</f>
        <v>46898750</v>
      </c>
      <c r="S46">
        <f ca="1">IF(AND(ISNUMBER($S$106),$B$69=1),$S$106,HLOOKUP(INDIRECT(ADDRESS(2,COLUMN())),OFFSET($CL$2,0,0,ROW()-1,84),ROW()-1,FALSE))</f>
        <v>45962271</v>
      </c>
      <c r="T46">
        <f ca="1">IF(AND(ISNUMBER($T$106),$B$69=1),$T$106,HLOOKUP(INDIRECT(ADDRESS(2,COLUMN())),OFFSET($CL$2,0,0,ROW()-1,84),ROW()-1,FALSE))</f>
        <v>45835837</v>
      </c>
      <c r="U46">
        <f ca="1">IF(AND(ISNUMBER($U$106),$B$69=1),$U$106,HLOOKUP(INDIRECT(ADDRESS(2,COLUMN())),OFFSET($CL$2,0,0,ROW()-1,84),ROW()-1,FALSE))</f>
        <v>46925995</v>
      </c>
      <c r="V46">
        <f ca="1">IF(AND(ISNUMBER($V$106),$B$69=1),$V$106,HLOOKUP(INDIRECT(ADDRESS(2,COLUMN())),OFFSET($CL$2,0,0,ROW()-1,84),ROW()-1,FALSE))</f>
        <v>49767494</v>
      </c>
      <c r="W46">
        <f ca="1">IF(AND(ISNUMBER($W$106),$B$69=1),$W$106,HLOOKUP(INDIRECT(ADDRESS(2,COLUMN())),OFFSET($CL$2,0,0,ROW()-1,84),ROW()-1,FALSE))</f>
        <v>47729344</v>
      </c>
      <c r="X46">
        <f ca="1">IF(AND(ISNUMBER($X$106),$B$69=1),$X$106,HLOOKUP(INDIRECT(ADDRESS(2,COLUMN())),OFFSET($CL$2,0,0,ROW()-1,84),ROW()-1,FALSE))</f>
        <v>45781799</v>
      </c>
      <c r="Y46">
        <f ca="1">IF(AND(ISNUMBER($Y$106),$B$69=1),$Y$106,HLOOKUP(INDIRECT(ADDRESS(2,COLUMN())),OFFSET($CL$2,0,0,ROW()-1,84),ROW()-1,FALSE))</f>
        <v>46500000</v>
      </c>
      <c r="Z46">
        <f ca="1">IF(AND(ISNUMBER($Z$106),$B$69=1),$Z$106,HLOOKUP(INDIRECT(ADDRESS(2,COLUMN())),OFFSET($CL$2,0,0,ROW()-1,84),ROW()-1,FALSE))</f>
        <v>39439426</v>
      </c>
      <c r="AA46">
        <f ca="1">IF(AND(ISNUMBER($AA$106),$B$69=1),$AA$106,HLOOKUP(INDIRECT(ADDRESS(2,COLUMN())),OFFSET($CL$2,0,0,ROW()-1,84),ROW()-1,FALSE))</f>
        <v>47991651</v>
      </c>
      <c r="AB46">
        <f ca="1">IF(AND(ISNUMBER($AB$106),$B$69=1),$AB$106,HLOOKUP(INDIRECT(ADDRESS(2,COLUMN())),OFFSET($CL$2,0,0,ROW()-1,84),ROW()-1,FALSE))</f>
        <v>50841424</v>
      </c>
      <c r="AC46">
        <f ca="1">IF(AND(ISNUMBER($AC$106),$B$69=1),$AC$106,HLOOKUP(INDIRECT(ADDRESS(2,COLUMN())),OFFSET($CL$2,0,0,ROW()-1,84),ROW()-1,FALSE))</f>
        <v>43393744</v>
      </c>
      <c r="AD46">
        <f ca="1">IF(AND(ISNUMBER($AD$106),$B$69=1),$AD$106,HLOOKUP(INDIRECT(ADDRESS(2,COLUMN())),OFFSET($CL$2,0,0,ROW()-1,84),ROW()-1,FALSE))</f>
        <v>46697479</v>
      </c>
      <c r="AE46">
        <f ca="1">IF(AND(ISNUMBER($AE$106),$B$69=1),$AE$106,HLOOKUP(INDIRECT(ADDRESS(2,COLUMN())),OFFSET($CL$2,0,0,ROW()-1,84),ROW()-1,FALSE))</f>
        <v>46983754</v>
      </c>
      <c r="AF46">
        <f ca="1">IF(AND(ISNUMBER($AF$106),$B$69=1),$AF$106,HLOOKUP(INDIRECT(ADDRESS(2,COLUMN())),OFFSET($CL$2,0,0,ROW()-1,84),ROW()-1,FALSE))</f>
        <v>43924746</v>
      </c>
      <c r="AG46">
        <f ca="1">IF(AND(ISNUMBER($AG$106),$B$69=1),$AG$106,HLOOKUP(INDIRECT(ADDRESS(2,COLUMN())),OFFSET($CL$2,0,0,ROW()-1,84),ROW()-1,FALSE))</f>
        <v>44298480</v>
      </c>
      <c r="AH46">
        <f ca="1">IF(AND(ISNUMBER($AH$106),$B$69=1),$AH$106,HLOOKUP(INDIRECT(ADDRESS(2,COLUMN())),OFFSET($CL$2,0,0,ROW()-1,84),ROW()-1,FALSE))</f>
        <v>50376450</v>
      </c>
      <c r="AI46">
        <f ca="1">IF(AND(ISNUMBER($AI$106),$B$69=1),$AI$106,HLOOKUP(INDIRECT(ADDRESS(2,COLUMN())),OFFSET($CL$2,0,0,ROW()-1,84),ROW()-1,FALSE))</f>
        <v>48048913</v>
      </c>
      <c r="AJ46">
        <f ca="1">IF(AND(ISNUMBER($AJ$106),$B$69=1),$AJ$106,HLOOKUP(INDIRECT(ADDRESS(2,COLUMN())),OFFSET($CL$2,0,0,ROW()-1,84),ROW()-1,FALSE))</f>
        <v>45091362</v>
      </c>
      <c r="AK46">
        <f ca="1">IF(AND(ISNUMBER($AK$106),$B$69=1),$AK$106,HLOOKUP(INDIRECT(ADDRESS(2,COLUMN())),OFFSET($CL$2,0,0,ROW()-1,84),ROW()-1,FALSE))</f>
        <v>46672275</v>
      </c>
      <c r="AL46">
        <f ca="1">IF(AND(ISNUMBER($AL$106),$B$69=1),$AL$106,HLOOKUP(INDIRECT(ADDRESS(2,COLUMN())),OFFSET($CL$2,0,0,ROW()-1,84),ROW()-1,FALSE))</f>
        <v>37487992</v>
      </c>
      <c r="AM46">
        <f ca="1">IF(AND(ISNUMBER($AM$106),$B$69=1),$AM$106,HLOOKUP(INDIRECT(ADDRESS(2,COLUMN())),OFFSET($CL$2,0,0,ROW()-1,84),ROW()-1,FALSE))</f>
        <v>42230410</v>
      </c>
      <c r="AN46">
        <f ca="1">IF(AND(ISNUMBER($AN$106),$B$69=1),$AN$106,HLOOKUP(INDIRECT(ADDRESS(2,COLUMN())),OFFSET($CL$2,0,0,ROW()-1,84),ROW()-1,FALSE))</f>
        <v>46498710</v>
      </c>
      <c r="AO46">
        <f ca="1">IF(AND(ISNUMBER($AO$106),$B$69=1),$AO$106,HLOOKUP(INDIRECT(ADDRESS(2,COLUMN())),OFFSET($CL$2,0,0,ROW()-1,84),ROW()-1,FALSE))</f>
        <v>41625299</v>
      </c>
      <c r="AP46">
        <f ca="1">IF(AND(ISNUMBER($AP$106),$B$69=1),$AP$106,HLOOKUP(INDIRECT(ADDRESS(2,COLUMN())),OFFSET($CL$2,0,0,ROW()-1,84),ROW()-1,FALSE))</f>
        <v>46477183</v>
      </c>
      <c r="AQ46">
        <f ca="1">IF(AND(ISNUMBER($AQ$106),$B$69=1),$AQ$106,HLOOKUP(INDIRECT(ADDRESS(2,COLUMN())),OFFSET($CL$2,0,0,ROW()-1,84),ROW()-1,FALSE))</f>
        <v>45570414</v>
      </c>
      <c r="AR46">
        <f ca="1">IF(AND(ISNUMBER($AR$106),$B$69=1),$AR$106,HLOOKUP(INDIRECT(ADDRESS(2,COLUMN())),OFFSET($CL$2,0,0,ROW()-1,84),ROW()-1,FALSE))</f>
        <v>46072594</v>
      </c>
      <c r="AS46">
        <f ca="1">IF(AND(ISNUMBER($AS$106),$B$69=1),$AS$106,HLOOKUP(INDIRECT(ADDRESS(2,COLUMN())),OFFSET($CL$2,0,0,ROW()-1,84),ROW()-1,FALSE))</f>
        <v>43641597</v>
      </c>
      <c r="AT46">
        <f ca="1">IF(AND(ISNUMBER($AT$106),$B$69=1),$AT$106,HLOOKUP(INDIRECT(ADDRESS(2,COLUMN())),OFFSET($CL$2,0,0,ROW()-1,84),ROW()-1,FALSE))</f>
        <v>51793575</v>
      </c>
      <c r="AU46">
        <f ca="1">IF(AND(ISNUMBER($AU$106),$B$69=1),$AU$106,HLOOKUP(INDIRECT(ADDRESS(2,COLUMN())),OFFSET($CL$2,0,0,ROW()-1,84),ROW()-1,FALSE))</f>
        <v>47782064</v>
      </c>
      <c r="AV46">
        <f ca="1">IF(AND(ISNUMBER($AV$106),$B$69=1),$AV$106,HLOOKUP(INDIRECT(ADDRESS(2,COLUMN())),OFFSET($CL$2,0,0,ROW()-1,84),ROW()-1,FALSE))</f>
        <v>45262519</v>
      </c>
      <c r="AW46">
        <f ca="1">IF(AND(ISNUMBER($AW$106),$B$69=1),$AW$106,HLOOKUP(INDIRECT(ADDRESS(2,COLUMN())),OFFSET($CL$2,0,0,ROW()-1,84),ROW()-1,FALSE))</f>
        <v>46729533</v>
      </c>
      <c r="AX46">
        <f ca="1">IF(AND(ISNUMBER($AX$106),$B$69=1),$AX$106,HLOOKUP(INDIRECT(ADDRESS(2,COLUMN())),OFFSET($CL$2,0,0,ROW()-1,84),ROW()-1,FALSE))</f>
        <v>38792290</v>
      </c>
      <c r="AY46">
        <f ca="1">IF(AND(ISNUMBER($AY$106),$B$69=1),$AY$106,HLOOKUP(INDIRECT(ADDRESS(2,COLUMN())),OFFSET($CL$2,0,0,ROW()-1,84),ROW()-1,FALSE))</f>
        <v>40490606</v>
      </c>
      <c r="AZ46">
        <f ca="1">IF(AND(ISNUMBER($AZ$106),$B$69=1),$AZ$106,HLOOKUP(INDIRECT(ADDRESS(2,COLUMN())),OFFSET($CL$2,0,0,ROW()-1,84),ROW()-1,FALSE))</f>
        <v>47374514</v>
      </c>
      <c r="BA46">
        <f ca="1">IF(AND(ISNUMBER($BA$106),$B$69=1),$BA$106,HLOOKUP(INDIRECT(ADDRESS(2,COLUMN())),OFFSET($CL$2,0,0,ROW()-1,84),ROW()-1,FALSE))</f>
        <v>43303427</v>
      </c>
      <c r="BB46">
        <f ca="1">IF(AND(ISNUMBER($BB$106),$B$69=1),$BB$106,HLOOKUP(INDIRECT(ADDRESS(2,COLUMN())),OFFSET($CL$2,0,0,ROW()-1,84),ROW()-1,FALSE))</f>
        <v>42186810</v>
      </c>
      <c r="BC46">
        <f ca="1">IF(AND(ISNUMBER($BC$106),$B$69=1),$BC$106,HLOOKUP(INDIRECT(ADDRESS(2,COLUMN())),OFFSET($CL$2,0,0,ROW()-1,84),ROW()-1,FALSE))</f>
        <v>41971932</v>
      </c>
      <c r="BD46">
        <f ca="1">IF(AND(ISNUMBER($BD$106),$B$69=1),$BD$106,HLOOKUP(INDIRECT(ADDRESS(2,COLUMN())),OFFSET($CL$2,0,0,ROW()-1,84),ROW()-1,FALSE))</f>
        <v>45435000</v>
      </c>
      <c r="BE46">
        <f ca="1">IF(AND(ISNUMBER($BE$106),$B$69=1),$BE$106,HLOOKUP(INDIRECT(ADDRESS(2,COLUMN())),OFFSET($CL$2,0,0,ROW()-1,84),ROW()-1,FALSE))</f>
        <v>41006078</v>
      </c>
      <c r="BF46">
        <f ca="1">IF(AND(ISNUMBER($BF$106),$B$69=1),$BF$106,HLOOKUP(INDIRECT(ADDRESS(2,COLUMN())),OFFSET($CL$2,0,0,ROW()-1,84),ROW()-1,FALSE))</f>
        <v>48936781</v>
      </c>
      <c r="BG46">
        <f ca="1">IF(AND(ISNUMBER($BG$106),$B$69=1),$BG$106,HLOOKUP(INDIRECT(ADDRESS(2,COLUMN())),OFFSET($CL$2,0,0,ROW()-1,84),ROW()-1,FALSE))</f>
        <v>46204099</v>
      </c>
      <c r="BH46">
        <f ca="1">IF(AND(ISNUMBER($BH$106),$B$69=1),$BH$106,HLOOKUP(INDIRECT(ADDRESS(2,COLUMN())),OFFSET($CL$2,0,0,ROW()-1,84),ROW()-1,FALSE))</f>
        <v>42001510</v>
      </c>
      <c r="BI46">
        <f ca="1">IF(AND(ISNUMBER($BI$106),$B$69=1),$BI$106,HLOOKUP(INDIRECT(ADDRESS(2,COLUMN())),OFFSET($CL$2,0,0,ROW()-1,84),ROW()-1,FALSE))</f>
        <v>36386165</v>
      </c>
      <c r="BJ46">
        <f ca="1">IF(AND(ISNUMBER($BJ$106),$B$69=1),$BJ$106,HLOOKUP(INDIRECT(ADDRESS(2,COLUMN())),OFFSET($CL$2,0,0,ROW()-1,84),ROW()-1,FALSE))</f>
        <v>39135453</v>
      </c>
      <c r="BK46">
        <f ca="1">IF(AND(ISNUMBER($BK$106),$B$69=1),$BK$106,HLOOKUP(INDIRECT(ADDRESS(2,COLUMN())),OFFSET($CL$2,0,0,ROW()-1,84),ROW()-1,FALSE))</f>
        <v>41765945</v>
      </c>
      <c r="BL46">
        <f ca="1">IF(AND(ISNUMBER($BL$106),$B$69=1),$BL$106,HLOOKUP(INDIRECT(ADDRESS(2,COLUMN())),OFFSET($CL$2,0,0,ROW()-1,84),ROW()-1,FALSE))</f>
        <v>45758600</v>
      </c>
      <c r="BM46">
        <f ca="1">IF(AND(ISNUMBER($BM$106),$B$69=1),$BM$106,HLOOKUP(INDIRECT(ADDRESS(2,COLUMN())),OFFSET($CL$2,0,0,ROW()-1,84),ROW()-1,FALSE))</f>
        <v>39390578</v>
      </c>
      <c r="BN46">
        <f ca="1">IF(AND(ISNUMBER($BN$106),$B$69=1),$BN$106,HLOOKUP(INDIRECT(ADDRESS(2,COLUMN())),OFFSET($CL$2,0,0,ROW()-1,84),ROW()-1,FALSE))</f>
        <v>40178332</v>
      </c>
      <c r="BO46">
        <f ca="1">IF(AND(ISNUMBER($BO$106),$B$69=1),$BO$106,HLOOKUP(INDIRECT(ADDRESS(2,COLUMN())),OFFSET($CL$2,0,0,ROW()-1,84),ROW()-1,FALSE))</f>
        <v>43514004</v>
      </c>
      <c r="BP46">
        <f ca="1">IF(AND(ISNUMBER($BP$106),$B$69=1),$BP$106,HLOOKUP(INDIRECT(ADDRESS(2,COLUMN())),OFFSET($CL$2,0,0,ROW()-1,84),ROW()-1,FALSE))</f>
        <v>42438938</v>
      </c>
      <c r="BQ46">
        <f ca="1">IF(AND(ISNUMBER($BQ$106),$B$69=1),$BQ$106,HLOOKUP(INDIRECT(ADDRESS(2,COLUMN())),OFFSET($CL$2,0,0,ROW()-1,84),ROW()-1,FALSE))</f>
        <v>40695923</v>
      </c>
      <c r="BR46">
        <f ca="1">IF(AND(ISNUMBER($BR$106),$B$69=1),$BR$106,HLOOKUP(INDIRECT(ADDRESS(2,COLUMN())),OFFSET($CL$2,0,0,ROW()-1,84),ROW()-1,FALSE))</f>
        <v>47289706</v>
      </c>
      <c r="BS46">
        <f ca="1">IF(AND(ISNUMBER($BS$106),$B$69=1),$BS$106,HLOOKUP(INDIRECT(ADDRESS(2,COLUMN())),OFFSET($CL$2,0,0,ROW()-1,84),ROW()-1,FALSE))</f>
        <v>44972492</v>
      </c>
      <c r="BT46">
        <f ca="1">IF(AND(ISNUMBER($BT$106),$B$69=1),$BT$106,HLOOKUP(INDIRECT(ADDRESS(2,COLUMN())),OFFSET($CL$2,0,0,ROW()-1,84),ROW()-1,FALSE))</f>
        <v>42607421</v>
      </c>
      <c r="BU46">
        <f ca="1">IF(AND(ISNUMBER($BU$106),$B$69=1),$BU$106,HLOOKUP(INDIRECT(ADDRESS(2,COLUMN())),OFFSET($CL$2,0,0,ROW()-1,84),ROW()-1,FALSE))</f>
        <v>42082040</v>
      </c>
      <c r="BV46">
        <f ca="1">IF(AND(ISNUMBER($BV$106),$B$69=1),$BV$106,HLOOKUP(INDIRECT(ADDRESS(2,COLUMN())),OFFSET($CL$2,0,0,ROW()-1,84),ROW()-1,FALSE))</f>
        <v>38500330</v>
      </c>
      <c r="BW46">
        <f ca="1">IF(AND(ISNUMBER($BW$106),$B$69=1),$BW$106,HLOOKUP(INDIRECT(ADDRESS(2,COLUMN())),OFFSET($CL$2,0,0,ROW()-1,84),ROW()-1,FALSE))</f>
        <v>41059531</v>
      </c>
      <c r="BX46">
        <f ca="1">IF(AND(ISNUMBER($BX$106),$B$69=1),$BX$106,HLOOKUP(INDIRECT(ADDRESS(2,COLUMN())),OFFSET($CL$2,0,0,ROW()-1,84),ROW()-1,FALSE))</f>
        <v>46190734</v>
      </c>
      <c r="BY46">
        <f ca="1">IF(AND(ISNUMBER($BY$106),$B$69=1),$BY$106,HLOOKUP(INDIRECT(ADDRESS(2,COLUMN())),OFFSET($CL$2,0,0,ROW()-1,84),ROW()-1,FALSE))</f>
        <v>41348109</v>
      </c>
      <c r="BZ46">
        <f ca="1">IF(AND(ISNUMBER($BZ$106),$B$69=1),$BZ$106,HLOOKUP(INDIRECT(ADDRESS(2,COLUMN())),OFFSET($CL$2,0,0,ROW()-1,84),ROW()-1,FALSE))</f>
        <v>41002937</v>
      </c>
      <c r="CA46">
        <f ca="1">IF(AND(ISNUMBER($CA$106),$B$69=1),$CA$106,HLOOKUP(INDIRECT(ADDRESS(2,COLUMN())),OFFSET($CL$2,0,0,ROW()-1,84),ROW()-1,FALSE))</f>
        <v>43371227</v>
      </c>
      <c r="CB46">
        <f ca="1">IF(AND(ISNUMBER($CB$106),$B$69=1),$CB$106,HLOOKUP(INDIRECT(ADDRESS(2,COLUMN())),OFFSET($CL$2,0,0,ROW()-1,84),ROW()-1,FALSE))</f>
        <v>42769588</v>
      </c>
      <c r="CC46">
        <f ca="1">IF(AND(ISNUMBER($CC$106),$B$69=1),$CC$106,HLOOKUP(INDIRECT(ADDRESS(2,COLUMN())),OFFSET($CL$2,0,0,ROW()-1,84),ROW()-1,FALSE))</f>
        <v>37882878</v>
      </c>
      <c r="CD46">
        <f ca="1">IF(AND(ISNUMBER($CD$106),$B$69=1),$CD$106,HLOOKUP(INDIRECT(ADDRESS(2,COLUMN())),OFFSET($CL$2,0,0,ROW()-1,84),ROW()-1,FALSE))</f>
        <v>43085456</v>
      </c>
      <c r="CE46">
        <f ca="1">IF(AND(ISNUMBER($CE$106),$B$69=1),$CE$106,HLOOKUP(INDIRECT(ADDRESS(2,COLUMN())),OFFSET($CL$2,0,0,ROW()-1,84),ROW()-1,FALSE))</f>
        <v>44076221</v>
      </c>
      <c r="CF46">
        <f ca="1">IF(AND(ISNUMBER($CF$106),$B$69=1),$CF$106,HLOOKUP(INDIRECT(ADDRESS(2,COLUMN())),OFFSET($CL$2,0,0,ROW()-1,84),ROW()-1,FALSE))</f>
        <v>42289364</v>
      </c>
      <c r="CG46">
        <f ca="1">IF(AND(ISNUMBER($CG$106),$B$69=1),$CG$106,HLOOKUP(INDIRECT(ADDRESS(2,COLUMN())),OFFSET($CL$2,0,0,ROW()-1,84),ROW()-1,FALSE))</f>
        <v>39089355</v>
      </c>
      <c r="CH46">
        <f ca="1">IF(AND(ISNUMBER($CH$106),$B$69=1),$CH$106,HLOOKUP(INDIRECT(ADDRESS(2,COLUMN())),OFFSET($CL$2,0,0,ROW()-1,84),ROW()-1,FALSE))</f>
        <v>35668175</v>
      </c>
      <c r="CI46">
        <f ca="1">IF(AND(ISNUMBER($CI$106),$B$69=1),$CI$106,HLOOKUP(INDIRECT(ADDRESS(2,COLUMN())),OFFSET($CL$2,0,0,ROW()-1,84),ROW()-1,FALSE))</f>
        <v>40297404</v>
      </c>
      <c r="CJ46">
        <f ca="1">IF(AND(ISNUMBER($CJ$106),$B$69=1),$CJ$106,HLOOKUP(INDIRECT(ADDRESS(2,COLUMN())),OFFSET($CL$2,0,0,ROW()-1,84),ROW()-1,FALSE))</f>
        <v>43937472</v>
      </c>
      <c r="CK46">
        <f ca="1">IF(AND(ISNUMBER($CK$106),$B$69=1),$CK$106,HLOOKUP(INDIRECT(ADDRESS(2,COLUMN())),OFFSET($CL$2,0,0,ROW()-1,84),ROW()-1,FALSE))</f>
        <v>41156294</v>
      </c>
      <c r="CL46" t="str">
        <f>""</f>
        <v/>
      </c>
      <c r="CM46">
        <f>45074671</f>
        <v>45074671</v>
      </c>
      <c r="CN46">
        <f>47817110</f>
        <v>47817110</v>
      </c>
      <c r="CO46">
        <f>43742907</f>
        <v>43742907</v>
      </c>
      <c r="CP46">
        <f>51929362</f>
        <v>51929362</v>
      </c>
      <c r="CQ46">
        <f>48165980</f>
        <v>48165980</v>
      </c>
      <c r="CR46">
        <f>43267574</f>
        <v>43267574</v>
      </c>
      <c r="CS46">
        <f>45762554</f>
        <v>45762554</v>
      </c>
      <c r="CT46">
        <f>38811009</f>
        <v>38811009</v>
      </c>
      <c r="CU46">
        <f>47998375</f>
        <v>47998375</v>
      </c>
      <c r="CV46">
        <f>49273659</f>
        <v>49273659</v>
      </c>
      <c r="CW46">
        <f>47584357</f>
        <v>47584357</v>
      </c>
      <c r="CX46">
        <f>46898750</f>
        <v>46898750</v>
      </c>
      <c r="CY46">
        <f>45962271</f>
        <v>45962271</v>
      </c>
      <c r="CZ46">
        <f>45835837</f>
        <v>45835837</v>
      </c>
      <c r="DA46">
        <f>46925995</f>
        <v>46925995</v>
      </c>
      <c r="DB46">
        <f>49767494</f>
        <v>49767494</v>
      </c>
      <c r="DC46">
        <f>47729344</f>
        <v>47729344</v>
      </c>
      <c r="DD46">
        <f>45781799</f>
        <v>45781799</v>
      </c>
      <c r="DE46">
        <f>46500000</f>
        <v>46500000</v>
      </c>
      <c r="DF46">
        <f>39439426</f>
        <v>39439426</v>
      </c>
      <c r="DG46">
        <f>47991651</f>
        <v>47991651</v>
      </c>
      <c r="DH46">
        <f>50841424</f>
        <v>50841424</v>
      </c>
      <c r="DI46">
        <f>43393744</f>
        <v>43393744</v>
      </c>
      <c r="DJ46">
        <f>46697479</f>
        <v>46697479</v>
      </c>
      <c r="DK46">
        <f>46983754</f>
        <v>46983754</v>
      </c>
      <c r="DL46">
        <f>43924746</f>
        <v>43924746</v>
      </c>
      <c r="DM46">
        <f>44298480</f>
        <v>44298480</v>
      </c>
      <c r="DN46">
        <f>50376450</f>
        <v>50376450</v>
      </c>
      <c r="DO46">
        <f>48048913</f>
        <v>48048913</v>
      </c>
      <c r="DP46">
        <f>45091362</f>
        <v>45091362</v>
      </c>
      <c r="DQ46">
        <f>46672275</f>
        <v>46672275</v>
      </c>
      <c r="DR46">
        <f>37487992</f>
        <v>37487992</v>
      </c>
      <c r="DS46">
        <f>42230410</f>
        <v>42230410</v>
      </c>
      <c r="DT46">
        <f>46498710</f>
        <v>46498710</v>
      </c>
      <c r="DU46">
        <f>41625299</f>
        <v>41625299</v>
      </c>
      <c r="DV46">
        <f>46477183</f>
        <v>46477183</v>
      </c>
      <c r="DW46">
        <f>45570414</f>
        <v>45570414</v>
      </c>
      <c r="DX46">
        <f>46072594</f>
        <v>46072594</v>
      </c>
      <c r="DY46">
        <f>43641597</f>
        <v>43641597</v>
      </c>
      <c r="DZ46">
        <f>51793575</f>
        <v>51793575</v>
      </c>
      <c r="EA46">
        <f>47782064</f>
        <v>47782064</v>
      </c>
      <c r="EB46">
        <f>45262519</f>
        <v>45262519</v>
      </c>
      <c r="EC46">
        <f>46729533</f>
        <v>46729533</v>
      </c>
      <c r="ED46">
        <f>38792290</f>
        <v>38792290</v>
      </c>
      <c r="EE46">
        <f>40490606</f>
        <v>40490606</v>
      </c>
      <c r="EF46">
        <f>47374514</f>
        <v>47374514</v>
      </c>
      <c r="EG46">
        <f>43303427</f>
        <v>43303427</v>
      </c>
      <c r="EH46">
        <f>42186810</f>
        <v>42186810</v>
      </c>
      <c r="EI46">
        <f>41971932</f>
        <v>41971932</v>
      </c>
      <c r="EJ46">
        <f>45435000</f>
        <v>45435000</v>
      </c>
      <c r="EK46">
        <f>41006078</f>
        <v>41006078</v>
      </c>
      <c r="EL46">
        <f>48936781</f>
        <v>48936781</v>
      </c>
      <c r="EM46">
        <f>46204099</f>
        <v>46204099</v>
      </c>
      <c r="EN46">
        <f>42001510</f>
        <v>42001510</v>
      </c>
      <c r="EO46">
        <f>36386165</f>
        <v>36386165</v>
      </c>
      <c r="EP46">
        <f>39135453</f>
        <v>39135453</v>
      </c>
      <c r="EQ46">
        <f>41765945</f>
        <v>41765945</v>
      </c>
      <c r="ER46">
        <f>45758600</f>
        <v>45758600</v>
      </c>
      <c r="ES46">
        <f>39390578</f>
        <v>39390578</v>
      </c>
      <c r="ET46">
        <f>40178332</f>
        <v>40178332</v>
      </c>
      <c r="EU46">
        <f>43514004</f>
        <v>43514004</v>
      </c>
      <c r="EV46">
        <f>42438938</f>
        <v>42438938</v>
      </c>
      <c r="EW46">
        <f>40695923</f>
        <v>40695923</v>
      </c>
      <c r="EX46">
        <f>47289706</f>
        <v>47289706</v>
      </c>
      <c r="EY46">
        <f>44972492</f>
        <v>44972492</v>
      </c>
      <c r="EZ46">
        <f>42607421</f>
        <v>42607421</v>
      </c>
      <c r="FA46">
        <f>42082040</f>
        <v>42082040</v>
      </c>
      <c r="FB46">
        <f>38500330</f>
        <v>38500330</v>
      </c>
      <c r="FC46">
        <f>41059531</f>
        <v>41059531</v>
      </c>
      <c r="FD46">
        <f>46190734</f>
        <v>46190734</v>
      </c>
      <c r="FE46">
        <f>41348109</f>
        <v>41348109</v>
      </c>
      <c r="FF46">
        <f>41002937</f>
        <v>41002937</v>
      </c>
      <c r="FG46">
        <f>43371227</f>
        <v>43371227</v>
      </c>
      <c r="FH46">
        <f>42769588</f>
        <v>42769588</v>
      </c>
      <c r="FI46">
        <f>37882878</f>
        <v>37882878</v>
      </c>
      <c r="FJ46">
        <f>43085456</f>
        <v>43085456</v>
      </c>
      <c r="FK46">
        <f>44076221</f>
        <v>44076221</v>
      </c>
      <c r="FL46">
        <f>42289364</f>
        <v>42289364</v>
      </c>
      <c r="FM46">
        <f>39089355</f>
        <v>39089355</v>
      </c>
      <c r="FN46">
        <f>35668175</f>
        <v>35668175</v>
      </c>
      <c r="FO46">
        <f>40297404</f>
        <v>40297404</v>
      </c>
      <c r="FP46">
        <f>43937472</f>
        <v>43937472</v>
      </c>
      <c r="FQ46">
        <f>41156294</f>
        <v>41156294</v>
      </c>
    </row>
    <row r="47" spans="1:173" x14ac:dyDescent="0.25">
      <c r="A47" t="str">
        <f>"Port Hedland Cargo Statistics - Australia Port Hedland Total Exports (tonnes) - Manganese Ore Exports (tonnes)"</f>
        <v>Port Hedland Cargo Statistics - Australia Port Hedland Total Exports (tonnes) - Manganese Ore Exports (tonnes)</v>
      </c>
      <c r="B47" t="str">
        <f>"AHEDEXMO Index"</f>
        <v>AHEDEXMO Index</v>
      </c>
      <c r="C47" t="str">
        <f t="shared" si="3"/>
        <v>PX385</v>
      </c>
      <c r="D47" t="str">
        <f t="shared" si="4"/>
        <v>INTERVAL_SUM</v>
      </c>
      <c r="E47" t="str">
        <f t="shared" si="5"/>
        <v>Dynamic</v>
      </c>
      <c r="F47" t="str">
        <f ca="1">IF(AND(ISNUMBER($F$107),$B$69=1),$F$107,HLOOKUP(INDIRECT(ADDRESS(2,COLUMN())),OFFSET($CL$2,0,0,ROW()-1,84),ROW()-1,FALSE))</f>
        <v/>
      </c>
      <c r="G47">
        <f ca="1">IF(AND(ISNUMBER($G$107),$B$69=1),$G$107,HLOOKUP(INDIRECT(ADDRESS(2,COLUMN())),OFFSET($CL$2,0,0,ROW()-1,84),ROW()-1,FALSE))</f>
        <v>175000</v>
      </c>
      <c r="H47">
        <f ca="1">IF(AND(ISNUMBER($H$107),$B$69=1),$H$107,HLOOKUP(INDIRECT(ADDRESS(2,COLUMN())),OFFSET($CL$2,0,0,ROW()-1,84),ROW()-1,FALSE))</f>
        <v>120941</v>
      </c>
      <c r="I47">
        <f ca="1">IF(AND(ISNUMBER($I$107),$B$69=1),$I$107,HLOOKUP(INDIRECT(ADDRESS(2,COLUMN())),OFFSET($CL$2,0,0,ROW()-1,84),ROW()-1,FALSE))</f>
        <v>95000</v>
      </c>
      <c r="J47">
        <f ca="1">IF(AND(ISNUMBER($J$107),$B$69=1),$J$107,HLOOKUP(INDIRECT(ADDRESS(2,COLUMN())),OFFSET($CL$2,0,0,ROW()-1,84),ROW()-1,FALSE))</f>
        <v>131686</v>
      </c>
      <c r="K47">
        <f ca="1">IF(AND(ISNUMBER($K$107),$B$69=1),$K$107,HLOOKUP(INDIRECT(ADDRESS(2,COLUMN())),OFFSET($CL$2,0,0,ROW()-1,84),ROW()-1,FALSE))</f>
        <v>0</v>
      </c>
      <c r="L47">
        <f ca="1">IF(AND(ISNUMBER($L$107),$B$69=1),$L$107,HLOOKUP(INDIRECT(ADDRESS(2,COLUMN())),OFFSET($CL$2,0,0,ROW()-1,84),ROW()-1,FALSE))</f>
        <v>154903</v>
      </c>
      <c r="M47">
        <f ca="1">IF(AND(ISNUMBER($M$107),$B$69=1),$M$107,HLOOKUP(INDIRECT(ADDRESS(2,COLUMN())),OFFSET($CL$2,0,0,ROW()-1,84),ROW()-1,FALSE))</f>
        <v>27500</v>
      </c>
      <c r="N47">
        <f ca="1">IF(AND(ISNUMBER($N$107),$B$69=1),$N$107,HLOOKUP(INDIRECT(ADDRESS(2,COLUMN())),OFFSET($CL$2,0,0,ROW()-1,84),ROW()-1,FALSE))</f>
        <v>78900</v>
      </c>
      <c r="O47">
        <f ca="1">IF(AND(ISNUMBER($O$107),$B$69=1),$O$107,HLOOKUP(INDIRECT(ADDRESS(2,COLUMN())),OFFSET($CL$2,0,0,ROW()-1,84),ROW()-1,FALSE))</f>
        <v>200286</v>
      </c>
      <c r="P47">
        <f ca="1">IF(AND(ISNUMBER($P$107),$B$69=1),$P$107,HLOOKUP(INDIRECT(ADDRESS(2,COLUMN())),OFFSET($CL$2,0,0,ROW()-1,84),ROW()-1,FALSE))</f>
        <v>215000</v>
      </c>
      <c r="Q47">
        <f ca="1">IF(AND(ISNUMBER($Q$107),$B$69=1),$Q$107,HLOOKUP(INDIRECT(ADDRESS(2,COLUMN())),OFFSET($CL$2,0,0,ROW()-1,84),ROW()-1,FALSE))</f>
        <v>100000</v>
      </c>
      <c r="R47">
        <f ca="1">IF(AND(ISNUMBER($R$107),$B$69=1),$R$107,HLOOKUP(INDIRECT(ADDRESS(2,COLUMN())),OFFSET($CL$2,0,0,ROW()-1,84),ROW()-1,FALSE))</f>
        <v>115384</v>
      </c>
      <c r="S47">
        <f ca="1">IF(AND(ISNUMBER($S$107),$B$69=1),$S$107,HLOOKUP(INDIRECT(ADDRESS(2,COLUMN())),OFFSET($CL$2,0,0,ROW()-1,84),ROW()-1,FALSE))</f>
        <v>72400</v>
      </c>
      <c r="T47">
        <f ca="1">IF(AND(ISNUMBER($T$107),$B$69=1),$T$107,HLOOKUP(INDIRECT(ADDRESS(2,COLUMN())),OFFSET($CL$2,0,0,ROW()-1,84),ROW()-1,FALSE))</f>
        <v>147940</v>
      </c>
      <c r="U47">
        <f ca="1">IF(AND(ISNUMBER($U$107),$B$69=1),$U$107,HLOOKUP(INDIRECT(ADDRESS(2,COLUMN())),OFFSET($CL$2,0,0,ROW()-1,84),ROW()-1,FALSE))</f>
        <v>75000</v>
      </c>
      <c r="V47">
        <f ca="1">IF(AND(ISNUMBER($V$107),$B$69=1),$V$107,HLOOKUP(INDIRECT(ADDRESS(2,COLUMN())),OFFSET($CL$2,0,0,ROW()-1,84),ROW()-1,FALSE))</f>
        <v>70000</v>
      </c>
      <c r="W47">
        <f ca="1">IF(AND(ISNUMBER($W$107),$B$69=1),$W$107,HLOOKUP(INDIRECT(ADDRESS(2,COLUMN())),OFFSET($CL$2,0,0,ROW()-1,84),ROW()-1,FALSE))</f>
        <v>107252</v>
      </c>
      <c r="X47">
        <f ca="1">IF(AND(ISNUMBER($X$107),$B$69=1),$X$107,HLOOKUP(INDIRECT(ADDRESS(2,COLUMN())),OFFSET($CL$2,0,0,ROW()-1,84),ROW()-1,FALSE))</f>
        <v>0</v>
      </c>
      <c r="Y47">
        <f ca="1">IF(AND(ISNUMBER($Y$107),$B$69=1),$Y$107,HLOOKUP(INDIRECT(ADDRESS(2,COLUMN())),OFFSET($CL$2,0,0,ROW()-1,84),ROW()-1,FALSE))</f>
        <v>211398</v>
      </c>
      <c r="Z47">
        <f ca="1">IF(AND(ISNUMBER($Z$107),$B$69=1),$Z$107,HLOOKUP(INDIRECT(ADDRESS(2,COLUMN())),OFFSET($CL$2,0,0,ROW()-1,84),ROW()-1,FALSE))</f>
        <v>33000</v>
      </c>
      <c r="AA47">
        <f ca="1">IF(AND(ISNUMBER($AA$107),$B$69=1),$AA$107,HLOOKUP(INDIRECT(ADDRESS(2,COLUMN())),OFFSET($CL$2,0,0,ROW()-1,84),ROW()-1,FALSE))</f>
        <v>102300</v>
      </c>
      <c r="AB47">
        <f ca="1">IF(AND(ISNUMBER($AB$107),$B$69=1),$AB$107,HLOOKUP(INDIRECT(ADDRESS(2,COLUMN())),OFFSET($CL$2,0,0,ROW()-1,84),ROW()-1,FALSE))</f>
        <v>219343</v>
      </c>
      <c r="AC47">
        <f ca="1">IF(AND(ISNUMBER($AC$107),$B$69=1),$AC$107,HLOOKUP(INDIRECT(ADDRESS(2,COLUMN())),OFFSET($CL$2,0,0,ROW()-1,84),ROW()-1,FALSE))</f>
        <v>73500</v>
      </c>
      <c r="AD47">
        <f ca="1">IF(AND(ISNUMBER($AD$107),$B$69=1),$AD$107,HLOOKUP(INDIRECT(ADDRESS(2,COLUMN())),OFFSET($CL$2,0,0,ROW()-1,84),ROW()-1,FALSE))</f>
        <v>178500</v>
      </c>
      <c r="AE47">
        <f ca="1">IF(AND(ISNUMBER($AE$107),$B$69=1),$AE$107,HLOOKUP(INDIRECT(ADDRESS(2,COLUMN())),OFFSET($CL$2,0,0,ROW()-1,84),ROW()-1,FALSE))</f>
        <v>73500</v>
      </c>
      <c r="AF47">
        <f ca="1">IF(AND(ISNUMBER($AF$107),$B$69=1),$AF$107,HLOOKUP(INDIRECT(ADDRESS(2,COLUMN())),OFFSET($CL$2,0,0,ROW()-1,84),ROW()-1,FALSE))</f>
        <v>131389</v>
      </c>
      <c r="AG47">
        <f ca="1">IF(AND(ISNUMBER($AG$107),$B$69=1),$AG$107,HLOOKUP(INDIRECT(ADDRESS(2,COLUMN())),OFFSET($CL$2,0,0,ROW()-1,84),ROW()-1,FALSE))</f>
        <v>171174</v>
      </c>
      <c r="AH47">
        <f ca="1">IF(AND(ISNUMBER($AH$107),$B$69=1),$AH$107,HLOOKUP(INDIRECT(ADDRESS(2,COLUMN())),OFFSET($CL$2,0,0,ROW()-1,84),ROW()-1,FALSE))</f>
        <v>75000</v>
      </c>
      <c r="AI47">
        <f ca="1">IF(AND(ISNUMBER($AI$107),$B$69=1),$AI$107,HLOOKUP(INDIRECT(ADDRESS(2,COLUMN())),OFFSET($CL$2,0,0,ROW()-1,84),ROW()-1,FALSE))</f>
        <v>0</v>
      </c>
      <c r="AJ47">
        <f ca="1">IF(AND(ISNUMBER($AJ$107),$B$69=1),$AJ$107,HLOOKUP(INDIRECT(ADDRESS(2,COLUMN())),OFFSET($CL$2,0,0,ROW()-1,84),ROW()-1,FALSE))</f>
        <v>152000</v>
      </c>
      <c r="AK47">
        <f ca="1">IF(AND(ISNUMBER($AK$107),$B$69=1),$AK$107,HLOOKUP(INDIRECT(ADDRESS(2,COLUMN())),OFFSET($CL$2,0,0,ROW()-1,84),ROW()-1,FALSE))</f>
        <v>108235</v>
      </c>
      <c r="AL47">
        <f ca="1">IF(AND(ISNUMBER($AL$107),$B$69=1),$AL$107,HLOOKUP(INDIRECT(ADDRESS(2,COLUMN())),OFFSET($CL$2,0,0,ROW()-1,84),ROW()-1,FALSE))</f>
        <v>0</v>
      </c>
      <c r="AM47">
        <f ca="1">IF(AND(ISNUMBER($AM$107),$B$69=1),$AM$107,HLOOKUP(INDIRECT(ADDRESS(2,COLUMN())),OFFSET($CL$2,0,0,ROW()-1,84),ROW()-1,FALSE))</f>
        <v>100000</v>
      </c>
      <c r="AN47">
        <f ca="1">IF(AND(ISNUMBER($AN$107),$B$69=1),$AN$107,HLOOKUP(INDIRECT(ADDRESS(2,COLUMN())),OFFSET($CL$2,0,0,ROW()-1,84),ROW()-1,FALSE))</f>
        <v>220640</v>
      </c>
      <c r="AO47">
        <f ca="1">IF(AND(ISNUMBER($AO$107),$B$69=1),$AO$107,HLOOKUP(INDIRECT(ADDRESS(2,COLUMN())),OFFSET($CL$2,0,0,ROW()-1,84),ROW()-1,FALSE))</f>
        <v>0</v>
      </c>
      <c r="AP47">
        <f ca="1">IF(AND(ISNUMBER($AP$107),$B$69=1),$AP$107,HLOOKUP(INDIRECT(ADDRESS(2,COLUMN())),OFFSET($CL$2,0,0,ROW()-1,84),ROW()-1,FALSE))</f>
        <v>220500</v>
      </c>
      <c r="AQ47">
        <f ca="1">IF(AND(ISNUMBER($AQ$107),$B$69=1),$AQ$107,HLOOKUP(INDIRECT(ADDRESS(2,COLUMN())),OFFSET($CL$2,0,0,ROW()-1,84),ROW()-1,FALSE))</f>
        <v>103000</v>
      </c>
      <c r="AR47">
        <f ca="1">IF(AND(ISNUMBER($AR$107),$B$69=1),$AR$107,HLOOKUP(INDIRECT(ADDRESS(2,COLUMN())),OFFSET($CL$2,0,0,ROW()-1,84),ROW()-1,FALSE))</f>
        <v>0</v>
      </c>
      <c r="AS47">
        <f ca="1">IF(AND(ISNUMBER($AS$107),$B$69=1),$AS$107,HLOOKUP(INDIRECT(ADDRESS(2,COLUMN())),OFFSET($CL$2,0,0,ROW()-1,84),ROW()-1,FALSE))</f>
        <v>104200</v>
      </c>
      <c r="AT47">
        <f ca="1">IF(AND(ISNUMBER($AT$107),$B$69=1),$AT$107,HLOOKUP(INDIRECT(ADDRESS(2,COLUMN())),OFFSET($CL$2,0,0,ROW()-1,84),ROW()-1,FALSE))</f>
        <v>96800</v>
      </c>
      <c r="AU47">
        <f ca="1">IF(AND(ISNUMBER($AU$107),$B$69=1),$AU$107,HLOOKUP(INDIRECT(ADDRESS(2,COLUMN())),OFFSET($CL$2,0,0,ROW()-1,84),ROW()-1,FALSE))</f>
        <v>201125</v>
      </c>
      <c r="AV47">
        <f ca="1">IF(AND(ISNUMBER($AV$107),$B$69=1),$AV$107,HLOOKUP(INDIRECT(ADDRESS(2,COLUMN())),OFFSET($CL$2,0,0,ROW()-1,84),ROW()-1,FALSE))</f>
        <v>100000</v>
      </c>
      <c r="AW47">
        <f ca="1">IF(AND(ISNUMBER($AW$107),$B$69=1),$AW$107,HLOOKUP(INDIRECT(ADDRESS(2,COLUMN())),OFFSET($CL$2,0,0,ROW()-1,84),ROW()-1,FALSE))</f>
        <v>106400</v>
      </c>
      <c r="AX47">
        <f ca="1">IF(AND(ISNUMBER($AX$107),$B$69=1),$AX$107,HLOOKUP(INDIRECT(ADDRESS(2,COLUMN())),OFFSET($CL$2,0,0,ROW()-1,84),ROW()-1,FALSE))</f>
        <v>33000</v>
      </c>
      <c r="AY47">
        <f ca="1">IF(AND(ISNUMBER($AY$107),$B$69=1),$AY$107,HLOOKUP(INDIRECT(ADDRESS(2,COLUMN())),OFFSET($CL$2,0,0,ROW()-1,84),ROW()-1,FALSE))</f>
        <v>112288</v>
      </c>
      <c r="AZ47">
        <f ca="1">IF(AND(ISNUMBER($AZ$107),$B$69=1),$AZ$107,HLOOKUP(INDIRECT(ADDRESS(2,COLUMN())),OFFSET($CL$2,0,0,ROW()-1,84),ROW()-1,FALSE))</f>
        <v>112560</v>
      </c>
      <c r="BA47">
        <f ca="1">IF(AND(ISNUMBER($BA$107),$B$69=1),$BA$107,HLOOKUP(INDIRECT(ADDRESS(2,COLUMN())),OFFSET($CL$2,0,0,ROW()-1,84),ROW()-1,FALSE))</f>
        <v>112650</v>
      </c>
      <c r="BB47">
        <f ca="1">IF(AND(ISNUMBER($BB$107),$B$69=1),$BB$107,HLOOKUP(INDIRECT(ADDRESS(2,COLUMN())),OFFSET($CL$2,0,0,ROW()-1,84),ROW()-1,FALSE))</f>
        <v>112485</v>
      </c>
      <c r="BC47">
        <f ca="1">IF(AND(ISNUMBER($BC$107),$B$69=1),$BC$107,HLOOKUP(INDIRECT(ADDRESS(2,COLUMN())),OFFSET($CL$2,0,0,ROW()-1,84),ROW()-1,FALSE))</f>
        <v>112510</v>
      </c>
      <c r="BD47">
        <f ca="1">IF(AND(ISNUMBER($BD$107),$B$69=1),$BD$107,HLOOKUP(INDIRECT(ADDRESS(2,COLUMN())),OFFSET($CL$2,0,0,ROW()-1,84),ROW()-1,FALSE))</f>
        <v>111900</v>
      </c>
      <c r="BE47">
        <f ca="1">IF(AND(ISNUMBER($BE$107),$B$69=1),$BE$107,HLOOKUP(INDIRECT(ADDRESS(2,COLUMN())),OFFSET($CL$2,0,0,ROW()-1,84),ROW()-1,FALSE))</f>
        <v>156000</v>
      </c>
      <c r="BF47">
        <f ca="1">IF(AND(ISNUMBER($BF$107),$B$69=1),$BF$107,HLOOKUP(INDIRECT(ADDRESS(2,COLUMN())),OFFSET($CL$2,0,0,ROW()-1,84),ROW()-1,FALSE))</f>
        <v>110000</v>
      </c>
      <c r="BG47">
        <f ca="1">IF(AND(ISNUMBER($BG$107),$B$69=1),$BG$107,HLOOKUP(INDIRECT(ADDRESS(2,COLUMN())),OFFSET($CL$2,0,0,ROW()-1,84),ROW()-1,FALSE))</f>
        <v>110000</v>
      </c>
      <c r="BH47">
        <f ca="1">IF(AND(ISNUMBER($BH$107),$B$69=1),$BH$107,HLOOKUP(INDIRECT(ADDRESS(2,COLUMN())),OFFSET($CL$2,0,0,ROW()-1,84),ROW()-1,FALSE))</f>
        <v>110000</v>
      </c>
      <c r="BI47">
        <f ca="1">IF(AND(ISNUMBER($BI$107),$B$69=1),$BI$107,HLOOKUP(INDIRECT(ADDRESS(2,COLUMN())),OFFSET($CL$2,0,0,ROW()-1,84),ROW()-1,FALSE))</f>
        <v>108000</v>
      </c>
      <c r="BJ47">
        <f ca="1">IF(AND(ISNUMBER($BJ$107),$B$69=1),$BJ$107,HLOOKUP(INDIRECT(ADDRESS(2,COLUMN())),OFFSET($CL$2,0,0,ROW()-1,84),ROW()-1,FALSE))</f>
        <v>105000</v>
      </c>
      <c r="BK47">
        <f ca="1">IF(AND(ISNUMBER($BK$107),$B$69=1),$BK$107,HLOOKUP(INDIRECT(ADDRESS(2,COLUMN())),OFFSET($CL$2,0,0,ROW()-1,84),ROW()-1,FALSE))</f>
        <v>88000</v>
      </c>
      <c r="BL47">
        <f ca="1">IF(AND(ISNUMBER($BL$107),$B$69=1),$BL$107,HLOOKUP(INDIRECT(ADDRESS(2,COLUMN())),OFFSET($CL$2,0,0,ROW()-1,84),ROW()-1,FALSE))</f>
        <v>101000</v>
      </c>
      <c r="BM47">
        <f ca="1">IF(AND(ISNUMBER($BM$107),$B$69=1),$BM$107,HLOOKUP(INDIRECT(ADDRESS(2,COLUMN())),OFFSET($CL$2,0,0,ROW()-1,84),ROW()-1,FALSE))</f>
        <v>160250</v>
      </c>
      <c r="BN47">
        <f ca="1">IF(AND(ISNUMBER($BN$107),$B$69=1),$BN$107,HLOOKUP(INDIRECT(ADDRESS(2,COLUMN())),OFFSET($CL$2,0,0,ROW()-1,84),ROW()-1,FALSE))</f>
        <v>93167</v>
      </c>
      <c r="BO47">
        <f ca="1">IF(AND(ISNUMBER($BO$107),$B$69=1),$BO$107,HLOOKUP(INDIRECT(ADDRESS(2,COLUMN())),OFFSET($CL$2,0,0,ROW()-1,84),ROW()-1,FALSE))</f>
        <v>147000</v>
      </c>
      <c r="BP47">
        <f ca="1">IF(AND(ISNUMBER($BP$107),$B$69=1),$BP$107,HLOOKUP(INDIRECT(ADDRESS(2,COLUMN())),OFFSET($CL$2,0,0,ROW()-1,84),ROW()-1,FALSE))</f>
        <v>111660</v>
      </c>
      <c r="BQ47">
        <f ca="1">IF(AND(ISNUMBER($BQ$107),$B$69=1),$BQ$107,HLOOKUP(INDIRECT(ADDRESS(2,COLUMN())),OFFSET($CL$2,0,0,ROW()-1,84),ROW()-1,FALSE))</f>
        <v>110200</v>
      </c>
      <c r="BR47">
        <f ca="1">IF(AND(ISNUMBER($BR$107),$B$69=1),$BR$107,HLOOKUP(INDIRECT(ADDRESS(2,COLUMN())),OFFSET($CL$2,0,0,ROW()-1,84),ROW()-1,FALSE))</f>
        <v>127865</v>
      </c>
      <c r="BS47">
        <f ca="1">IF(AND(ISNUMBER($BS$107),$B$69=1),$BS$107,HLOOKUP(INDIRECT(ADDRESS(2,COLUMN())),OFFSET($CL$2,0,0,ROW()-1,84),ROW()-1,FALSE))</f>
        <v>101350</v>
      </c>
      <c r="BT47">
        <f ca="1">IF(AND(ISNUMBER($BT$107),$B$69=1),$BT$107,HLOOKUP(INDIRECT(ADDRESS(2,COLUMN())),OFFSET($CL$2,0,0,ROW()-1,84),ROW()-1,FALSE))</f>
        <v>200970</v>
      </c>
      <c r="BU47" t="str">
        <f ca="1">IF(AND(ISNUMBER($BU$107),$B$69=1),$BU$107,HLOOKUP(INDIRECT(ADDRESS(2,COLUMN())),OFFSET($CL$2,0,0,ROW()-1,84),ROW()-1,FALSE))</f>
        <v/>
      </c>
      <c r="BV47">
        <f ca="1">IF(AND(ISNUMBER($BV$107),$B$69=1),$BV$107,HLOOKUP(INDIRECT(ADDRESS(2,COLUMN())),OFFSET($CL$2,0,0,ROW()-1,84),ROW()-1,FALSE))</f>
        <v>74000</v>
      </c>
      <c r="BW47">
        <f ca="1">IF(AND(ISNUMBER($BW$107),$B$69=1),$BW$107,HLOOKUP(INDIRECT(ADDRESS(2,COLUMN())),OFFSET($CL$2,0,0,ROW()-1,84),ROW()-1,FALSE))</f>
        <v>61160</v>
      </c>
      <c r="BX47">
        <f ca="1">IF(AND(ISNUMBER($BX$107),$B$69=1),$BX$107,HLOOKUP(INDIRECT(ADDRESS(2,COLUMN())),OFFSET($CL$2,0,0,ROW()-1,84),ROW()-1,FALSE))</f>
        <v>80000</v>
      </c>
      <c r="BY47">
        <f ca="1">IF(AND(ISNUMBER($BY$107),$B$69=1),$BY$107,HLOOKUP(INDIRECT(ADDRESS(2,COLUMN())),OFFSET($CL$2,0,0,ROW()-1,84),ROW()-1,FALSE))</f>
        <v>71500</v>
      </c>
      <c r="BZ47">
        <f ca="1">IF(AND(ISNUMBER($BZ$107),$B$69=1),$BZ$107,HLOOKUP(INDIRECT(ADDRESS(2,COLUMN())),OFFSET($CL$2,0,0,ROW()-1,84),ROW()-1,FALSE))</f>
        <v>56668</v>
      </c>
      <c r="CA47">
        <f ca="1">IF(AND(ISNUMBER($CA$107),$B$69=1),$CA$107,HLOOKUP(INDIRECT(ADDRESS(2,COLUMN())),OFFSET($CL$2,0,0,ROW()-1,84),ROW()-1,FALSE))</f>
        <v>0</v>
      </c>
      <c r="CB47">
        <f ca="1">IF(AND(ISNUMBER($CB$107),$B$69=1),$CB$107,HLOOKUP(INDIRECT(ADDRESS(2,COLUMN())),OFFSET($CL$2,0,0,ROW()-1,84),ROW()-1,FALSE))</f>
        <v>106500</v>
      </c>
      <c r="CC47">
        <f ca="1">IF(AND(ISNUMBER($CC$107),$B$69=1),$CC$107,HLOOKUP(INDIRECT(ADDRESS(2,COLUMN())),OFFSET($CL$2,0,0,ROW()-1,84),ROW()-1,FALSE))</f>
        <v>41997</v>
      </c>
      <c r="CD47">
        <f ca="1">IF(AND(ISNUMBER($CD$107),$B$69=1),$CD$107,HLOOKUP(INDIRECT(ADDRESS(2,COLUMN())),OFFSET($CL$2,0,0,ROW()-1,84),ROW()-1,FALSE))</f>
        <v>75600</v>
      </c>
      <c r="CE47">
        <f ca="1">IF(AND(ISNUMBER($CE$107),$B$69=1),$CE$107,HLOOKUP(INDIRECT(ADDRESS(2,COLUMN())),OFFSET($CL$2,0,0,ROW()-1,84),ROW()-1,FALSE))</f>
        <v>0</v>
      </c>
      <c r="CF47">
        <f ca="1">IF(AND(ISNUMBER($CF$107),$B$69=1),$CF$107,HLOOKUP(INDIRECT(ADDRESS(2,COLUMN())),OFFSET($CL$2,0,0,ROW()-1,84),ROW()-1,FALSE))</f>
        <v>59997</v>
      </c>
      <c r="CG47">
        <f ca="1">IF(AND(ISNUMBER($CG$107),$B$69=1),$CG$107,HLOOKUP(INDIRECT(ADDRESS(2,COLUMN())),OFFSET($CL$2,0,0,ROW()-1,84),ROW()-1,FALSE))</f>
        <v>45953</v>
      </c>
      <c r="CH47">
        <f ca="1">IF(AND(ISNUMBER($CH$107),$B$69=1),$CH$107,HLOOKUP(INDIRECT(ADDRESS(2,COLUMN())),OFFSET($CL$2,0,0,ROW()-1,84),ROW()-1,FALSE))</f>
        <v>0</v>
      </c>
      <c r="CI47">
        <f ca="1">IF(AND(ISNUMBER($CI$107),$B$69=1),$CI$107,HLOOKUP(INDIRECT(ADDRESS(2,COLUMN())),OFFSET($CL$2,0,0,ROW()-1,84),ROW()-1,FALSE))</f>
        <v>0</v>
      </c>
      <c r="CJ47">
        <f ca="1">IF(AND(ISNUMBER($CJ$107),$B$69=1),$CJ$107,HLOOKUP(INDIRECT(ADDRESS(2,COLUMN())),OFFSET($CL$2,0,0,ROW()-1,84),ROW()-1,FALSE))</f>
        <v>44102</v>
      </c>
      <c r="CK47">
        <f ca="1">IF(AND(ISNUMBER($CK$107),$B$69=1),$CK$107,HLOOKUP(INDIRECT(ADDRESS(2,COLUMN())),OFFSET($CL$2,0,0,ROW()-1,84),ROW()-1,FALSE))</f>
        <v>36356</v>
      </c>
      <c r="CL47" t="str">
        <f>""</f>
        <v/>
      </c>
      <c r="CM47">
        <f>175000</f>
        <v>175000</v>
      </c>
      <c r="CN47">
        <f>120941</f>
        <v>120941</v>
      </c>
      <c r="CO47">
        <f>95000</f>
        <v>95000</v>
      </c>
      <c r="CP47">
        <f>131686</f>
        <v>131686</v>
      </c>
      <c r="CQ47">
        <f>0</f>
        <v>0</v>
      </c>
      <c r="CR47">
        <f>154903</f>
        <v>154903</v>
      </c>
      <c r="CS47">
        <f>27500</f>
        <v>27500</v>
      </c>
      <c r="CT47">
        <f>78900</f>
        <v>78900</v>
      </c>
      <c r="CU47">
        <f>200286</f>
        <v>200286</v>
      </c>
      <c r="CV47">
        <f>215000</f>
        <v>215000</v>
      </c>
      <c r="CW47">
        <f>100000</f>
        <v>100000</v>
      </c>
      <c r="CX47">
        <f>115384</f>
        <v>115384</v>
      </c>
      <c r="CY47">
        <f>72400</f>
        <v>72400</v>
      </c>
      <c r="CZ47">
        <f>147940</f>
        <v>147940</v>
      </c>
      <c r="DA47">
        <f>75000</f>
        <v>75000</v>
      </c>
      <c r="DB47">
        <f>70000</f>
        <v>70000</v>
      </c>
      <c r="DC47">
        <f>107252</f>
        <v>107252</v>
      </c>
      <c r="DD47">
        <f>0</f>
        <v>0</v>
      </c>
      <c r="DE47">
        <f>211398</f>
        <v>211398</v>
      </c>
      <c r="DF47">
        <f>33000</f>
        <v>33000</v>
      </c>
      <c r="DG47">
        <f>102300</f>
        <v>102300</v>
      </c>
      <c r="DH47">
        <f>219343</f>
        <v>219343</v>
      </c>
      <c r="DI47">
        <f>73500</f>
        <v>73500</v>
      </c>
      <c r="DJ47">
        <f>178500</f>
        <v>178500</v>
      </c>
      <c r="DK47">
        <f>73500</f>
        <v>73500</v>
      </c>
      <c r="DL47">
        <f>131389</f>
        <v>131389</v>
      </c>
      <c r="DM47">
        <f>171174</f>
        <v>171174</v>
      </c>
      <c r="DN47">
        <f>75000</f>
        <v>75000</v>
      </c>
      <c r="DO47">
        <f>0</f>
        <v>0</v>
      </c>
      <c r="DP47">
        <f>152000</f>
        <v>152000</v>
      </c>
      <c r="DQ47">
        <f>108235</f>
        <v>108235</v>
      </c>
      <c r="DR47">
        <f>0</f>
        <v>0</v>
      </c>
      <c r="DS47">
        <f>100000</f>
        <v>100000</v>
      </c>
      <c r="DT47">
        <f>220640</f>
        <v>220640</v>
      </c>
      <c r="DU47">
        <f>0</f>
        <v>0</v>
      </c>
      <c r="DV47">
        <f>220500</f>
        <v>220500</v>
      </c>
      <c r="DW47">
        <f>103000</f>
        <v>103000</v>
      </c>
      <c r="DX47">
        <f>0</f>
        <v>0</v>
      </c>
      <c r="DY47">
        <f>104200</f>
        <v>104200</v>
      </c>
      <c r="DZ47">
        <f>96800</f>
        <v>96800</v>
      </c>
      <c r="EA47">
        <f>201125</f>
        <v>201125</v>
      </c>
      <c r="EB47">
        <f>100000</f>
        <v>100000</v>
      </c>
      <c r="EC47">
        <f>106400</f>
        <v>106400</v>
      </c>
      <c r="ED47">
        <f>33000</f>
        <v>33000</v>
      </c>
      <c r="EE47">
        <f>112288</f>
        <v>112288</v>
      </c>
      <c r="EF47">
        <f>112560</f>
        <v>112560</v>
      </c>
      <c r="EG47">
        <f>112650</f>
        <v>112650</v>
      </c>
      <c r="EH47">
        <f>112485</f>
        <v>112485</v>
      </c>
      <c r="EI47">
        <f>112510</f>
        <v>112510</v>
      </c>
      <c r="EJ47">
        <f>111900</f>
        <v>111900</v>
      </c>
      <c r="EK47">
        <f>156000</f>
        <v>156000</v>
      </c>
      <c r="EL47">
        <f>110000</f>
        <v>110000</v>
      </c>
      <c r="EM47">
        <f>110000</f>
        <v>110000</v>
      </c>
      <c r="EN47">
        <f>110000</f>
        <v>110000</v>
      </c>
      <c r="EO47">
        <f>108000</f>
        <v>108000</v>
      </c>
      <c r="EP47">
        <f>105000</f>
        <v>105000</v>
      </c>
      <c r="EQ47">
        <f>88000</f>
        <v>88000</v>
      </c>
      <c r="ER47">
        <f>101000</f>
        <v>101000</v>
      </c>
      <c r="ES47">
        <f>160250</f>
        <v>160250</v>
      </c>
      <c r="ET47">
        <f>93167</f>
        <v>93167</v>
      </c>
      <c r="EU47">
        <f>147000</f>
        <v>147000</v>
      </c>
      <c r="EV47">
        <f>111660</f>
        <v>111660</v>
      </c>
      <c r="EW47">
        <f>110200</f>
        <v>110200</v>
      </c>
      <c r="EX47">
        <f>127865</f>
        <v>127865</v>
      </c>
      <c r="EY47">
        <f>101350</f>
        <v>101350</v>
      </c>
      <c r="EZ47">
        <f>200970</f>
        <v>200970</v>
      </c>
      <c r="FA47" t="str">
        <f>""</f>
        <v/>
      </c>
      <c r="FB47">
        <f>74000</f>
        <v>74000</v>
      </c>
      <c r="FC47">
        <f>61160</f>
        <v>61160</v>
      </c>
      <c r="FD47">
        <f>80000</f>
        <v>80000</v>
      </c>
      <c r="FE47">
        <f>71500</f>
        <v>71500</v>
      </c>
      <c r="FF47">
        <f>56668</f>
        <v>56668</v>
      </c>
      <c r="FG47">
        <f>0</f>
        <v>0</v>
      </c>
      <c r="FH47">
        <f>106500</f>
        <v>106500</v>
      </c>
      <c r="FI47">
        <f>41997</f>
        <v>41997</v>
      </c>
      <c r="FJ47">
        <f>75600</f>
        <v>75600</v>
      </c>
      <c r="FK47">
        <f>0</f>
        <v>0</v>
      </c>
      <c r="FL47">
        <f>59997</f>
        <v>59997</v>
      </c>
      <c r="FM47">
        <f>45953</f>
        <v>45953</v>
      </c>
      <c r="FN47">
        <f>0</f>
        <v>0</v>
      </c>
      <c r="FO47">
        <f>0</f>
        <v>0</v>
      </c>
      <c r="FP47">
        <f>44102</f>
        <v>44102</v>
      </c>
      <c r="FQ47">
        <f>36356</f>
        <v>36356</v>
      </c>
    </row>
    <row r="48" spans="1:173" x14ac:dyDescent="0.25">
      <c r="A48" t="str">
        <f>"Port Hedland Cargo Statistics - Australia Port Hedland Total Exports (tonnes) - Salt Exports (tonnes)"</f>
        <v>Port Hedland Cargo Statistics - Australia Port Hedland Total Exports (tonnes) - Salt Exports (tonnes)</v>
      </c>
      <c r="B48" t="str">
        <f>"AHEDEXSL Index"</f>
        <v>AHEDEXSL Index</v>
      </c>
      <c r="C48" t="str">
        <f t="shared" si="3"/>
        <v>PX385</v>
      </c>
      <c r="D48" t="str">
        <f t="shared" si="4"/>
        <v>INTERVAL_SUM</v>
      </c>
      <c r="E48" t="str">
        <f t="shared" si="5"/>
        <v>Dynamic</v>
      </c>
      <c r="F48" t="str">
        <f ca="1">IF(AND(ISNUMBER($F$108),$B$69=1),$F$108,HLOOKUP(INDIRECT(ADDRESS(2,COLUMN())),OFFSET($CL$2,0,0,ROW()-1,84),ROW()-1,FALSE))</f>
        <v/>
      </c>
      <c r="G48">
        <f ca="1">IF(AND(ISNUMBER($G$108),$B$69=1),$G$108,HLOOKUP(INDIRECT(ADDRESS(2,COLUMN())),OFFSET($CL$2,0,0,ROW()-1,84),ROW()-1,FALSE))</f>
        <v>125853</v>
      </c>
      <c r="H48">
        <f ca="1">IF(AND(ISNUMBER($H$108),$B$69=1),$H$108,HLOOKUP(INDIRECT(ADDRESS(2,COLUMN())),OFFSET($CL$2,0,0,ROW()-1,84),ROW()-1,FALSE))</f>
        <v>354996</v>
      </c>
      <c r="I48">
        <f ca="1">IF(AND(ISNUMBER($I$108),$B$69=1),$I$108,HLOOKUP(INDIRECT(ADDRESS(2,COLUMN())),OFFSET($CL$2,0,0,ROW()-1,84),ROW()-1,FALSE))</f>
        <v>395401</v>
      </c>
      <c r="J48">
        <f ca="1">IF(AND(ISNUMBER($J$108),$B$69=1),$J$108,HLOOKUP(INDIRECT(ADDRESS(2,COLUMN())),OFFSET($CL$2,0,0,ROW()-1,84),ROW()-1,FALSE))</f>
        <v>259935</v>
      </c>
      <c r="K48">
        <f ca="1">IF(AND(ISNUMBER($K$108),$B$69=1),$K$108,HLOOKUP(INDIRECT(ADDRESS(2,COLUMN())),OFFSET($CL$2,0,0,ROW()-1,84),ROW()-1,FALSE))</f>
        <v>157991</v>
      </c>
      <c r="L48">
        <f ca="1">IF(AND(ISNUMBER($L$108),$B$69=1),$L$108,HLOOKUP(INDIRECT(ADDRESS(2,COLUMN())),OFFSET($CL$2,0,0,ROW()-1,84),ROW()-1,FALSE))</f>
        <v>126746</v>
      </c>
      <c r="M48">
        <f ca="1">IF(AND(ISNUMBER($M$108),$B$69=1),$M$108,HLOOKUP(INDIRECT(ADDRESS(2,COLUMN())),OFFSET($CL$2,0,0,ROW()-1,84),ROW()-1,FALSE))</f>
        <v>329245</v>
      </c>
      <c r="N48">
        <f ca="1">IF(AND(ISNUMBER($N$108),$B$69=1),$N$108,HLOOKUP(INDIRECT(ADDRESS(2,COLUMN())),OFFSET($CL$2,0,0,ROW()-1,84),ROW()-1,FALSE))</f>
        <v>135498</v>
      </c>
      <c r="O48">
        <f ca="1">IF(AND(ISNUMBER($O$108),$B$69=1),$O$108,HLOOKUP(INDIRECT(ADDRESS(2,COLUMN())),OFFSET($CL$2,0,0,ROW()-1,84),ROW()-1,FALSE))</f>
        <v>251030</v>
      </c>
      <c r="P48">
        <f ca="1">IF(AND(ISNUMBER($P$108),$B$69=1),$P$108,HLOOKUP(INDIRECT(ADDRESS(2,COLUMN())),OFFSET($CL$2,0,0,ROW()-1,84),ROW()-1,FALSE))</f>
        <v>377581</v>
      </c>
      <c r="Q48">
        <f ca="1">IF(AND(ISNUMBER($Q$108),$B$69=1),$Q$108,HLOOKUP(INDIRECT(ADDRESS(2,COLUMN())),OFFSET($CL$2,0,0,ROW()-1,84),ROW()-1,FALSE))</f>
        <v>239481</v>
      </c>
      <c r="R48">
        <f ca="1">IF(AND(ISNUMBER($R$108),$B$69=1),$R$108,HLOOKUP(INDIRECT(ADDRESS(2,COLUMN())),OFFSET($CL$2,0,0,ROW()-1,84),ROW()-1,FALSE))</f>
        <v>223348</v>
      </c>
      <c r="S48">
        <f ca="1">IF(AND(ISNUMBER($S$108),$B$69=1),$S$108,HLOOKUP(INDIRECT(ADDRESS(2,COLUMN())),OFFSET($CL$2,0,0,ROW()-1,84),ROW()-1,FALSE))</f>
        <v>0</v>
      </c>
      <c r="T48">
        <f ca="1">IF(AND(ISNUMBER($T$108),$B$69=1),$T$108,HLOOKUP(INDIRECT(ADDRESS(2,COLUMN())),OFFSET($CL$2,0,0,ROW()-1,84),ROW()-1,FALSE))</f>
        <v>413256</v>
      </c>
      <c r="U48">
        <f ca="1">IF(AND(ISNUMBER($U$108),$B$69=1),$U$108,HLOOKUP(INDIRECT(ADDRESS(2,COLUMN())),OFFSET($CL$2,0,0,ROW()-1,84),ROW()-1,FALSE))</f>
        <v>307529</v>
      </c>
      <c r="V48">
        <f ca="1">IF(AND(ISNUMBER($V$108),$B$69=1),$V$108,HLOOKUP(INDIRECT(ADDRESS(2,COLUMN())),OFFSET($CL$2,0,0,ROW()-1,84),ROW()-1,FALSE))</f>
        <v>188736</v>
      </c>
      <c r="W48">
        <f ca="1">IF(AND(ISNUMBER($W$108),$B$69=1),$W$108,HLOOKUP(INDIRECT(ADDRESS(2,COLUMN())),OFFSET($CL$2,0,0,ROW()-1,84),ROW()-1,FALSE))</f>
        <v>425538</v>
      </c>
      <c r="X48">
        <f ca="1">IF(AND(ISNUMBER($X$108),$B$69=1),$X$108,HLOOKUP(INDIRECT(ADDRESS(2,COLUMN())),OFFSET($CL$2,0,0,ROW()-1,84),ROW()-1,FALSE))</f>
        <v>215120</v>
      </c>
      <c r="Y48">
        <f ca="1">IF(AND(ISNUMBER($Y$108),$B$69=1),$Y$108,HLOOKUP(INDIRECT(ADDRESS(2,COLUMN())),OFFSET($CL$2,0,0,ROW()-1,84),ROW()-1,FALSE))</f>
        <v>332637</v>
      </c>
      <c r="Z48">
        <f ca="1">IF(AND(ISNUMBER($Z$108),$B$69=1),$Z$108,HLOOKUP(INDIRECT(ADDRESS(2,COLUMN())),OFFSET($CL$2,0,0,ROW()-1,84),ROW()-1,FALSE))</f>
        <v>221024</v>
      </c>
      <c r="AA48">
        <f ca="1">IF(AND(ISNUMBER($AA$108),$B$69=1),$AA$108,HLOOKUP(INDIRECT(ADDRESS(2,COLUMN())),OFFSET($CL$2,0,0,ROW()-1,84),ROW()-1,FALSE))</f>
        <v>306106</v>
      </c>
      <c r="AB48">
        <f ca="1">IF(AND(ISNUMBER($AB$108),$B$69=1),$AB$108,HLOOKUP(INDIRECT(ADDRESS(2,COLUMN())),OFFSET($CL$2,0,0,ROW()-1,84),ROW()-1,FALSE))</f>
        <v>257489</v>
      </c>
      <c r="AC48">
        <f ca="1">IF(AND(ISNUMBER($AC$108),$B$69=1),$AC$108,HLOOKUP(INDIRECT(ADDRESS(2,COLUMN())),OFFSET($CL$2,0,0,ROW()-1,84),ROW()-1,FALSE))</f>
        <v>217565</v>
      </c>
      <c r="AD48">
        <f ca="1">IF(AND(ISNUMBER($AD$108),$B$69=1),$AD$108,HLOOKUP(INDIRECT(ADDRESS(2,COLUMN())),OFFSET($CL$2,0,0,ROW()-1,84),ROW()-1,FALSE))</f>
        <v>233291</v>
      </c>
      <c r="AE48">
        <f ca="1">IF(AND(ISNUMBER($AE$108),$B$69=1),$AE$108,HLOOKUP(INDIRECT(ADDRESS(2,COLUMN())),OFFSET($CL$2,0,0,ROW()-1,84),ROW()-1,FALSE))</f>
        <v>137720</v>
      </c>
      <c r="AF48">
        <f ca="1">IF(AND(ISNUMBER($AF$108),$B$69=1),$AF$108,HLOOKUP(INDIRECT(ADDRESS(2,COLUMN())),OFFSET($CL$2,0,0,ROW()-1,84),ROW()-1,FALSE))</f>
        <v>348528</v>
      </c>
      <c r="AG48">
        <f ca="1">IF(AND(ISNUMBER($AG$108),$B$69=1),$AG$108,HLOOKUP(INDIRECT(ADDRESS(2,COLUMN())),OFFSET($CL$2,0,0,ROW()-1,84),ROW()-1,FALSE))</f>
        <v>270026</v>
      </c>
      <c r="AH48">
        <f ca="1">IF(AND(ISNUMBER($AH$108),$B$69=1),$AH$108,HLOOKUP(INDIRECT(ADDRESS(2,COLUMN())),OFFSET($CL$2,0,0,ROW()-1,84),ROW()-1,FALSE))</f>
        <v>127915</v>
      </c>
      <c r="AI48">
        <f ca="1">IF(AND(ISNUMBER($AI$108),$B$69=1),$AI$108,HLOOKUP(INDIRECT(ADDRESS(2,COLUMN())),OFFSET($CL$2,0,0,ROW()-1,84),ROW()-1,FALSE))</f>
        <v>176321</v>
      </c>
      <c r="AJ48">
        <f ca="1">IF(AND(ISNUMBER($AJ$108),$B$69=1),$AJ$108,HLOOKUP(INDIRECT(ADDRESS(2,COLUMN())),OFFSET($CL$2,0,0,ROW()-1,84),ROW()-1,FALSE))</f>
        <v>256643</v>
      </c>
      <c r="AK48">
        <f ca="1">IF(AND(ISNUMBER($AK$108),$B$69=1),$AK$108,HLOOKUP(INDIRECT(ADDRESS(2,COLUMN())),OFFSET($CL$2,0,0,ROW()-1,84),ROW()-1,FALSE))</f>
        <v>339795</v>
      </c>
      <c r="AL48">
        <f ca="1">IF(AND(ISNUMBER($AL$108),$B$69=1),$AL$108,HLOOKUP(INDIRECT(ADDRESS(2,COLUMN())),OFFSET($CL$2,0,0,ROW()-1,84),ROW()-1,FALSE))</f>
        <v>211956</v>
      </c>
      <c r="AM48">
        <f ca="1">IF(AND(ISNUMBER($AM$108),$B$69=1),$AM$108,HLOOKUP(INDIRECT(ADDRESS(2,COLUMN())),OFFSET($CL$2,0,0,ROW()-1,84),ROW()-1,FALSE))</f>
        <v>142448</v>
      </c>
      <c r="AN48">
        <f ca="1">IF(AND(ISNUMBER($AN$108),$B$69=1),$AN$108,HLOOKUP(INDIRECT(ADDRESS(2,COLUMN())),OFFSET($CL$2,0,0,ROW()-1,84),ROW()-1,FALSE))</f>
        <v>376757</v>
      </c>
      <c r="AO48">
        <f ca="1">IF(AND(ISNUMBER($AO$108),$B$69=1),$AO$108,HLOOKUP(INDIRECT(ADDRESS(2,COLUMN())),OFFSET($CL$2,0,0,ROW()-1,84),ROW()-1,FALSE))</f>
        <v>0</v>
      </c>
      <c r="AP48">
        <f ca="1">IF(AND(ISNUMBER($AP$108),$B$69=1),$AP$108,HLOOKUP(INDIRECT(ADDRESS(2,COLUMN())),OFFSET($CL$2,0,0,ROW()-1,84),ROW()-1,FALSE))</f>
        <v>198039</v>
      </c>
      <c r="AQ48">
        <f ca="1">IF(AND(ISNUMBER($AQ$108),$B$69=1),$AQ$108,HLOOKUP(INDIRECT(ADDRESS(2,COLUMN())),OFFSET($CL$2,0,0,ROW()-1,84),ROW()-1,FALSE))</f>
        <v>177535</v>
      </c>
      <c r="AR48">
        <f ca="1">IF(AND(ISNUMBER($AR$108),$B$69=1),$AR$108,HLOOKUP(INDIRECT(ADDRESS(2,COLUMN())),OFFSET($CL$2,0,0,ROW()-1,84),ROW()-1,FALSE))</f>
        <v>279566</v>
      </c>
      <c r="AS48">
        <f ca="1">IF(AND(ISNUMBER($AS$108),$B$69=1),$AS$108,HLOOKUP(INDIRECT(ADDRESS(2,COLUMN())),OFFSET($CL$2,0,0,ROW()-1,84),ROW()-1,FALSE))</f>
        <v>73250</v>
      </c>
      <c r="AT48">
        <f ca="1">IF(AND(ISNUMBER($AT$108),$B$69=1),$AT$108,HLOOKUP(INDIRECT(ADDRESS(2,COLUMN())),OFFSET($CL$2,0,0,ROW()-1,84),ROW()-1,FALSE))</f>
        <v>211754</v>
      </c>
      <c r="AU48">
        <f ca="1">IF(AND(ISNUMBER($AU$108),$B$69=1),$AU$108,HLOOKUP(INDIRECT(ADDRESS(2,COLUMN())),OFFSET($CL$2,0,0,ROW()-1,84),ROW()-1,FALSE))</f>
        <v>187224</v>
      </c>
      <c r="AV48">
        <f ca="1">IF(AND(ISNUMBER($AV$108),$B$69=1),$AV$108,HLOOKUP(INDIRECT(ADDRESS(2,COLUMN())),OFFSET($CL$2,0,0,ROW()-1,84),ROW()-1,FALSE))</f>
        <v>183489</v>
      </c>
      <c r="AW48">
        <f ca="1">IF(AND(ISNUMBER($AW$108),$B$69=1),$AW$108,HLOOKUP(INDIRECT(ADDRESS(2,COLUMN())),OFFSET($CL$2,0,0,ROW()-1,84),ROW()-1,FALSE))</f>
        <v>176928</v>
      </c>
      <c r="AX48">
        <f ca="1">IF(AND(ISNUMBER($AX$108),$B$69=1),$AX$108,HLOOKUP(INDIRECT(ADDRESS(2,COLUMN())),OFFSET($CL$2,0,0,ROW()-1,84),ROW()-1,FALSE))</f>
        <v>102924</v>
      </c>
      <c r="AY48">
        <f ca="1">IF(AND(ISNUMBER($AY$108),$B$69=1),$AY$108,HLOOKUP(INDIRECT(ADDRESS(2,COLUMN())),OFFSET($CL$2,0,0,ROW()-1,84),ROW()-1,FALSE))</f>
        <v>216236</v>
      </c>
      <c r="AZ48">
        <f ca="1">IF(AND(ISNUMBER($AZ$108),$B$69=1),$AZ$108,HLOOKUP(INDIRECT(ADDRESS(2,COLUMN())),OFFSET($CL$2,0,0,ROW()-1,84),ROW()-1,FALSE))</f>
        <v>174921</v>
      </c>
      <c r="BA48">
        <f ca="1">IF(AND(ISNUMBER($BA$108),$B$69=1),$BA$108,HLOOKUP(INDIRECT(ADDRESS(2,COLUMN())),OFFSET($CL$2,0,0,ROW()-1,84),ROW()-1,FALSE))</f>
        <v>188509</v>
      </c>
      <c r="BB48">
        <f ca="1">IF(AND(ISNUMBER($BB$108),$B$69=1),$BB$108,HLOOKUP(INDIRECT(ADDRESS(2,COLUMN())),OFFSET($CL$2,0,0,ROW()-1,84),ROW()-1,FALSE))</f>
        <v>127327</v>
      </c>
      <c r="BC48">
        <f ca="1">IF(AND(ISNUMBER($BC$108),$B$69=1),$BC$108,HLOOKUP(INDIRECT(ADDRESS(2,COLUMN())),OFFSET($CL$2,0,0,ROW()-1,84),ROW()-1,FALSE))</f>
        <v>36125</v>
      </c>
      <c r="BD48">
        <f ca="1">IF(AND(ISNUMBER($BD$108),$B$69=1),$BD$108,HLOOKUP(INDIRECT(ADDRESS(2,COLUMN())),OFFSET($CL$2,0,0,ROW()-1,84),ROW()-1,FALSE))</f>
        <v>417484</v>
      </c>
      <c r="BE48">
        <f ca="1">IF(AND(ISNUMBER($BE$108),$B$69=1),$BE$108,HLOOKUP(INDIRECT(ADDRESS(2,COLUMN())),OFFSET($CL$2,0,0,ROW()-1,84),ROW()-1,FALSE))</f>
        <v>385110</v>
      </c>
      <c r="BF48">
        <f ca="1">IF(AND(ISNUMBER($BF$108),$B$69=1),$BF$108,HLOOKUP(INDIRECT(ADDRESS(2,COLUMN())),OFFSET($CL$2,0,0,ROW()-1,84),ROW()-1,FALSE))</f>
        <v>0</v>
      </c>
      <c r="BG48">
        <f ca="1">IF(AND(ISNUMBER($BG$108),$B$69=1),$BG$108,HLOOKUP(INDIRECT(ADDRESS(2,COLUMN())),OFFSET($CL$2,0,0,ROW()-1,84),ROW()-1,FALSE))</f>
        <v>144756</v>
      </c>
      <c r="BH48">
        <f ca="1">IF(AND(ISNUMBER($BH$108),$B$69=1),$BH$108,HLOOKUP(INDIRECT(ADDRESS(2,COLUMN())),OFFSET($CL$2,0,0,ROW()-1,84),ROW()-1,FALSE))</f>
        <v>314732</v>
      </c>
      <c r="BI48">
        <f ca="1">IF(AND(ISNUMBER($BI$108),$B$69=1),$BI$108,HLOOKUP(INDIRECT(ADDRESS(2,COLUMN())),OFFSET($CL$2,0,0,ROW()-1,84),ROW()-1,FALSE))</f>
        <v>51167</v>
      </c>
      <c r="BJ48">
        <f ca="1">IF(AND(ISNUMBER($BJ$108),$B$69=1),$BJ$108,HLOOKUP(INDIRECT(ADDRESS(2,COLUMN())),OFFSET($CL$2,0,0,ROW()-1,84),ROW()-1,FALSE))</f>
        <v>0</v>
      </c>
      <c r="BK48">
        <f ca="1">IF(AND(ISNUMBER($BK$108),$B$69=1),$BK$108,HLOOKUP(INDIRECT(ADDRESS(2,COLUMN())),OFFSET($CL$2,0,0,ROW()-1,84),ROW()-1,FALSE))</f>
        <v>210139</v>
      </c>
      <c r="BL48">
        <f ca="1">IF(AND(ISNUMBER($BL$108),$B$69=1),$BL$108,HLOOKUP(INDIRECT(ADDRESS(2,COLUMN())),OFFSET($CL$2,0,0,ROW()-1,84),ROW()-1,FALSE))</f>
        <v>201809</v>
      </c>
      <c r="BM48">
        <f ca="1">IF(AND(ISNUMBER($BM$108),$B$69=1),$BM$108,HLOOKUP(INDIRECT(ADDRESS(2,COLUMN())),OFFSET($CL$2,0,0,ROW()-1,84),ROW()-1,FALSE))</f>
        <v>236991</v>
      </c>
      <c r="BN48">
        <f ca="1">IF(AND(ISNUMBER($BN$108),$B$69=1),$BN$108,HLOOKUP(INDIRECT(ADDRESS(2,COLUMN())),OFFSET($CL$2,0,0,ROW()-1,84),ROW()-1,FALSE))</f>
        <v>229295</v>
      </c>
      <c r="BO48">
        <f ca="1">IF(AND(ISNUMBER($BO$108),$B$69=1),$BO$108,HLOOKUP(INDIRECT(ADDRESS(2,COLUMN())),OFFSET($CL$2,0,0,ROW()-1,84),ROW()-1,FALSE))</f>
        <v>97780</v>
      </c>
      <c r="BP48">
        <f ca="1">IF(AND(ISNUMBER($BP$108),$B$69=1),$BP$108,HLOOKUP(INDIRECT(ADDRESS(2,COLUMN())),OFFSET($CL$2,0,0,ROW()-1,84),ROW()-1,FALSE))</f>
        <v>351162</v>
      </c>
      <c r="BQ48">
        <f ca="1">IF(AND(ISNUMBER($BQ$108),$B$69=1),$BQ$108,HLOOKUP(INDIRECT(ADDRESS(2,COLUMN())),OFFSET($CL$2,0,0,ROW()-1,84),ROW()-1,FALSE))</f>
        <v>326534</v>
      </c>
      <c r="BR48">
        <f ca="1">IF(AND(ISNUMBER($BR$108),$B$69=1),$BR$108,HLOOKUP(INDIRECT(ADDRESS(2,COLUMN())),OFFSET($CL$2,0,0,ROW()-1,84),ROW()-1,FALSE))</f>
        <v>292369</v>
      </c>
      <c r="BS48">
        <f ca="1">IF(AND(ISNUMBER($BS$108),$B$69=1),$BS$108,HLOOKUP(INDIRECT(ADDRESS(2,COLUMN())),OFFSET($CL$2,0,0,ROW()-1,84),ROW()-1,FALSE))</f>
        <v>386431</v>
      </c>
      <c r="BT48">
        <f ca="1">IF(AND(ISNUMBER($BT$108),$B$69=1),$BT$108,HLOOKUP(INDIRECT(ADDRESS(2,COLUMN())),OFFSET($CL$2,0,0,ROW()-1,84),ROW()-1,FALSE))</f>
        <v>310519</v>
      </c>
      <c r="BU48">
        <f ca="1">IF(AND(ISNUMBER($BU$108),$B$69=1),$BU$108,HLOOKUP(INDIRECT(ADDRESS(2,COLUMN())),OFFSET($CL$2,0,0,ROW()-1,84),ROW()-1,FALSE))</f>
        <v>302045</v>
      </c>
      <c r="BV48">
        <f ca="1">IF(AND(ISNUMBER($BV$108),$B$69=1),$BV$108,HLOOKUP(INDIRECT(ADDRESS(2,COLUMN())),OFFSET($CL$2,0,0,ROW()-1,84),ROW()-1,FALSE))</f>
        <v>350025</v>
      </c>
      <c r="BW48">
        <f ca="1">IF(AND(ISNUMBER($BW$108),$B$69=1),$BW$108,HLOOKUP(INDIRECT(ADDRESS(2,COLUMN())),OFFSET($CL$2,0,0,ROW()-1,84),ROW()-1,FALSE))</f>
        <v>240502</v>
      </c>
      <c r="BX48">
        <f ca="1">IF(AND(ISNUMBER($BX$108),$B$69=1),$BX$108,HLOOKUP(INDIRECT(ADDRESS(2,COLUMN())),OFFSET($CL$2,0,0,ROW()-1,84),ROW()-1,FALSE))</f>
        <v>289702</v>
      </c>
      <c r="BY48">
        <f ca="1">IF(AND(ISNUMBER($BY$108),$B$69=1),$BY$108,HLOOKUP(INDIRECT(ADDRESS(2,COLUMN())),OFFSET($CL$2,0,0,ROW()-1,84),ROW()-1,FALSE))</f>
        <v>375415</v>
      </c>
      <c r="BZ48">
        <f ca="1">IF(AND(ISNUMBER($BZ$108),$B$69=1),$BZ$108,HLOOKUP(INDIRECT(ADDRESS(2,COLUMN())),OFFSET($CL$2,0,0,ROW()-1,84),ROW()-1,FALSE))</f>
        <v>341252</v>
      </c>
      <c r="CA48">
        <f ca="1">IF(AND(ISNUMBER($CA$108),$B$69=1),$CA$108,HLOOKUP(INDIRECT(ADDRESS(2,COLUMN())),OFFSET($CL$2,0,0,ROW()-1,84),ROW()-1,FALSE))</f>
        <v>295795</v>
      </c>
      <c r="CB48">
        <f ca="1">IF(AND(ISNUMBER($CB$108),$B$69=1),$CB$108,HLOOKUP(INDIRECT(ADDRESS(2,COLUMN())),OFFSET($CL$2,0,0,ROW()-1,84),ROW()-1,FALSE))</f>
        <v>268041</v>
      </c>
      <c r="CC48">
        <f ca="1">IF(AND(ISNUMBER($CC$108),$B$69=1),$CC$108,HLOOKUP(INDIRECT(ADDRESS(2,COLUMN())),OFFSET($CL$2,0,0,ROW()-1,84),ROW()-1,FALSE))</f>
        <v>323937</v>
      </c>
      <c r="CD48">
        <f ca="1">IF(AND(ISNUMBER($CD$108),$B$69=1),$CD$108,HLOOKUP(INDIRECT(ADDRESS(2,COLUMN())),OFFSET($CL$2,0,0,ROW()-1,84),ROW()-1,FALSE))</f>
        <v>324393</v>
      </c>
      <c r="CE48">
        <f ca="1">IF(AND(ISNUMBER($CE$108),$B$69=1),$CE$108,HLOOKUP(INDIRECT(ADDRESS(2,COLUMN())),OFFSET($CL$2,0,0,ROW()-1,84),ROW()-1,FALSE))</f>
        <v>218570</v>
      </c>
      <c r="CF48">
        <f ca="1">IF(AND(ISNUMBER($CF$108),$B$69=1),$CF$108,HLOOKUP(INDIRECT(ADDRESS(2,COLUMN())),OFFSET($CL$2,0,0,ROW()-1,84),ROW()-1,FALSE))</f>
        <v>326423</v>
      </c>
      <c r="CG48">
        <f ca="1">IF(AND(ISNUMBER($CG$108),$B$69=1),$CG$108,HLOOKUP(INDIRECT(ADDRESS(2,COLUMN())),OFFSET($CL$2,0,0,ROW()-1,84),ROW()-1,FALSE))</f>
        <v>194579</v>
      </c>
      <c r="CH48">
        <f ca="1">IF(AND(ISNUMBER($CH$108),$B$69=1),$CH$108,HLOOKUP(INDIRECT(ADDRESS(2,COLUMN())),OFFSET($CL$2,0,0,ROW()-1,84),ROW()-1,FALSE))</f>
        <v>188402</v>
      </c>
      <c r="CI48">
        <f ca="1">IF(AND(ISNUMBER($CI$108),$B$69=1),$CI$108,HLOOKUP(INDIRECT(ADDRESS(2,COLUMN())),OFFSET($CL$2,0,0,ROW()-1,84),ROW()-1,FALSE))</f>
        <v>78857</v>
      </c>
      <c r="CJ48">
        <f ca="1">IF(AND(ISNUMBER($CJ$108),$B$69=1),$CJ$108,HLOOKUP(INDIRECT(ADDRESS(2,COLUMN())),OFFSET($CL$2,0,0,ROW()-1,84),ROW()-1,FALSE))</f>
        <v>328097</v>
      </c>
      <c r="CK48">
        <f ca="1">IF(AND(ISNUMBER($CK$108),$B$69=1),$CK$108,HLOOKUP(INDIRECT(ADDRESS(2,COLUMN())),OFFSET($CL$2,0,0,ROW()-1,84),ROW()-1,FALSE))</f>
        <v>195587</v>
      </c>
      <c r="CL48" t="str">
        <f>""</f>
        <v/>
      </c>
      <c r="CM48">
        <f>125853</f>
        <v>125853</v>
      </c>
      <c r="CN48">
        <f>354996</f>
        <v>354996</v>
      </c>
      <c r="CO48">
        <f>395401</f>
        <v>395401</v>
      </c>
      <c r="CP48">
        <f>259935</f>
        <v>259935</v>
      </c>
      <c r="CQ48">
        <f>157991</f>
        <v>157991</v>
      </c>
      <c r="CR48">
        <f>126746</f>
        <v>126746</v>
      </c>
      <c r="CS48">
        <f>329245</f>
        <v>329245</v>
      </c>
      <c r="CT48">
        <f>135498</f>
        <v>135498</v>
      </c>
      <c r="CU48">
        <f>251030</f>
        <v>251030</v>
      </c>
      <c r="CV48">
        <f>377581</f>
        <v>377581</v>
      </c>
      <c r="CW48">
        <f>239481</f>
        <v>239481</v>
      </c>
      <c r="CX48">
        <f>223348</f>
        <v>223348</v>
      </c>
      <c r="CY48">
        <f>0</f>
        <v>0</v>
      </c>
      <c r="CZ48">
        <f>413256</f>
        <v>413256</v>
      </c>
      <c r="DA48">
        <f>307529</f>
        <v>307529</v>
      </c>
      <c r="DB48">
        <f>188736</f>
        <v>188736</v>
      </c>
      <c r="DC48">
        <f>425538</f>
        <v>425538</v>
      </c>
      <c r="DD48">
        <f>215120</f>
        <v>215120</v>
      </c>
      <c r="DE48">
        <f>332637</f>
        <v>332637</v>
      </c>
      <c r="DF48">
        <f>221024</f>
        <v>221024</v>
      </c>
      <c r="DG48">
        <f>306106</f>
        <v>306106</v>
      </c>
      <c r="DH48">
        <f>257489</f>
        <v>257489</v>
      </c>
      <c r="DI48">
        <f>217565</f>
        <v>217565</v>
      </c>
      <c r="DJ48">
        <f>233291</f>
        <v>233291</v>
      </c>
      <c r="DK48">
        <f>137720</f>
        <v>137720</v>
      </c>
      <c r="DL48">
        <f>348528</f>
        <v>348528</v>
      </c>
      <c r="DM48">
        <f>270026</f>
        <v>270026</v>
      </c>
      <c r="DN48">
        <f>127915</f>
        <v>127915</v>
      </c>
      <c r="DO48">
        <f>176321</f>
        <v>176321</v>
      </c>
      <c r="DP48">
        <f>256643</f>
        <v>256643</v>
      </c>
      <c r="DQ48">
        <f>339795</f>
        <v>339795</v>
      </c>
      <c r="DR48">
        <f>211956</f>
        <v>211956</v>
      </c>
      <c r="DS48">
        <f>142448</f>
        <v>142448</v>
      </c>
      <c r="DT48">
        <f>376757</f>
        <v>376757</v>
      </c>
      <c r="DU48">
        <f>0</f>
        <v>0</v>
      </c>
      <c r="DV48">
        <f>198039</f>
        <v>198039</v>
      </c>
      <c r="DW48">
        <f>177535</f>
        <v>177535</v>
      </c>
      <c r="DX48">
        <f>279566</f>
        <v>279566</v>
      </c>
      <c r="DY48">
        <f>73250</f>
        <v>73250</v>
      </c>
      <c r="DZ48">
        <f>211754</f>
        <v>211754</v>
      </c>
      <c r="EA48">
        <f>187224</f>
        <v>187224</v>
      </c>
      <c r="EB48">
        <f>183489</f>
        <v>183489</v>
      </c>
      <c r="EC48">
        <f>176928</f>
        <v>176928</v>
      </c>
      <c r="ED48">
        <f>102924</f>
        <v>102924</v>
      </c>
      <c r="EE48">
        <f>216236</f>
        <v>216236</v>
      </c>
      <c r="EF48">
        <f>174921</f>
        <v>174921</v>
      </c>
      <c r="EG48">
        <f>188509</f>
        <v>188509</v>
      </c>
      <c r="EH48">
        <f>127327</f>
        <v>127327</v>
      </c>
      <c r="EI48">
        <f>36125</f>
        <v>36125</v>
      </c>
      <c r="EJ48">
        <f>417484</f>
        <v>417484</v>
      </c>
      <c r="EK48">
        <f>385110</f>
        <v>385110</v>
      </c>
      <c r="EL48">
        <f>0</f>
        <v>0</v>
      </c>
      <c r="EM48">
        <f>144756</f>
        <v>144756</v>
      </c>
      <c r="EN48">
        <f>314732</f>
        <v>314732</v>
      </c>
      <c r="EO48">
        <f>51167</f>
        <v>51167</v>
      </c>
      <c r="EP48">
        <f>0</f>
        <v>0</v>
      </c>
      <c r="EQ48">
        <f>210139</f>
        <v>210139</v>
      </c>
      <c r="ER48">
        <f>201809</f>
        <v>201809</v>
      </c>
      <c r="ES48">
        <f>236991</f>
        <v>236991</v>
      </c>
      <c r="ET48">
        <f>229295</f>
        <v>229295</v>
      </c>
      <c r="EU48">
        <f>97780</f>
        <v>97780</v>
      </c>
      <c r="EV48">
        <f>351162</f>
        <v>351162</v>
      </c>
      <c r="EW48">
        <f>326534</f>
        <v>326534</v>
      </c>
      <c r="EX48">
        <f>292369</f>
        <v>292369</v>
      </c>
      <c r="EY48">
        <f>386431</f>
        <v>386431</v>
      </c>
      <c r="EZ48">
        <f>310519</f>
        <v>310519</v>
      </c>
      <c r="FA48">
        <f>302045</f>
        <v>302045</v>
      </c>
      <c r="FB48">
        <f>350025</f>
        <v>350025</v>
      </c>
      <c r="FC48">
        <f>240502</f>
        <v>240502</v>
      </c>
      <c r="FD48">
        <f>289702</f>
        <v>289702</v>
      </c>
      <c r="FE48">
        <f>375415</f>
        <v>375415</v>
      </c>
      <c r="FF48">
        <f>341252</f>
        <v>341252</v>
      </c>
      <c r="FG48">
        <f>295795</f>
        <v>295795</v>
      </c>
      <c r="FH48">
        <f>268041</f>
        <v>268041</v>
      </c>
      <c r="FI48">
        <f>323937</f>
        <v>323937</v>
      </c>
      <c r="FJ48">
        <f>324393</f>
        <v>324393</v>
      </c>
      <c r="FK48">
        <f>218570</f>
        <v>218570</v>
      </c>
      <c r="FL48">
        <f>326423</f>
        <v>326423</v>
      </c>
      <c r="FM48">
        <f>194579</f>
        <v>194579</v>
      </c>
      <c r="FN48">
        <f>188402</f>
        <v>188402</v>
      </c>
      <c r="FO48">
        <f>78857</f>
        <v>78857</v>
      </c>
      <c r="FP48">
        <f>328097</f>
        <v>328097</v>
      </c>
      <c r="FQ48">
        <f>195587</f>
        <v>195587</v>
      </c>
    </row>
    <row r="49" spans="1:173" x14ac:dyDescent="0.25">
      <c r="A49" t="str">
        <f>"Port Hedland Cargo Statistics - Australia Port Hedland Total Exports (tonnes) - Copper Concentrate Exports (tonnes)"</f>
        <v>Port Hedland Cargo Statistics - Australia Port Hedland Total Exports (tonnes) - Copper Concentrate Exports (tonnes)</v>
      </c>
      <c r="B49" t="str">
        <f>"AHEDEXCC Index"</f>
        <v>AHEDEXCC Index</v>
      </c>
      <c r="C49" t="str">
        <f t="shared" si="3"/>
        <v>PX385</v>
      </c>
      <c r="D49" t="str">
        <f t="shared" si="4"/>
        <v>INTERVAL_SUM</v>
      </c>
      <c r="E49" t="str">
        <f t="shared" si="5"/>
        <v>Dynamic</v>
      </c>
      <c r="F49" t="str">
        <f ca="1">IF(AND(ISNUMBER($F$109),$B$69=1),$F$109,HLOOKUP(INDIRECT(ADDRESS(2,COLUMN())),OFFSET($CL$2,0,0,ROW()-1,84),ROW()-1,FALSE))</f>
        <v/>
      </c>
      <c r="G49">
        <f ca="1">IF(AND(ISNUMBER($G$109),$B$69=1),$G$109,HLOOKUP(INDIRECT(ADDRESS(2,COLUMN())),OFFSET($CL$2,0,0,ROW()-1,84),ROW()-1,FALSE))</f>
        <v>28242</v>
      </c>
      <c r="H49">
        <f ca="1">IF(AND(ISNUMBER($H$109),$B$69=1),$H$109,HLOOKUP(INDIRECT(ADDRESS(2,COLUMN())),OFFSET($CL$2,0,0,ROW()-1,84),ROW()-1,FALSE))</f>
        <v>11652</v>
      </c>
      <c r="I49">
        <f ca="1">IF(AND(ISNUMBER($I$109),$B$69=1),$I$109,HLOOKUP(INDIRECT(ADDRESS(2,COLUMN())),OFFSET($CL$2,0,0,ROW()-1,84),ROW()-1,FALSE))</f>
        <v>17684</v>
      </c>
      <c r="J49">
        <f ca="1">IF(AND(ISNUMBER($J$109),$B$69=1),$J$109,HLOOKUP(INDIRECT(ADDRESS(2,COLUMN())),OFFSET($CL$2,0,0,ROW()-1,84),ROW()-1,FALSE))</f>
        <v>17567</v>
      </c>
      <c r="K49">
        <f ca="1">IF(AND(ISNUMBER($K$109),$B$69=1),$K$109,HLOOKUP(INDIRECT(ADDRESS(2,COLUMN())),OFFSET($CL$2,0,0,ROW()-1,84),ROW()-1,FALSE))</f>
        <v>11772</v>
      </c>
      <c r="L49">
        <f ca="1">IF(AND(ISNUMBER($L$109),$B$69=1),$L$109,HLOOKUP(INDIRECT(ADDRESS(2,COLUMN())),OFFSET($CL$2,0,0,ROW()-1,84),ROW()-1,FALSE))</f>
        <v>11946</v>
      </c>
      <c r="M49">
        <f ca="1">IF(AND(ISNUMBER($M$109),$B$69=1),$M$109,HLOOKUP(INDIRECT(ADDRESS(2,COLUMN())),OFFSET($CL$2,0,0,ROW()-1,84),ROW()-1,FALSE))</f>
        <v>21355</v>
      </c>
      <c r="N49">
        <f ca="1">IF(AND(ISNUMBER($N$109),$B$69=1),$N$109,HLOOKUP(INDIRECT(ADDRESS(2,COLUMN())),OFFSET($CL$2,0,0,ROW()-1,84),ROW()-1,FALSE))</f>
        <v>15886</v>
      </c>
      <c r="O49">
        <f ca="1">IF(AND(ISNUMBER($O$109),$B$69=1),$O$109,HLOOKUP(INDIRECT(ADDRESS(2,COLUMN())),OFFSET($CL$2,0,0,ROW()-1,84),ROW()-1,FALSE))</f>
        <v>23788</v>
      </c>
      <c r="P49">
        <f ca="1">IF(AND(ISNUMBER($P$109),$B$69=1),$P$109,HLOOKUP(INDIRECT(ADDRESS(2,COLUMN())),OFFSET($CL$2,0,0,ROW()-1,84),ROW()-1,FALSE))</f>
        <v>11407</v>
      </c>
      <c r="Q49">
        <f ca="1">IF(AND(ISNUMBER($Q$109),$B$69=1),$Q$109,HLOOKUP(INDIRECT(ADDRESS(2,COLUMN())),OFFSET($CL$2,0,0,ROW()-1,84),ROW()-1,FALSE))</f>
        <v>11170</v>
      </c>
      <c r="R49">
        <f ca="1">IF(AND(ISNUMBER($R$109),$B$69=1),$R$109,HLOOKUP(INDIRECT(ADDRESS(2,COLUMN())),OFFSET($CL$2,0,0,ROW()-1,84),ROW()-1,FALSE))</f>
        <v>30352</v>
      </c>
      <c r="S49">
        <f ca="1">IF(AND(ISNUMBER($S$109),$B$69=1),$S$109,HLOOKUP(INDIRECT(ADDRESS(2,COLUMN())),OFFSET($CL$2,0,0,ROW()-1,84),ROW()-1,FALSE))</f>
        <v>17462</v>
      </c>
      <c r="T49">
        <f ca="1">IF(AND(ISNUMBER($T$109),$B$69=1),$T$109,HLOOKUP(INDIRECT(ADDRESS(2,COLUMN())),OFFSET($CL$2,0,0,ROW()-1,84),ROW()-1,FALSE))</f>
        <v>34625</v>
      </c>
      <c r="U49">
        <f ca="1">IF(AND(ISNUMBER($U$109),$B$69=1),$U$109,HLOOKUP(INDIRECT(ADDRESS(2,COLUMN())),OFFSET($CL$2,0,0,ROW()-1,84),ROW()-1,FALSE))</f>
        <v>11660</v>
      </c>
      <c r="V49">
        <f ca="1">IF(AND(ISNUMBER($V$109),$B$69=1),$V$109,HLOOKUP(INDIRECT(ADDRESS(2,COLUMN())),OFFSET($CL$2,0,0,ROW()-1,84),ROW()-1,FALSE))</f>
        <v>35371</v>
      </c>
      <c r="W49">
        <f ca="1">IF(AND(ISNUMBER($W$109),$B$69=1),$W$109,HLOOKUP(INDIRECT(ADDRESS(2,COLUMN())),OFFSET($CL$2,0,0,ROW()-1,84),ROW()-1,FALSE))</f>
        <v>10502</v>
      </c>
      <c r="X49">
        <f ca="1">IF(AND(ISNUMBER($X$109),$B$69=1),$X$109,HLOOKUP(INDIRECT(ADDRESS(2,COLUMN())),OFFSET($CL$2,0,0,ROW()-1,84),ROW()-1,FALSE))</f>
        <v>16671</v>
      </c>
      <c r="Y49">
        <f ca="1">IF(AND(ISNUMBER($Y$109),$B$69=1),$Y$109,HLOOKUP(INDIRECT(ADDRESS(2,COLUMN())),OFFSET($CL$2,0,0,ROW()-1,84),ROW()-1,FALSE))</f>
        <v>28738</v>
      </c>
      <c r="Z49">
        <f ca="1">IF(AND(ISNUMBER($Z$109),$B$69=1),$Z$109,HLOOKUP(INDIRECT(ADDRESS(2,COLUMN())),OFFSET($CL$2,0,0,ROW()-1,84),ROW()-1,FALSE))</f>
        <v>11652</v>
      </c>
      <c r="AA49">
        <f ca="1">IF(AND(ISNUMBER($AA$109),$B$69=1),$AA$109,HLOOKUP(INDIRECT(ADDRESS(2,COLUMN())),OFFSET($CL$2,0,0,ROW()-1,84),ROW()-1,FALSE))</f>
        <v>22583</v>
      </c>
      <c r="AB49">
        <f ca="1">IF(AND(ISNUMBER($AB$109),$B$69=1),$AB$109,HLOOKUP(INDIRECT(ADDRESS(2,COLUMN())),OFFSET($CL$2,0,0,ROW()-1,84),ROW()-1,FALSE))</f>
        <v>24172</v>
      </c>
      <c r="AC49">
        <f ca="1">IF(AND(ISNUMBER($AC$109),$B$69=1),$AC$109,HLOOKUP(INDIRECT(ADDRESS(2,COLUMN())),OFFSET($CL$2,0,0,ROW()-1,84),ROW()-1,FALSE))</f>
        <v>32702</v>
      </c>
      <c r="AD49">
        <f ca="1">IF(AND(ISNUMBER($AD$109),$B$69=1),$AD$109,HLOOKUP(INDIRECT(ADDRESS(2,COLUMN())),OFFSET($CL$2,0,0,ROW()-1,84),ROW()-1,FALSE))</f>
        <v>21732</v>
      </c>
      <c r="AE49">
        <f ca="1">IF(AND(ISNUMBER($AE$109),$B$69=1),$AE$109,HLOOKUP(INDIRECT(ADDRESS(2,COLUMN())),OFFSET($CL$2,0,0,ROW()-1,84),ROW()-1,FALSE))</f>
        <v>20101</v>
      </c>
      <c r="AF49">
        <f ca="1">IF(AND(ISNUMBER($AF$109),$B$69=1),$AF$109,HLOOKUP(INDIRECT(ADDRESS(2,COLUMN())),OFFSET($CL$2,0,0,ROW()-1,84),ROW()-1,FALSE))</f>
        <v>21603</v>
      </c>
      <c r="AG49">
        <f ca="1">IF(AND(ISNUMBER($AG$109),$B$69=1),$AG$109,HLOOKUP(INDIRECT(ADDRESS(2,COLUMN())),OFFSET($CL$2,0,0,ROW()-1,84),ROW()-1,FALSE))</f>
        <v>22119</v>
      </c>
      <c r="AH49">
        <f ca="1">IF(AND(ISNUMBER($AH$109),$B$69=1),$AH$109,HLOOKUP(INDIRECT(ADDRESS(2,COLUMN())),OFFSET($CL$2,0,0,ROW()-1,84),ROW()-1,FALSE))</f>
        <v>37312</v>
      </c>
      <c r="AI49">
        <f ca="1">IF(AND(ISNUMBER($AI$109),$B$69=1),$AI$109,HLOOKUP(INDIRECT(ADDRESS(2,COLUMN())),OFFSET($CL$2,0,0,ROW()-1,84),ROW()-1,FALSE))</f>
        <v>33510</v>
      </c>
      <c r="AJ49">
        <f ca="1">IF(AND(ISNUMBER($AJ$109),$B$69=1),$AJ$109,HLOOKUP(INDIRECT(ADDRESS(2,COLUMN())),OFFSET($CL$2,0,0,ROW()-1,84),ROW()-1,FALSE))</f>
        <v>10500</v>
      </c>
      <c r="AK49">
        <f ca="1">IF(AND(ISNUMBER($AK$109),$B$69=1),$AK$109,HLOOKUP(INDIRECT(ADDRESS(2,COLUMN())),OFFSET($CL$2,0,0,ROW()-1,84),ROW()-1,FALSE))</f>
        <v>33813</v>
      </c>
      <c r="AL49">
        <f ca="1">IF(AND(ISNUMBER($AL$109),$B$69=1),$AL$109,HLOOKUP(INDIRECT(ADDRESS(2,COLUMN())),OFFSET($CL$2,0,0,ROW()-1,84),ROW()-1,FALSE))</f>
        <v>5384</v>
      </c>
      <c r="AM49">
        <f ca="1">IF(AND(ISNUMBER($AM$109),$B$69=1),$AM$109,HLOOKUP(INDIRECT(ADDRESS(2,COLUMN())),OFFSET($CL$2,0,0,ROW()-1,84),ROW()-1,FALSE))</f>
        <v>33088</v>
      </c>
      <c r="AN49">
        <f ca="1">IF(AND(ISNUMBER($AN$109),$B$69=1),$AN$109,HLOOKUP(INDIRECT(ADDRESS(2,COLUMN())),OFFSET($CL$2,0,0,ROW()-1,84),ROW()-1,FALSE))</f>
        <v>9425</v>
      </c>
      <c r="AO49">
        <f ca="1">IF(AND(ISNUMBER($AO$109),$B$69=1),$AO$109,HLOOKUP(INDIRECT(ADDRESS(2,COLUMN())),OFFSET($CL$2,0,0,ROW()-1,84),ROW()-1,FALSE))</f>
        <v>17791</v>
      </c>
      <c r="AP49">
        <f ca="1">IF(AND(ISNUMBER($AP$109),$B$69=1),$AP$109,HLOOKUP(INDIRECT(ADDRESS(2,COLUMN())),OFFSET($CL$2,0,0,ROW()-1,84),ROW()-1,FALSE))</f>
        <v>34894</v>
      </c>
      <c r="AQ49">
        <f ca="1">IF(AND(ISNUMBER($AQ$109),$B$69=1),$AQ$109,HLOOKUP(INDIRECT(ADDRESS(2,COLUMN())),OFFSET($CL$2,0,0,ROW()-1,84),ROW()-1,FALSE))</f>
        <v>21814</v>
      </c>
      <c r="AR49">
        <f ca="1">IF(AND(ISNUMBER($AR$109),$B$69=1),$AR$109,HLOOKUP(INDIRECT(ADDRESS(2,COLUMN())),OFFSET($CL$2,0,0,ROW()-1,84),ROW()-1,FALSE))</f>
        <v>6706</v>
      </c>
      <c r="AS49">
        <f ca="1">IF(AND(ISNUMBER($AS$109),$B$69=1),$AS$109,HLOOKUP(INDIRECT(ADDRESS(2,COLUMN())),OFFSET($CL$2,0,0,ROW()-1,84),ROW()-1,FALSE))</f>
        <v>34946</v>
      </c>
      <c r="AT49">
        <f ca="1">IF(AND(ISNUMBER($AT$109),$B$69=1),$AT$109,HLOOKUP(INDIRECT(ADDRESS(2,COLUMN())),OFFSET($CL$2,0,0,ROW()-1,84),ROW()-1,FALSE))</f>
        <v>28311</v>
      </c>
      <c r="AU49">
        <f ca="1">IF(AND(ISNUMBER($AU$109),$B$69=1),$AU$109,HLOOKUP(INDIRECT(ADDRESS(2,COLUMN())),OFFSET($CL$2,0,0,ROW()-1,84),ROW()-1,FALSE))</f>
        <v>22924</v>
      </c>
      <c r="AV49">
        <f ca="1">IF(AND(ISNUMBER($AV$109),$B$69=1),$AV$109,HLOOKUP(INDIRECT(ADDRESS(2,COLUMN())),OFFSET($CL$2,0,0,ROW()-1,84),ROW()-1,FALSE))</f>
        <v>46381</v>
      </c>
      <c r="AW49">
        <f ca="1">IF(AND(ISNUMBER($AW$109),$B$69=1),$AW$109,HLOOKUP(INDIRECT(ADDRESS(2,COLUMN())),OFFSET($CL$2,0,0,ROW()-1,84),ROW()-1,FALSE))</f>
        <v>23872</v>
      </c>
      <c r="AX49">
        <f ca="1">IF(AND(ISNUMBER($AX$109),$B$69=1),$AX$109,HLOOKUP(INDIRECT(ADDRESS(2,COLUMN())),OFFSET($CL$2,0,0,ROW()-1,84),ROW()-1,FALSE))</f>
        <v>28359</v>
      </c>
      <c r="AY49">
        <f ca="1">IF(AND(ISNUMBER($AY$109),$B$69=1),$AY$109,HLOOKUP(INDIRECT(ADDRESS(2,COLUMN())),OFFSET($CL$2,0,0,ROW()-1,84),ROW()-1,FALSE))</f>
        <v>18743</v>
      </c>
      <c r="AZ49">
        <f ca="1">IF(AND(ISNUMBER($AZ$109),$B$69=1),$AZ$109,HLOOKUP(INDIRECT(ADDRESS(2,COLUMN())),OFFSET($CL$2,0,0,ROW()-1,84),ROW()-1,FALSE))</f>
        <v>42780</v>
      </c>
      <c r="BA49">
        <f ca="1">IF(AND(ISNUMBER($BA$109),$B$69=1),$BA$109,HLOOKUP(INDIRECT(ADDRESS(2,COLUMN())),OFFSET($CL$2,0,0,ROW()-1,84),ROW()-1,FALSE))</f>
        <v>22341</v>
      </c>
      <c r="BB49">
        <f ca="1">IF(AND(ISNUMBER($BB$109),$B$69=1),$BB$109,HLOOKUP(INDIRECT(ADDRESS(2,COLUMN())),OFFSET($CL$2,0,0,ROW()-1,84),ROW()-1,FALSE))</f>
        <v>38767</v>
      </c>
      <c r="BC49">
        <f ca="1">IF(AND(ISNUMBER($BC$109),$B$69=1),$BC$109,HLOOKUP(INDIRECT(ADDRESS(2,COLUMN())),OFFSET($CL$2,0,0,ROW()-1,84),ROW()-1,FALSE))</f>
        <v>21392</v>
      </c>
      <c r="BD49">
        <f ca="1">IF(AND(ISNUMBER($BD$109),$B$69=1),$BD$109,HLOOKUP(INDIRECT(ADDRESS(2,COLUMN())),OFFSET($CL$2,0,0,ROW()-1,84),ROW()-1,FALSE))</f>
        <v>16931</v>
      </c>
      <c r="BE49">
        <f ca="1">IF(AND(ISNUMBER($BE$109),$B$69=1),$BE$109,HLOOKUP(INDIRECT(ADDRESS(2,COLUMN())),OFFSET($CL$2,0,0,ROW()-1,84),ROW()-1,FALSE))</f>
        <v>47880</v>
      </c>
      <c r="BF49">
        <f ca="1">IF(AND(ISNUMBER($BF$109),$B$69=1),$BF$109,HLOOKUP(INDIRECT(ADDRESS(2,COLUMN())),OFFSET($CL$2,0,0,ROW()-1,84),ROW()-1,FALSE))</f>
        <v>11654</v>
      </c>
      <c r="BG49">
        <f ca="1">IF(AND(ISNUMBER($BG$109),$B$69=1),$BG$109,HLOOKUP(INDIRECT(ADDRESS(2,COLUMN())),OFFSET($CL$2,0,0,ROW()-1,84),ROW()-1,FALSE))</f>
        <v>28093</v>
      </c>
      <c r="BH49">
        <f ca="1">IF(AND(ISNUMBER($BH$109),$B$69=1),$BH$109,HLOOKUP(INDIRECT(ADDRESS(2,COLUMN())),OFFSET($CL$2,0,0,ROW()-1,84),ROW()-1,FALSE))</f>
        <v>35764</v>
      </c>
      <c r="BI49">
        <f ca="1">IF(AND(ISNUMBER($BI$109),$B$69=1),$BI$109,HLOOKUP(INDIRECT(ADDRESS(2,COLUMN())),OFFSET($CL$2,0,0,ROW()-1,84),ROW()-1,FALSE))</f>
        <v>36661</v>
      </c>
      <c r="BJ49">
        <f ca="1">IF(AND(ISNUMBER($BJ$109),$B$69=1),$BJ$109,HLOOKUP(INDIRECT(ADDRESS(2,COLUMN())),OFFSET($CL$2,0,0,ROW()-1,84),ROW()-1,FALSE))</f>
        <v>27697</v>
      </c>
      <c r="BK49">
        <f ca="1">IF(AND(ISNUMBER($BK$109),$B$69=1),$BK$109,HLOOKUP(INDIRECT(ADDRESS(2,COLUMN())),OFFSET($CL$2,0,0,ROW()-1,84),ROW()-1,FALSE))</f>
        <v>49525</v>
      </c>
      <c r="BL49">
        <f ca="1">IF(AND(ISNUMBER($BL$109),$B$69=1),$BL$109,HLOOKUP(INDIRECT(ADDRESS(2,COLUMN())),OFFSET($CL$2,0,0,ROW()-1,84),ROW()-1,FALSE))</f>
        <v>23399</v>
      </c>
      <c r="BM49">
        <f ca="1">IF(AND(ISNUMBER($BM$109),$B$69=1),$BM$109,HLOOKUP(INDIRECT(ADDRESS(2,COLUMN())),OFFSET($CL$2,0,0,ROW()-1,84),ROW()-1,FALSE))</f>
        <v>21519</v>
      </c>
      <c r="BN49">
        <f ca="1">IF(AND(ISNUMBER($BN$109),$B$69=1),$BN$109,HLOOKUP(INDIRECT(ADDRESS(2,COLUMN())),OFFSET($CL$2,0,0,ROW()-1,84),ROW()-1,FALSE))</f>
        <v>53406</v>
      </c>
      <c r="BO49">
        <f ca="1">IF(AND(ISNUMBER($BO$109),$B$69=1),$BO$109,HLOOKUP(INDIRECT(ADDRESS(2,COLUMN())),OFFSET($CL$2,0,0,ROW()-1,84),ROW()-1,FALSE))</f>
        <v>10481</v>
      </c>
      <c r="BP49">
        <f ca="1">IF(AND(ISNUMBER($BP$109),$B$69=1),$BP$109,HLOOKUP(INDIRECT(ADDRESS(2,COLUMN())),OFFSET($CL$2,0,0,ROW()-1,84),ROW()-1,FALSE))</f>
        <v>23434</v>
      </c>
      <c r="BQ49">
        <f ca="1">IF(AND(ISNUMBER($BQ$109),$B$69=1),$BQ$109,HLOOKUP(INDIRECT(ADDRESS(2,COLUMN())),OFFSET($CL$2,0,0,ROW()-1,84),ROW()-1,FALSE))</f>
        <v>23900</v>
      </c>
      <c r="BR49">
        <f ca="1">IF(AND(ISNUMBER($BR$109),$B$69=1),$BR$109,HLOOKUP(INDIRECT(ADDRESS(2,COLUMN())),OFFSET($CL$2,0,0,ROW()-1,84),ROW()-1,FALSE))</f>
        <v>33446</v>
      </c>
      <c r="BS49">
        <f ca="1">IF(AND(ISNUMBER($BS$109),$B$69=1),$BS$109,HLOOKUP(INDIRECT(ADDRESS(2,COLUMN())),OFFSET($CL$2,0,0,ROW()-1,84),ROW()-1,FALSE))</f>
        <v>51137</v>
      </c>
      <c r="BT49">
        <f ca="1">IF(AND(ISNUMBER($BT$109),$B$69=1),$BT$109,HLOOKUP(INDIRECT(ADDRESS(2,COLUMN())),OFFSET($CL$2,0,0,ROW()-1,84),ROW()-1,FALSE))</f>
        <v>31491</v>
      </c>
      <c r="BU49">
        <f ca="1">IF(AND(ISNUMBER($BU$109),$B$69=1),$BU$109,HLOOKUP(INDIRECT(ADDRESS(2,COLUMN())),OFFSET($CL$2,0,0,ROW()-1,84),ROW()-1,FALSE))</f>
        <v>11485</v>
      </c>
      <c r="BV49">
        <f ca="1">IF(AND(ISNUMBER($BV$109),$B$69=1),$BV$109,HLOOKUP(INDIRECT(ADDRESS(2,COLUMN())),OFFSET($CL$2,0,0,ROW()-1,84),ROW()-1,FALSE))</f>
        <v>37255</v>
      </c>
      <c r="BW49">
        <f ca="1">IF(AND(ISNUMBER($BW$109),$B$69=1),$BW$109,HLOOKUP(INDIRECT(ADDRESS(2,COLUMN())),OFFSET($CL$2,0,0,ROW()-1,84),ROW()-1,FALSE))</f>
        <v>42537</v>
      </c>
      <c r="BX49">
        <f ca="1">IF(AND(ISNUMBER($BX$109),$B$69=1),$BX$109,HLOOKUP(INDIRECT(ADDRESS(2,COLUMN())),OFFSET($CL$2,0,0,ROW()-1,84),ROW()-1,FALSE))</f>
        <v>21979</v>
      </c>
      <c r="BY49">
        <f ca="1">IF(AND(ISNUMBER($BY$109),$B$69=1),$BY$109,HLOOKUP(INDIRECT(ADDRESS(2,COLUMN())),OFFSET($CL$2,0,0,ROW()-1,84),ROW()-1,FALSE))</f>
        <v>11759</v>
      </c>
      <c r="BZ49">
        <f ca="1">IF(AND(ISNUMBER($BZ$109),$B$69=1),$BZ$109,HLOOKUP(INDIRECT(ADDRESS(2,COLUMN())),OFFSET($CL$2,0,0,ROW()-1,84),ROW()-1,FALSE))</f>
        <v>47639</v>
      </c>
      <c r="CA49">
        <f ca="1">IF(AND(ISNUMBER($CA$109),$B$69=1),$CA$109,HLOOKUP(INDIRECT(ADDRESS(2,COLUMN())),OFFSET($CL$2,0,0,ROW()-1,84),ROW()-1,FALSE))</f>
        <v>29823</v>
      </c>
      <c r="CB49">
        <f ca="1">IF(AND(ISNUMBER($CB$109),$B$69=1),$CB$109,HLOOKUP(INDIRECT(ADDRESS(2,COLUMN())),OFFSET($CL$2,0,0,ROW()-1,84),ROW()-1,FALSE))</f>
        <v>21696</v>
      </c>
      <c r="CC49">
        <f ca="1">IF(AND(ISNUMBER($CC$109),$B$69=1),$CC$109,HLOOKUP(INDIRECT(ADDRESS(2,COLUMN())),OFFSET($CL$2,0,0,ROW()-1,84),ROW()-1,FALSE))</f>
        <v>12091</v>
      </c>
      <c r="CD49">
        <f ca="1">IF(AND(ISNUMBER($CD$109),$B$69=1),$CD$109,HLOOKUP(INDIRECT(ADDRESS(2,COLUMN())),OFFSET($CL$2,0,0,ROW()-1,84),ROW()-1,FALSE))</f>
        <v>52604</v>
      </c>
      <c r="CE49">
        <f ca="1">IF(AND(ISNUMBER($CE$109),$B$69=1),$CE$109,HLOOKUP(INDIRECT(ADDRESS(2,COLUMN())),OFFSET($CL$2,0,0,ROW()-1,84),ROW()-1,FALSE))</f>
        <v>32402</v>
      </c>
      <c r="CF49">
        <f ca="1">IF(AND(ISNUMBER($CF$109),$B$69=1),$CF$109,HLOOKUP(INDIRECT(ADDRESS(2,COLUMN())),OFFSET($CL$2,0,0,ROW()-1,84),ROW()-1,FALSE))</f>
        <v>56010</v>
      </c>
      <c r="CG49">
        <f ca="1">IF(AND(ISNUMBER($CG$109),$B$69=1),$CG$109,HLOOKUP(INDIRECT(ADDRESS(2,COLUMN())),OFFSET($CL$2,0,0,ROW()-1,84),ROW()-1,FALSE))</f>
        <v>23480</v>
      </c>
      <c r="CH49">
        <f ca="1">IF(AND(ISNUMBER($CH$109),$B$69=1),$CH$109,HLOOKUP(INDIRECT(ADDRESS(2,COLUMN())),OFFSET($CL$2,0,0,ROW()-1,84),ROW()-1,FALSE))</f>
        <v>30127</v>
      </c>
      <c r="CI49">
        <f ca="1">IF(AND(ISNUMBER($CI$109),$B$69=1),$CI$109,HLOOKUP(INDIRECT(ADDRESS(2,COLUMN())),OFFSET($CL$2,0,0,ROW()-1,84),ROW()-1,FALSE))</f>
        <v>11727</v>
      </c>
      <c r="CJ49">
        <f ca="1">IF(AND(ISNUMBER($CJ$109),$B$69=1),$CJ$109,HLOOKUP(INDIRECT(ADDRESS(2,COLUMN())),OFFSET($CL$2,0,0,ROW()-1,84),ROW()-1,FALSE))</f>
        <v>52706</v>
      </c>
      <c r="CK49">
        <f ca="1">IF(AND(ISNUMBER($CK$109),$B$69=1),$CK$109,HLOOKUP(INDIRECT(ADDRESS(2,COLUMN())),OFFSET($CL$2,0,0,ROW()-1,84),ROW()-1,FALSE))</f>
        <v>21769</v>
      </c>
      <c r="CL49" t="str">
        <f>""</f>
        <v/>
      </c>
      <c r="CM49">
        <f>28242</f>
        <v>28242</v>
      </c>
      <c r="CN49">
        <f>11652</f>
        <v>11652</v>
      </c>
      <c r="CO49">
        <f>17684</f>
        <v>17684</v>
      </c>
      <c r="CP49">
        <f>17567</f>
        <v>17567</v>
      </c>
      <c r="CQ49">
        <f>11772</f>
        <v>11772</v>
      </c>
      <c r="CR49">
        <f>11946</f>
        <v>11946</v>
      </c>
      <c r="CS49">
        <f>21355</f>
        <v>21355</v>
      </c>
      <c r="CT49">
        <f>15886</f>
        <v>15886</v>
      </c>
      <c r="CU49">
        <f>23788</f>
        <v>23788</v>
      </c>
      <c r="CV49">
        <f>11407</f>
        <v>11407</v>
      </c>
      <c r="CW49">
        <f>11170</f>
        <v>11170</v>
      </c>
      <c r="CX49">
        <f>30352</f>
        <v>30352</v>
      </c>
      <c r="CY49">
        <f>17462</f>
        <v>17462</v>
      </c>
      <c r="CZ49">
        <f>34625</f>
        <v>34625</v>
      </c>
      <c r="DA49">
        <f>11660</f>
        <v>11660</v>
      </c>
      <c r="DB49">
        <f>35371</f>
        <v>35371</v>
      </c>
      <c r="DC49">
        <f>10502</f>
        <v>10502</v>
      </c>
      <c r="DD49">
        <f>16671</f>
        <v>16671</v>
      </c>
      <c r="DE49">
        <f>28738</f>
        <v>28738</v>
      </c>
      <c r="DF49">
        <f>11652</f>
        <v>11652</v>
      </c>
      <c r="DG49">
        <f>22583</f>
        <v>22583</v>
      </c>
      <c r="DH49">
        <f>24172</f>
        <v>24172</v>
      </c>
      <c r="DI49">
        <f>32702</f>
        <v>32702</v>
      </c>
      <c r="DJ49">
        <f>21732</f>
        <v>21732</v>
      </c>
      <c r="DK49">
        <f>20101</f>
        <v>20101</v>
      </c>
      <c r="DL49">
        <f>21603</f>
        <v>21603</v>
      </c>
      <c r="DM49">
        <f>22119</f>
        <v>22119</v>
      </c>
      <c r="DN49">
        <f>37312</f>
        <v>37312</v>
      </c>
      <c r="DO49">
        <f>33510</f>
        <v>33510</v>
      </c>
      <c r="DP49">
        <f>10500</f>
        <v>10500</v>
      </c>
      <c r="DQ49">
        <f>33813</f>
        <v>33813</v>
      </c>
      <c r="DR49">
        <f>5384</f>
        <v>5384</v>
      </c>
      <c r="DS49">
        <f>33088</f>
        <v>33088</v>
      </c>
      <c r="DT49">
        <f>9425</f>
        <v>9425</v>
      </c>
      <c r="DU49">
        <f>17791</f>
        <v>17791</v>
      </c>
      <c r="DV49">
        <f>34894</f>
        <v>34894</v>
      </c>
      <c r="DW49">
        <f>21814</f>
        <v>21814</v>
      </c>
      <c r="DX49">
        <f>6706</f>
        <v>6706</v>
      </c>
      <c r="DY49">
        <f>34946</f>
        <v>34946</v>
      </c>
      <c r="DZ49">
        <f>28311</f>
        <v>28311</v>
      </c>
      <c r="EA49">
        <f>22924</f>
        <v>22924</v>
      </c>
      <c r="EB49">
        <f>46381</f>
        <v>46381</v>
      </c>
      <c r="EC49">
        <f>23872</f>
        <v>23872</v>
      </c>
      <c r="ED49">
        <f>28359</f>
        <v>28359</v>
      </c>
      <c r="EE49">
        <f>18743</f>
        <v>18743</v>
      </c>
      <c r="EF49">
        <f>42780</f>
        <v>42780</v>
      </c>
      <c r="EG49">
        <f>22341</f>
        <v>22341</v>
      </c>
      <c r="EH49">
        <f>38767</f>
        <v>38767</v>
      </c>
      <c r="EI49">
        <f>21392</f>
        <v>21392</v>
      </c>
      <c r="EJ49">
        <f>16931</f>
        <v>16931</v>
      </c>
      <c r="EK49">
        <f>47880</f>
        <v>47880</v>
      </c>
      <c r="EL49">
        <f>11654</f>
        <v>11654</v>
      </c>
      <c r="EM49">
        <f>28093</f>
        <v>28093</v>
      </c>
      <c r="EN49">
        <f>35764</f>
        <v>35764</v>
      </c>
      <c r="EO49">
        <f>36661</f>
        <v>36661</v>
      </c>
      <c r="EP49">
        <f>27697</f>
        <v>27697</v>
      </c>
      <c r="EQ49">
        <f>49525</f>
        <v>49525</v>
      </c>
      <c r="ER49">
        <f>23399</f>
        <v>23399</v>
      </c>
      <c r="ES49">
        <f>21519</f>
        <v>21519</v>
      </c>
      <c r="ET49">
        <f>53406</f>
        <v>53406</v>
      </c>
      <c r="EU49">
        <f>10481</f>
        <v>10481</v>
      </c>
      <c r="EV49">
        <f>23434</f>
        <v>23434</v>
      </c>
      <c r="EW49">
        <f>23900</f>
        <v>23900</v>
      </c>
      <c r="EX49">
        <f>33446</f>
        <v>33446</v>
      </c>
      <c r="EY49">
        <f>51137</f>
        <v>51137</v>
      </c>
      <c r="EZ49">
        <f>31491</f>
        <v>31491</v>
      </c>
      <c r="FA49">
        <f>11485</f>
        <v>11485</v>
      </c>
      <c r="FB49">
        <f>37255</f>
        <v>37255</v>
      </c>
      <c r="FC49">
        <f>42537</f>
        <v>42537</v>
      </c>
      <c r="FD49">
        <f>21979</f>
        <v>21979</v>
      </c>
      <c r="FE49">
        <f>11759</f>
        <v>11759</v>
      </c>
      <c r="FF49">
        <f>47639</f>
        <v>47639</v>
      </c>
      <c r="FG49">
        <f>29823</f>
        <v>29823</v>
      </c>
      <c r="FH49">
        <f>21696</f>
        <v>21696</v>
      </c>
      <c r="FI49">
        <f>12091</f>
        <v>12091</v>
      </c>
      <c r="FJ49">
        <f>52604</f>
        <v>52604</v>
      </c>
      <c r="FK49">
        <f>32402</f>
        <v>32402</v>
      </c>
      <c r="FL49">
        <f>56010</f>
        <v>56010</v>
      </c>
      <c r="FM49">
        <f>23480</f>
        <v>23480</v>
      </c>
      <c r="FN49">
        <f>30127</f>
        <v>30127</v>
      </c>
      <c r="FO49">
        <f>11727</f>
        <v>11727</v>
      </c>
      <c r="FP49">
        <f>52706</f>
        <v>52706</v>
      </c>
      <c r="FQ49">
        <f>21769</f>
        <v>21769</v>
      </c>
    </row>
    <row r="50" spans="1:173" x14ac:dyDescent="0.25">
      <c r="A50" t="str">
        <f>"Port Hedland Cargo Statistics - Australia Port Hedland Total Imports (tonnes) - Container Imports"</f>
        <v>Port Hedland Cargo Statistics - Australia Port Hedland Total Imports (tonnes) - Container Imports</v>
      </c>
      <c r="B50" t="str">
        <f>"AHEDIMCO Index"</f>
        <v>AHEDIMCO Index</v>
      </c>
      <c r="C50" t="str">
        <f t="shared" si="3"/>
        <v>PX385</v>
      </c>
      <c r="D50" t="str">
        <f t="shared" si="4"/>
        <v>INTERVAL_SUM</v>
      </c>
      <c r="E50" t="str">
        <f t="shared" si="5"/>
        <v>Dynamic</v>
      </c>
      <c r="F50" t="str">
        <f ca="1">IF(AND(ISNUMBER($F$110),$B$69=1),$F$110,HLOOKUP(INDIRECT(ADDRESS(2,COLUMN())),OFFSET($CL$2,0,0,ROW()-1,84),ROW()-1,FALSE))</f>
        <v/>
      </c>
      <c r="G50">
        <f ca="1">IF(AND(ISNUMBER($G$110),$B$69=1),$G$110,HLOOKUP(INDIRECT(ADDRESS(2,COLUMN())),OFFSET($CL$2,0,0,ROW()-1,84),ROW()-1,FALSE))</f>
        <v>1521.7</v>
      </c>
      <c r="H50">
        <f ca="1">IF(AND(ISNUMBER($H$110),$B$69=1),$H$110,HLOOKUP(INDIRECT(ADDRESS(2,COLUMN())),OFFSET($CL$2,0,0,ROW()-1,84),ROW()-1,FALSE))</f>
        <v>2091.36</v>
      </c>
      <c r="I50">
        <f ca="1">IF(AND(ISNUMBER($I$110),$B$69=1),$I$110,HLOOKUP(INDIRECT(ADDRESS(2,COLUMN())),OFFSET($CL$2,0,0,ROW()-1,84),ROW()-1,FALSE))</f>
        <v>1840.66</v>
      </c>
      <c r="J50">
        <f ca="1">IF(AND(ISNUMBER($J$110),$B$69=1),$J$110,HLOOKUP(INDIRECT(ADDRESS(2,COLUMN())),OFFSET($CL$2,0,0,ROW()-1,84),ROW()-1,FALSE))</f>
        <v>1762.52</v>
      </c>
      <c r="K50">
        <f ca="1">IF(AND(ISNUMBER($K$110),$B$69=1),$K$110,HLOOKUP(INDIRECT(ADDRESS(2,COLUMN())),OFFSET($CL$2,0,0,ROW()-1,84),ROW()-1,FALSE))</f>
        <v>2237.5700000000002</v>
      </c>
      <c r="L50">
        <f ca="1">IF(AND(ISNUMBER($L$110),$B$69=1),$L$110,HLOOKUP(INDIRECT(ADDRESS(2,COLUMN())),OFFSET($CL$2,0,0,ROW()-1,84),ROW()-1,FALSE))</f>
        <v>1048.3599999999999</v>
      </c>
      <c r="M50">
        <f ca="1">IF(AND(ISNUMBER($M$110),$B$69=1),$M$110,HLOOKUP(INDIRECT(ADDRESS(2,COLUMN())),OFFSET($CL$2,0,0,ROW()-1,84),ROW()-1,FALSE))</f>
        <v>2912.19</v>
      </c>
      <c r="N50">
        <f ca="1">IF(AND(ISNUMBER($N$110),$B$69=1),$N$110,HLOOKUP(INDIRECT(ADDRESS(2,COLUMN())),OFFSET($CL$2,0,0,ROW()-1,84),ROW()-1,FALSE))</f>
        <v>1206.58</v>
      </c>
      <c r="O50">
        <f ca="1">IF(AND(ISNUMBER($O$110),$B$69=1),$O$110,HLOOKUP(INDIRECT(ADDRESS(2,COLUMN())),OFFSET($CL$2,0,0,ROW()-1,84),ROW()-1,FALSE))</f>
        <v>5061.7</v>
      </c>
      <c r="P50">
        <f ca="1">IF(AND(ISNUMBER($P$110),$B$69=1),$P$110,HLOOKUP(INDIRECT(ADDRESS(2,COLUMN())),OFFSET($CL$2,0,0,ROW()-1,84),ROW()-1,FALSE))</f>
        <v>3230.81</v>
      </c>
      <c r="Q50">
        <f ca="1">IF(AND(ISNUMBER($Q$110),$B$69=1),$Q$110,HLOOKUP(INDIRECT(ADDRESS(2,COLUMN())),OFFSET($CL$2,0,0,ROW()-1,84),ROW()-1,FALSE))</f>
        <v>2899.3</v>
      </c>
      <c r="R50">
        <f ca="1">IF(AND(ISNUMBER($R$110),$B$69=1),$R$110,HLOOKUP(INDIRECT(ADDRESS(2,COLUMN())),OFFSET($CL$2,0,0,ROW()-1,84),ROW()-1,FALSE))</f>
        <v>2684.65</v>
      </c>
      <c r="S50">
        <f ca="1">IF(AND(ISNUMBER($S$110),$B$69=1),$S$110,HLOOKUP(INDIRECT(ADDRESS(2,COLUMN())),OFFSET($CL$2,0,0,ROW()-1,84),ROW()-1,FALSE))</f>
        <v>2526.12</v>
      </c>
      <c r="T50">
        <f ca="1">IF(AND(ISNUMBER($T$110),$B$69=1),$T$110,HLOOKUP(INDIRECT(ADDRESS(2,COLUMN())),OFFSET($CL$2,0,0,ROW()-1,84),ROW()-1,FALSE))</f>
        <v>1624.19</v>
      </c>
      <c r="U50">
        <f ca="1">IF(AND(ISNUMBER($U$110),$B$69=1),$U$110,HLOOKUP(INDIRECT(ADDRESS(2,COLUMN())),OFFSET($CL$2,0,0,ROW()-1,84),ROW()-1,FALSE))</f>
        <v>3783.22</v>
      </c>
      <c r="V50">
        <f ca="1">IF(AND(ISNUMBER($V$110),$B$69=1),$V$110,HLOOKUP(INDIRECT(ADDRESS(2,COLUMN())),OFFSET($CL$2,0,0,ROW()-1,84),ROW()-1,FALSE))</f>
        <v>2203.31</v>
      </c>
      <c r="W50">
        <f ca="1">IF(AND(ISNUMBER($W$110),$B$69=1),$W$110,HLOOKUP(INDIRECT(ADDRESS(2,COLUMN())),OFFSET($CL$2,0,0,ROW()-1,84),ROW()-1,FALSE))</f>
        <v>4051.93</v>
      </c>
      <c r="X50">
        <f ca="1">IF(AND(ISNUMBER($X$110),$B$69=1),$X$110,HLOOKUP(INDIRECT(ADDRESS(2,COLUMN())),OFFSET($CL$2,0,0,ROW()-1,84),ROW()-1,FALSE))</f>
        <v>3067.33</v>
      </c>
      <c r="Y50">
        <f ca="1">IF(AND(ISNUMBER($Y$110),$B$69=1),$Y$110,HLOOKUP(INDIRECT(ADDRESS(2,COLUMN())),OFFSET($CL$2,0,0,ROW()-1,84),ROW()-1,FALSE))</f>
        <v>6281.06</v>
      </c>
      <c r="Z50">
        <f ca="1">IF(AND(ISNUMBER($Z$110),$B$69=1),$Z$110,HLOOKUP(INDIRECT(ADDRESS(2,COLUMN())),OFFSET($CL$2,0,0,ROW()-1,84),ROW()-1,FALSE))</f>
        <v>1474.68</v>
      </c>
      <c r="AA50">
        <f ca="1">IF(AND(ISNUMBER($AA$110),$B$69=1),$AA$110,HLOOKUP(INDIRECT(ADDRESS(2,COLUMN())),OFFSET($CL$2,0,0,ROW()-1,84),ROW()-1,FALSE))</f>
        <v>3977.34</v>
      </c>
      <c r="AB50">
        <f ca="1">IF(AND(ISNUMBER($AB$110),$B$69=1),$AB$110,HLOOKUP(INDIRECT(ADDRESS(2,COLUMN())),OFFSET($CL$2,0,0,ROW()-1,84),ROW()-1,FALSE))</f>
        <v>1041.33</v>
      </c>
      <c r="AC50">
        <f ca="1">IF(AND(ISNUMBER($AC$110),$B$69=1),$AC$110,HLOOKUP(INDIRECT(ADDRESS(2,COLUMN())),OFFSET($CL$2,0,0,ROW()-1,84),ROW()-1,FALSE))</f>
        <v>622.04</v>
      </c>
      <c r="AD50">
        <f ca="1">IF(AND(ISNUMBER($AD$110),$B$69=1),$AD$110,HLOOKUP(INDIRECT(ADDRESS(2,COLUMN())),OFFSET($CL$2,0,0,ROW()-1,84),ROW()-1,FALSE))</f>
        <v>3475.93</v>
      </c>
      <c r="AE50">
        <f ca="1">IF(AND(ISNUMBER($AE$110),$B$69=1),$AE$110,HLOOKUP(INDIRECT(ADDRESS(2,COLUMN())),OFFSET($CL$2,0,0,ROW()-1,84),ROW()-1,FALSE))</f>
        <v>141.88</v>
      </c>
      <c r="AF50">
        <f ca="1">IF(AND(ISNUMBER($AF$110),$B$69=1),$AF$110,HLOOKUP(INDIRECT(ADDRESS(2,COLUMN())),OFFSET($CL$2,0,0,ROW()-1,84),ROW()-1,FALSE))</f>
        <v>2046.82</v>
      </c>
      <c r="AG50">
        <f ca="1">IF(AND(ISNUMBER($AG$110),$B$69=1),$AG$110,HLOOKUP(INDIRECT(ADDRESS(2,COLUMN())),OFFSET($CL$2,0,0,ROW()-1,84),ROW()-1,FALSE))</f>
        <v>1454.1</v>
      </c>
      <c r="AH50">
        <f ca="1">IF(AND(ISNUMBER($AH$110),$B$69=1),$AH$110,HLOOKUP(INDIRECT(ADDRESS(2,COLUMN())),OFFSET($CL$2,0,0,ROW()-1,84),ROW()-1,FALSE))</f>
        <v>1454.1</v>
      </c>
      <c r="AI50">
        <f ca="1">IF(AND(ISNUMBER($AI$110),$B$69=1),$AI$110,HLOOKUP(INDIRECT(ADDRESS(2,COLUMN())),OFFSET($CL$2,0,0,ROW()-1,84),ROW()-1,FALSE))</f>
        <v>759.4</v>
      </c>
      <c r="AJ50">
        <f ca="1">IF(AND(ISNUMBER($AJ$110),$B$69=1),$AJ$110,HLOOKUP(INDIRECT(ADDRESS(2,COLUMN())),OFFSET($CL$2,0,0,ROW()-1,84),ROW()-1,FALSE))</f>
        <v>640.13</v>
      </c>
      <c r="AK50">
        <f ca="1">IF(AND(ISNUMBER($AK$110),$B$69=1),$AK$110,HLOOKUP(INDIRECT(ADDRESS(2,COLUMN())),OFFSET($CL$2,0,0,ROW()-1,84),ROW()-1,FALSE))</f>
        <v>750.42</v>
      </c>
      <c r="AL50">
        <f ca="1">IF(AND(ISNUMBER($AL$110),$B$69=1),$AL$110,HLOOKUP(INDIRECT(ADDRESS(2,COLUMN())),OFFSET($CL$2,0,0,ROW()-1,84),ROW()-1,FALSE))</f>
        <v>488.86</v>
      </c>
      <c r="AM50">
        <f ca="1">IF(AND(ISNUMBER($AM$110),$B$69=1),$AM$110,HLOOKUP(INDIRECT(ADDRESS(2,COLUMN())),OFFSET($CL$2,0,0,ROW()-1,84),ROW()-1,FALSE))</f>
        <v>0</v>
      </c>
      <c r="AN50">
        <f ca="1">IF(AND(ISNUMBER($AN$110),$B$69=1),$AN$110,HLOOKUP(INDIRECT(ADDRESS(2,COLUMN())),OFFSET($CL$2,0,0,ROW()-1,84),ROW()-1,FALSE))</f>
        <v>446.34</v>
      </c>
      <c r="AO50">
        <f ca="1">IF(AND(ISNUMBER($AO$110),$B$69=1),$AO$110,HLOOKUP(INDIRECT(ADDRESS(2,COLUMN())),OFFSET($CL$2,0,0,ROW()-1,84),ROW()-1,FALSE))</f>
        <v>694.63</v>
      </c>
      <c r="AP50" t="str">
        <f ca="1">IF(AND(ISNUMBER($AP$110),$B$69=1),$AP$110,HLOOKUP(INDIRECT(ADDRESS(2,COLUMN())),OFFSET($CL$2,0,0,ROW()-1,84),ROW()-1,FALSE))</f>
        <v/>
      </c>
      <c r="AQ50" t="str">
        <f ca="1">IF(AND(ISNUMBER($AQ$110),$B$69=1),$AQ$110,HLOOKUP(INDIRECT(ADDRESS(2,COLUMN())),OFFSET($CL$2,0,0,ROW()-1,84),ROW()-1,FALSE))</f>
        <v/>
      </c>
      <c r="AR50" t="str">
        <f ca="1">IF(AND(ISNUMBER($AR$110),$B$69=1),$AR$110,HLOOKUP(INDIRECT(ADDRESS(2,COLUMN())),OFFSET($CL$2,0,0,ROW()-1,84),ROW()-1,FALSE))</f>
        <v/>
      </c>
      <c r="AS50" t="str">
        <f ca="1">IF(AND(ISNUMBER($AS$110),$B$69=1),$AS$110,HLOOKUP(INDIRECT(ADDRESS(2,COLUMN())),OFFSET($CL$2,0,0,ROW()-1,84),ROW()-1,FALSE))</f>
        <v/>
      </c>
      <c r="AT50">
        <f ca="1">IF(AND(ISNUMBER($AT$110),$B$69=1),$AT$110,HLOOKUP(INDIRECT(ADDRESS(2,COLUMN())),OFFSET($CL$2,0,0,ROW()-1,84),ROW()-1,FALSE))</f>
        <v>0</v>
      </c>
      <c r="AU50">
        <f ca="1">IF(AND(ISNUMBER($AU$110),$B$69=1),$AU$110,HLOOKUP(INDIRECT(ADDRESS(2,COLUMN())),OFFSET($CL$2,0,0,ROW()-1,84),ROW()-1,FALSE))</f>
        <v>1.85</v>
      </c>
      <c r="AV50">
        <f ca="1">IF(AND(ISNUMBER($AV$110),$B$69=1),$AV$110,HLOOKUP(INDIRECT(ADDRESS(2,COLUMN())),OFFSET($CL$2,0,0,ROW()-1,84),ROW()-1,FALSE))</f>
        <v>0</v>
      </c>
      <c r="AW50">
        <f ca="1">IF(AND(ISNUMBER($AW$110),$B$69=1),$AW$110,HLOOKUP(INDIRECT(ADDRESS(2,COLUMN())),OFFSET($CL$2,0,0,ROW()-1,84),ROW()-1,FALSE))</f>
        <v>0</v>
      </c>
      <c r="AX50">
        <f ca="1">IF(AND(ISNUMBER($AX$110),$B$69=1),$AX$110,HLOOKUP(INDIRECT(ADDRESS(2,COLUMN())),OFFSET($CL$2,0,0,ROW()-1,84),ROW()-1,FALSE))</f>
        <v>26.29</v>
      </c>
      <c r="AY50">
        <f ca="1">IF(AND(ISNUMBER($AY$110),$B$69=1),$AY$110,HLOOKUP(INDIRECT(ADDRESS(2,COLUMN())),OFFSET($CL$2,0,0,ROW()-1,84),ROW()-1,FALSE))</f>
        <v>450.07</v>
      </c>
      <c r="AZ50">
        <f ca="1">IF(AND(ISNUMBER($AZ$110),$B$69=1),$AZ$110,HLOOKUP(INDIRECT(ADDRESS(2,COLUMN())),OFFSET($CL$2,0,0,ROW()-1,84),ROW()-1,FALSE))</f>
        <v>0</v>
      </c>
      <c r="BA50">
        <f ca="1">IF(AND(ISNUMBER($BA$110),$B$69=1),$BA$110,HLOOKUP(INDIRECT(ADDRESS(2,COLUMN())),OFFSET($CL$2,0,0,ROW()-1,84),ROW()-1,FALSE))</f>
        <v>0</v>
      </c>
      <c r="BB50">
        <f ca="1">IF(AND(ISNUMBER($BB$110),$B$69=1),$BB$110,HLOOKUP(INDIRECT(ADDRESS(2,COLUMN())),OFFSET($CL$2,0,0,ROW()-1,84),ROW()-1,FALSE))</f>
        <v>0</v>
      </c>
      <c r="BC50">
        <f ca="1">IF(AND(ISNUMBER($BC$110),$B$69=1),$BC$110,HLOOKUP(INDIRECT(ADDRESS(2,COLUMN())),OFFSET($CL$2,0,0,ROW()-1,84),ROW()-1,FALSE))</f>
        <v>0</v>
      </c>
      <c r="BD50">
        <f ca="1">IF(AND(ISNUMBER($BD$110),$B$69=1),$BD$110,HLOOKUP(INDIRECT(ADDRESS(2,COLUMN())),OFFSET($CL$2,0,0,ROW()-1,84),ROW()-1,FALSE))</f>
        <v>0</v>
      </c>
      <c r="BE50">
        <f ca="1">IF(AND(ISNUMBER($BE$110),$B$69=1),$BE$110,HLOOKUP(INDIRECT(ADDRESS(2,COLUMN())),OFFSET($CL$2,0,0,ROW()-1,84),ROW()-1,FALSE))</f>
        <v>0</v>
      </c>
      <c r="BF50">
        <f ca="1">IF(AND(ISNUMBER($BF$110),$B$69=1),$BF$110,HLOOKUP(INDIRECT(ADDRESS(2,COLUMN())),OFFSET($CL$2,0,0,ROW()-1,84),ROW()-1,FALSE))</f>
        <v>0</v>
      </c>
      <c r="BG50">
        <f ca="1">IF(AND(ISNUMBER($BG$110),$B$69=1),$BG$110,HLOOKUP(INDIRECT(ADDRESS(2,COLUMN())),OFFSET($CL$2,0,0,ROW()-1,84),ROW()-1,FALSE))</f>
        <v>0</v>
      </c>
      <c r="BH50">
        <f ca="1">IF(AND(ISNUMBER($BH$110),$B$69=1),$BH$110,HLOOKUP(INDIRECT(ADDRESS(2,COLUMN())),OFFSET($CL$2,0,0,ROW()-1,84),ROW()-1,FALSE))</f>
        <v>0</v>
      </c>
      <c r="BI50">
        <f ca="1">IF(AND(ISNUMBER($BI$110),$B$69=1),$BI$110,HLOOKUP(INDIRECT(ADDRESS(2,COLUMN())),OFFSET($CL$2,0,0,ROW()-1,84),ROW()-1,FALSE))</f>
        <v>0</v>
      </c>
      <c r="BJ50">
        <f ca="1">IF(AND(ISNUMBER($BJ$110),$B$69=1),$BJ$110,HLOOKUP(INDIRECT(ADDRESS(2,COLUMN())),OFFSET($CL$2,0,0,ROW()-1,84),ROW()-1,FALSE))</f>
        <v>0</v>
      </c>
      <c r="BK50">
        <f ca="1">IF(AND(ISNUMBER($BK$110),$B$69=1),$BK$110,HLOOKUP(INDIRECT(ADDRESS(2,COLUMN())),OFFSET($CL$2,0,0,ROW()-1,84),ROW()-1,FALSE))</f>
        <v>0</v>
      </c>
      <c r="BL50">
        <f ca="1">IF(AND(ISNUMBER($BL$110),$B$69=1),$BL$110,HLOOKUP(INDIRECT(ADDRESS(2,COLUMN())),OFFSET($CL$2,0,0,ROW()-1,84),ROW()-1,FALSE))</f>
        <v>0</v>
      </c>
      <c r="BM50">
        <f ca="1">IF(AND(ISNUMBER($BM$110),$B$69=1),$BM$110,HLOOKUP(INDIRECT(ADDRESS(2,COLUMN())),OFFSET($CL$2,0,0,ROW()-1,84),ROW()-1,FALSE))</f>
        <v>0</v>
      </c>
      <c r="BN50">
        <f ca="1">IF(AND(ISNUMBER($BN$110),$B$69=1),$BN$110,HLOOKUP(INDIRECT(ADDRESS(2,COLUMN())),OFFSET($CL$2,0,0,ROW()-1,84),ROW()-1,FALSE))</f>
        <v>0</v>
      </c>
      <c r="BO50">
        <f ca="1">IF(AND(ISNUMBER($BO$110),$B$69=1),$BO$110,HLOOKUP(INDIRECT(ADDRESS(2,COLUMN())),OFFSET($CL$2,0,0,ROW()-1,84),ROW()-1,FALSE))</f>
        <v>20.8</v>
      </c>
      <c r="BP50">
        <f ca="1">IF(AND(ISNUMBER($BP$110),$B$69=1),$BP$110,HLOOKUP(INDIRECT(ADDRESS(2,COLUMN())),OFFSET($CL$2,0,0,ROW()-1,84),ROW()-1,FALSE))</f>
        <v>0</v>
      </c>
      <c r="BQ50">
        <f ca="1">IF(AND(ISNUMBER($BQ$110),$B$69=1),$BQ$110,HLOOKUP(INDIRECT(ADDRESS(2,COLUMN())),OFFSET($CL$2,0,0,ROW()-1,84),ROW()-1,FALSE))</f>
        <v>0</v>
      </c>
      <c r="BR50">
        <f ca="1">IF(AND(ISNUMBER($BR$110),$B$69=1),$BR$110,HLOOKUP(INDIRECT(ADDRESS(2,COLUMN())),OFFSET($CL$2,0,0,ROW()-1,84),ROW()-1,FALSE))</f>
        <v>0</v>
      </c>
      <c r="BS50">
        <f ca="1">IF(AND(ISNUMBER($BS$110),$B$69=1),$BS$110,HLOOKUP(INDIRECT(ADDRESS(2,COLUMN())),OFFSET($CL$2,0,0,ROW()-1,84),ROW()-1,FALSE))</f>
        <v>293.89</v>
      </c>
      <c r="BT50">
        <f ca="1">IF(AND(ISNUMBER($BT$110),$B$69=1),$BT$110,HLOOKUP(INDIRECT(ADDRESS(2,COLUMN())),OFFSET($CL$2,0,0,ROW()-1,84),ROW()-1,FALSE))</f>
        <v>0</v>
      </c>
      <c r="BU50">
        <f ca="1">IF(AND(ISNUMBER($BU$110),$B$69=1),$BU$110,HLOOKUP(INDIRECT(ADDRESS(2,COLUMN())),OFFSET($CL$2,0,0,ROW()-1,84),ROW()-1,FALSE))</f>
        <v>71.150000000000006</v>
      </c>
      <c r="BV50">
        <f ca="1">IF(AND(ISNUMBER($BV$110),$B$69=1),$BV$110,HLOOKUP(INDIRECT(ADDRESS(2,COLUMN())),OFFSET($CL$2,0,0,ROW()-1,84),ROW()-1,FALSE))</f>
        <v>115.48</v>
      </c>
      <c r="BW50">
        <f ca="1">IF(AND(ISNUMBER($BW$110),$B$69=1),$BW$110,HLOOKUP(INDIRECT(ADDRESS(2,COLUMN())),OFFSET($CL$2,0,0,ROW()-1,84),ROW()-1,FALSE))</f>
        <v>70.010000000000005</v>
      </c>
      <c r="BX50">
        <f ca="1">IF(AND(ISNUMBER($BX$110),$B$69=1),$BX$110,HLOOKUP(INDIRECT(ADDRESS(2,COLUMN())),OFFSET($CL$2,0,0,ROW()-1,84),ROW()-1,FALSE))</f>
        <v>185.89</v>
      </c>
      <c r="BY50">
        <f ca="1">IF(AND(ISNUMBER($BY$110),$B$69=1),$BY$110,HLOOKUP(INDIRECT(ADDRESS(2,COLUMN())),OFFSET($CL$2,0,0,ROW()-1,84),ROW()-1,FALSE))</f>
        <v>129.36000000000001</v>
      </c>
      <c r="BZ50">
        <f ca="1">IF(AND(ISNUMBER($BZ$110),$B$69=1),$BZ$110,HLOOKUP(INDIRECT(ADDRESS(2,COLUMN())),OFFSET($CL$2,0,0,ROW()-1,84),ROW()-1,FALSE))</f>
        <v>0.69</v>
      </c>
      <c r="CA50">
        <f ca="1">IF(AND(ISNUMBER($CA$110),$B$69=1),$CA$110,HLOOKUP(INDIRECT(ADDRESS(2,COLUMN())),OFFSET($CL$2,0,0,ROW()-1,84),ROW()-1,FALSE))</f>
        <v>0</v>
      </c>
      <c r="CB50">
        <f ca="1">IF(AND(ISNUMBER($CB$110),$B$69=1),$CB$110,HLOOKUP(INDIRECT(ADDRESS(2,COLUMN())),OFFSET($CL$2,0,0,ROW()-1,84),ROW()-1,FALSE))</f>
        <v>0</v>
      </c>
      <c r="CC50">
        <f ca="1">IF(AND(ISNUMBER($CC$110),$B$69=1),$CC$110,HLOOKUP(INDIRECT(ADDRESS(2,COLUMN())),OFFSET($CL$2,0,0,ROW()-1,84),ROW()-1,FALSE))</f>
        <v>0</v>
      </c>
      <c r="CD50">
        <f ca="1">IF(AND(ISNUMBER($CD$110),$B$69=1),$CD$110,HLOOKUP(INDIRECT(ADDRESS(2,COLUMN())),OFFSET($CL$2,0,0,ROW()-1,84),ROW()-1,FALSE))</f>
        <v>0</v>
      </c>
      <c r="CE50">
        <f ca="1">IF(AND(ISNUMBER($CE$110),$B$69=1),$CE$110,HLOOKUP(INDIRECT(ADDRESS(2,COLUMN())),OFFSET($CL$2,0,0,ROW()-1,84),ROW()-1,FALSE))</f>
        <v>0</v>
      </c>
      <c r="CF50">
        <f ca="1">IF(AND(ISNUMBER($CF$110),$B$69=1),$CF$110,HLOOKUP(INDIRECT(ADDRESS(2,COLUMN())),OFFSET($CL$2,0,0,ROW()-1,84),ROW()-1,FALSE))</f>
        <v>0</v>
      </c>
      <c r="CG50">
        <f ca="1">IF(AND(ISNUMBER($CG$110),$B$69=1),$CG$110,HLOOKUP(INDIRECT(ADDRESS(2,COLUMN())),OFFSET($CL$2,0,0,ROW()-1,84),ROW()-1,FALSE))</f>
        <v>0</v>
      </c>
      <c r="CH50">
        <f ca="1">IF(AND(ISNUMBER($CH$110),$B$69=1),$CH$110,HLOOKUP(INDIRECT(ADDRESS(2,COLUMN())),OFFSET($CL$2,0,0,ROW()-1,84),ROW()-1,FALSE))</f>
        <v>0</v>
      </c>
      <c r="CI50">
        <f ca="1">IF(AND(ISNUMBER($CI$110),$B$69=1),$CI$110,HLOOKUP(INDIRECT(ADDRESS(2,COLUMN())),OFFSET($CL$2,0,0,ROW()-1,84),ROW()-1,FALSE))</f>
        <v>0</v>
      </c>
      <c r="CJ50">
        <f ca="1">IF(AND(ISNUMBER($CJ$110),$B$69=1),$CJ$110,HLOOKUP(INDIRECT(ADDRESS(2,COLUMN())),OFFSET($CL$2,0,0,ROW()-1,84),ROW()-1,FALSE))</f>
        <v>0</v>
      </c>
      <c r="CK50">
        <f ca="1">IF(AND(ISNUMBER($CK$110),$B$69=1),$CK$110,HLOOKUP(INDIRECT(ADDRESS(2,COLUMN())),OFFSET($CL$2,0,0,ROW()-1,84),ROW()-1,FALSE))</f>
        <v>0</v>
      </c>
      <c r="CL50" t="str">
        <f>""</f>
        <v/>
      </c>
      <c r="CM50">
        <f>1521.7</f>
        <v>1521.7</v>
      </c>
      <c r="CN50">
        <f>2091.36</f>
        <v>2091.36</v>
      </c>
      <c r="CO50">
        <f>1840.66</f>
        <v>1840.66</v>
      </c>
      <c r="CP50">
        <f>1762.52</f>
        <v>1762.52</v>
      </c>
      <c r="CQ50">
        <f>2237.57</f>
        <v>2237.5700000000002</v>
      </c>
      <c r="CR50">
        <f>1048.36</f>
        <v>1048.3599999999999</v>
      </c>
      <c r="CS50">
        <f>2912.19</f>
        <v>2912.19</v>
      </c>
      <c r="CT50">
        <f>1206.58</f>
        <v>1206.58</v>
      </c>
      <c r="CU50">
        <f>5061.7</f>
        <v>5061.7</v>
      </c>
      <c r="CV50">
        <f>3230.81</f>
        <v>3230.81</v>
      </c>
      <c r="CW50">
        <f>2899.3</f>
        <v>2899.3</v>
      </c>
      <c r="CX50">
        <f>2684.65</f>
        <v>2684.65</v>
      </c>
      <c r="CY50">
        <f>2526.12</f>
        <v>2526.12</v>
      </c>
      <c r="CZ50">
        <f>1624.19</f>
        <v>1624.19</v>
      </c>
      <c r="DA50">
        <f>3783.22</f>
        <v>3783.22</v>
      </c>
      <c r="DB50">
        <f>2203.31</f>
        <v>2203.31</v>
      </c>
      <c r="DC50">
        <f>4051.93</f>
        <v>4051.93</v>
      </c>
      <c r="DD50">
        <f>3067.33</f>
        <v>3067.33</v>
      </c>
      <c r="DE50">
        <f>6281.06</f>
        <v>6281.06</v>
      </c>
      <c r="DF50">
        <f>1474.68</f>
        <v>1474.68</v>
      </c>
      <c r="DG50">
        <f>3977.34</f>
        <v>3977.34</v>
      </c>
      <c r="DH50">
        <f>1041.33</f>
        <v>1041.33</v>
      </c>
      <c r="DI50">
        <f>622.04</f>
        <v>622.04</v>
      </c>
      <c r="DJ50">
        <f>3475.93</f>
        <v>3475.93</v>
      </c>
      <c r="DK50">
        <f>141.88</f>
        <v>141.88</v>
      </c>
      <c r="DL50">
        <f>2046.82</f>
        <v>2046.82</v>
      </c>
      <c r="DM50">
        <f>1454.1</f>
        <v>1454.1</v>
      </c>
      <c r="DN50">
        <f>1454.1</f>
        <v>1454.1</v>
      </c>
      <c r="DO50">
        <f>759.4</f>
        <v>759.4</v>
      </c>
      <c r="DP50">
        <f>640.13</f>
        <v>640.13</v>
      </c>
      <c r="DQ50">
        <f>750.42</f>
        <v>750.42</v>
      </c>
      <c r="DR50">
        <f>488.86</f>
        <v>488.86</v>
      </c>
      <c r="DS50">
        <f>0</f>
        <v>0</v>
      </c>
      <c r="DT50">
        <f>446.34</f>
        <v>446.34</v>
      </c>
      <c r="DU50">
        <f>694.63</f>
        <v>694.63</v>
      </c>
      <c r="DV50" t="str">
        <f>""</f>
        <v/>
      </c>
      <c r="DW50" t="str">
        <f>""</f>
        <v/>
      </c>
      <c r="DX50" t="str">
        <f>""</f>
        <v/>
      </c>
      <c r="DY50" t="str">
        <f>""</f>
        <v/>
      </c>
      <c r="DZ50">
        <f>0</f>
        <v>0</v>
      </c>
      <c r="EA50">
        <f>1.85</f>
        <v>1.85</v>
      </c>
      <c r="EB50">
        <f>0</f>
        <v>0</v>
      </c>
      <c r="EC50">
        <f>0</f>
        <v>0</v>
      </c>
      <c r="ED50">
        <f>26.29</f>
        <v>26.29</v>
      </c>
      <c r="EE50">
        <f>450.07</f>
        <v>450.07</v>
      </c>
      <c r="EF50">
        <f>0</f>
        <v>0</v>
      </c>
      <c r="EG50">
        <f>0</f>
        <v>0</v>
      </c>
      <c r="EH50">
        <f>0</f>
        <v>0</v>
      </c>
      <c r="EI50">
        <f>0</f>
        <v>0</v>
      </c>
      <c r="EJ50">
        <f>0</f>
        <v>0</v>
      </c>
      <c r="EK50">
        <f>0</f>
        <v>0</v>
      </c>
      <c r="EL50">
        <f>0</f>
        <v>0</v>
      </c>
      <c r="EM50">
        <f>0</f>
        <v>0</v>
      </c>
      <c r="EN50">
        <f>0</f>
        <v>0</v>
      </c>
      <c r="EO50">
        <f>0</f>
        <v>0</v>
      </c>
      <c r="EP50">
        <f>0</f>
        <v>0</v>
      </c>
      <c r="EQ50">
        <f>0</f>
        <v>0</v>
      </c>
      <c r="ER50">
        <f>0</f>
        <v>0</v>
      </c>
      <c r="ES50">
        <f>0</f>
        <v>0</v>
      </c>
      <c r="ET50">
        <f>0</f>
        <v>0</v>
      </c>
      <c r="EU50">
        <f>20.8</f>
        <v>20.8</v>
      </c>
      <c r="EV50">
        <f>0</f>
        <v>0</v>
      </c>
      <c r="EW50">
        <f>0</f>
        <v>0</v>
      </c>
      <c r="EX50">
        <f>0</f>
        <v>0</v>
      </c>
      <c r="EY50">
        <f>293.89</f>
        <v>293.89</v>
      </c>
      <c r="EZ50">
        <f>0</f>
        <v>0</v>
      </c>
      <c r="FA50">
        <f>71.15</f>
        <v>71.150000000000006</v>
      </c>
      <c r="FB50">
        <f>115.48</f>
        <v>115.48</v>
      </c>
      <c r="FC50">
        <f>70.01</f>
        <v>70.010000000000005</v>
      </c>
      <c r="FD50">
        <f>185.89</f>
        <v>185.89</v>
      </c>
      <c r="FE50">
        <f>129.36</f>
        <v>129.36000000000001</v>
      </c>
      <c r="FF50">
        <f>0.69</f>
        <v>0.69</v>
      </c>
      <c r="FG50">
        <f>0</f>
        <v>0</v>
      </c>
      <c r="FH50">
        <f>0</f>
        <v>0</v>
      </c>
      <c r="FI50">
        <f>0</f>
        <v>0</v>
      </c>
      <c r="FJ50">
        <f>0</f>
        <v>0</v>
      </c>
      <c r="FK50">
        <f>0</f>
        <v>0</v>
      </c>
      <c r="FL50">
        <f>0</f>
        <v>0</v>
      </c>
      <c r="FM50">
        <f>0</f>
        <v>0</v>
      </c>
      <c r="FN50">
        <f>0</f>
        <v>0</v>
      </c>
      <c r="FO50">
        <f>0</f>
        <v>0</v>
      </c>
      <c r="FP50">
        <f>0</f>
        <v>0</v>
      </c>
      <c r="FQ50">
        <f>0</f>
        <v>0</v>
      </c>
    </row>
    <row r="51" spans="1:173" x14ac:dyDescent="0.25">
      <c r="A51" t="str">
        <f>"Port Hedland Cargo Statistics - Australia Port Hedland Total Imports (tonnes) - Chemical Compound Imports (tonnes)"</f>
        <v>Port Hedland Cargo Statistics - Australia Port Hedland Total Imports (tonnes) - Chemical Compound Imports (tonnes)</v>
      </c>
      <c r="B51" t="str">
        <f>"AHEDIMCC Index"</f>
        <v>AHEDIMCC Index</v>
      </c>
      <c r="C51" t="str">
        <f t="shared" si="3"/>
        <v>PX385</v>
      </c>
      <c r="D51" t="str">
        <f t="shared" si="4"/>
        <v>INTERVAL_SUM</v>
      </c>
      <c r="E51" t="str">
        <f t="shared" si="5"/>
        <v>Dynamic</v>
      </c>
      <c r="F51" t="str">
        <f ca="1">IF(AND(ISNUMBER($F$111),$B$69=1),$F$111,HLOOKUP(INDIRECT(ADDRESS(2,COLUMN())),OFFSET($CL$2,0,0,ROW()-1,84),ROW()-1,FALSE))</f>
        <v/>
      </c>
      <c r="G51">
        <f ca="1">IF(AND(ISNUMBER($G$111),$B$69=1),$G$111,HLOOKUP(INDIRECT(ADDRESS(2,COLUMN())),OFFSET($CL$2,0,0,ROW()-1,84),ROW()-1,FALSE))</f>
        <v>0</v>
      </c>
      <c r="H51">
        <f ca="1">IF(AND(ISNUMBER($H$111),$B$69=1),$H$111,HLOOKUP(INDIRECT(ADDRESS(2,COLUMN())),OFFSET($CL$2,0,0,ROW()-1,84),ROW()-1,FALSE))</f>
        <v>3603.35</v>
      </c>
      <c r="I51">
        <f ca="1">IF(AND(ISNUMBER($I$111),$B$69=1),$I$111,HLOOKUP(INDIRECT(ADDRESS(2,COLUMN())),OFFSET($CL$2,0,0,ROW()-1,84),ROW()-1,FALSE))</f>
        <v>3603.35</v>
      </c>
      <c r="J51">
        <f ca="1">IF(AND(ISNUMBER($J$111),$B$69=1),$J$111,HLOOKUP(INDIRECT(ADDRESS(2,COLUMN())),OFFSET($CL$2,0,0,ROW()-1,84),ROW()-1,FALSE))</f>
        <v>3600</v>
      </c>
      <c r="K51">
        <f ca="1">IF(AND(ISNUMBER($K$111),$B$69=1),$K$111,HLOOKUP(INDIRECT(ADDRESS(2,COLUMN())),OFFSET($CL$2,0,0,ROW()-1,84),ROW()-1,FALSE))</f>
        <v>14409</v>
      </c>
      <c r="L51">
        <f ca="1">IF(AND(ISNUMBER($L$111),$B$69=1),$L$111,HLOOKUP(INDIRECT(ADDRESS(2,COLUMN())),OFFSET($CL$2,0,0,ROW()-1,84),ROW()-1,FALSE))</f>
        <v>3400.8</v>
      </c>
      <c r="M51">
        <f ca="1">IF(AND(ISNUMBER($M$111),$B$69=1),$M$111,HLOOKUP(INDIRECT(ADDRESS(2,COLUMN())),OFFSET($CL$2,0,0,ROW()-1,84),ROW()-1,FALSE))</f>
        <v>16098.79</v>
      </c>
      <c r="N51">
        <f ca="1">IF(AND(ISNUMBER($N$111),$B$69=1),$N$111,HLOOKUP(INDIRECT(ADDRESS(2,COLUMN())),OFFSET($CL$2,0,0,ROW()-1,84),ROW()-1,FALSE))</f>
        <v>0</v>
      </c>
      <c r="O51">
        <f ca="1">IF(AND(ISNUMBER($O$111),$B$69=1),$O$111,HLOOKUP(INDIRECT(ADDRESS(2,COLUMN())),OFFSET($CL$2,0,0,ROW()-1,84),ROW()-1,FALSE))</f>
        <v>0</v>
      </c>
      <c r="P51">
        <f ca="1">IF(AND(ISNUMBER($P$111),$B$69=1),$P$111,HLOOKUP(INDIRECT(ADDRESS(2,COLUMN())),OFFSET($CL$2,0,0,ROW()-1,84),ROW()-1,FALSE))</f>
        <v>0</v>
      </c>
      <c r="Q51">
        <f ca="1">IF(AND(ISNUMBER($Q$111),$B$69=1),$Q$111,HLOOKUP(INDIRECT(ADDRESS(2,COLUMN())),OFFSET($CL$2,0,0,ROW()-1,84),ROW()-1,FALSE))</f>
        <v>0</v>
      </c>
      <c r="R51">
        <f ca="1">IF(AND(ISNUMBER($R$111),$B$69=1),$R$111,HLOOKUP(INDIRECT(ADDRESS(2,COLUMN())),OFFSET($CL$2,0,0,ROW()-1,84),ROW()-1,FALSE))</f>
        <v>0</v>
      </c>
      <c r="S51">
        <f ca="1">IF(AND(ISNUMBER($S$111),$B$69=1),$S$111,HLOOKUP(INDIRECT(ADDRESS(2,COLUMN())),OFFSET($CL$2,0,0,ROW()-1,84),ROW()-1,FALSE))</f>
        <v>5250</v>
      </c>
      <c r="T51">
        <f ca="1">IF(AND(ISNUMBER($T$111),$B$69=1),$T$111,HLOOKUP(INDIRECT(ADDRESS(2,COLUMN())),OFFSET($CL$2,0,0,ROW()-1,84),ROW()-1,FALSE))</f>
        <v>0</v>
      </c>
      <c r="U51">
        <f ca="1">IF(AND(ISNUMBER($U$111),$B$69=1),$U$111,HLOOKUP(INDIRECT(ADDRESS(2,COLUMN())),OFFSET($CL$2,0,0,ROW()-1,84),ROW()-1,FALSE))</f>
        <v>0</v>
      </c>
      <c r="V51">
        <f ca="1">IF(AND(ISNUMBER($V$111),$B$69=1),$V$111,HLOOKUP(INDIRECT(ADDRESS(2,COLUMN())),OFFSET($CL$2,0,0,ROW()-1,84),ROW()-1,FALSE))</f>
        <v>0</v>
      </c>
      <c r="W51">
        <f ca="1">IF(AND(ISNUMBER($W$111),$B$69=1),$W$111,HLOOKUP(INDIRECT(ADDRESS(2,COLUMN())),OFFSET($CL$2,0,0,ROW()-1,84),ROW()-1,FALSE))</f>
        <v>0</v>
      </c>
      <c r="X51">
        <f ca="1">IF(AND(ISNUMBER($X$111),$B$69=1),$X$111,HLOOKUP(INDIRECT(ADDRESS(2,COLUMN())),OFFSET($CL$2,0,0,ROW()-1,84),ROW()-1,FALSE))</f>
        <v>0</v>
      </c>
      <c r="Y51">
        <f ca="1">IF(AND(ISNUMBER($Y$111),$B$69=1),$Y$111,HLOOKUP(INDIRECT(ADDRESS(2,COLUMN())),OFFSET($CL$2,0,0,ROW()-1,84),ROW()-1,FALSE))</f>
        <v>0</v>
      </c>
      <c r="Z51">
        <f ca="1">IF(AND(ISNUMBER($Z$111),$B$69=1),$Z$111,HLOOKUP(INDIRECT(ADDRESS(2,COLUMN())),OFFSET($CL$2,0,0,ROW()-1,84),ROW()-1,FALSE))</f>
        <v>0</v>
      </c>
      <c r="AA51">
        <f ca="1">IF(AND(ISNUMBER($AA$111),$B$69=1),$AA$111,HLOOKUP(INDIRECT(ADDRESS(2,COLUMN())),OFFSET($CL$2,0,0,ROW()-1,84),ROW()-1,FALSE))</f>
        <v>0</v>
      </c>
      <c r="AB51">
        <f ca="1">IF(AND(ISNUMBER($AB$111),$B$69=1),$AB$111,HLOOKUP(INDIRECT(ADDRESS(2,COLUMN())),OFFSET($CL$2,0,0,ROW()-1,84),ROW()-1,FALSE))</f>
        <v>0</v>
      </c>
      <c r="AC51">
        <f ca="1">IF(AND(ISNUMBER($AC$111),$B$69=1),$AC$111,HLOOKUP(INDIRECT(ADDRESS(2,COLUMN())),OFFSET($CL$2,0,0,ROW()-1,84),ROW()-1,FALSE))</f>
        <v>0</v>
      </c>
      <c r="AD51">
        <f ca="1">IF(AND(ISNUMBER($AD$111),$B$69=1),$AD$111,HLOOKUP(INDIRECT(ADDRESS(2,COLUMN())),OFFSET($CL$2,0,0,ROW()-1,84),ROW()-1,FALSE))</f>
        <v>0</v>
      </c>
      <c r="AE51">
        <f ca="1">IF(AND(ISNUMBER($AE$111),$B$69=1),$AE$111,HLOOKUP(INDIRECT(ADDRESS(2,COLUMN())),OFFSET($CL$2,0,0,ROW()-1,84),ROW()-1,FALSE))</f>
        <v>0</v>
      </c>
      <c r="AF51">
        <f ca="1">IF(AND(ISNUMBER($AF$111),$B$69=1),$AF$111,HLOOKUP(INDIRECT(ADDRESS(2,COLUMN())),OFFSET($CL$2,0,0,ROW()-1,84),ROW()-1,FALSE))</f>
        <v>0</v>
      </c>
      <c r="AG51">
        <f ca="1">IF(AND(ISNUMBER($AG$111),$B$69=1),$AG$111,HLOOKUP(INDIRECT(ADDRESS(2,COLUMN())),OFFSET($CL$2,0,0,ROW()-1,84),ROW()-1,FALSE))</f>
        <v>0</v>
      </c>
      <c r="AH51">
        <f ca="1">IF(AND(ISNUMBER($AH$111),$B$69=1),$AH$111,HLOOKUP(INDIRECT(ADDRESS(2,COLUMN())),OFFSET($CL$2,0,0,ROW()-1,84),ROW()-1,FALSE))</f>
        <v>0</v>
      </c>
      <c r="AI51">
        <f ca="1">IF(AND(ISNUMBER($AI$111),$B$69=1),$AI$111,HLOOKUP(INDIRECT(ADDRESS(2,COLUMN())),OFFSET($CL$2,0,0,ROW()-1,84),ROW()-1,FALSE))</f>
        <v>0</v>
      </c>
      <c r="AJ51">
        <f ca="1">IF(AND(ISNUMBER($AJ$111),$B$69=1),$AJ$111,HLOOKUP(INDIRECT(ADDRESS(2,COLUMN())),OFFSET($CL$2,0,0,ROW()-1,84),ROW()-1,FALSE))</f>
        <v>0</v>
      </c>
      <c r="AK51">
        <f ca="1">IF(AND(ISNUMBER($AK$111),$B$69=1),$AK$111,HLOOKUP(INDIRECT(ADDRESS(2,COLUMN())),OFFSET($CL$2,0,0,ROW()-1,84),ROW()-1,FALSE))</f>
        <v>0</v>
      </c>
      <c r="AL51">
        <f ca="1">IF(AND(ISNUMBER($AL$111),$B$69=1),$AL$111,HLOOKUP(INDIRECT(ADDRESS(2,COLUMN())),OFFSET($CL$2,0,0,ROW()-1,84),ROW()-1,FALSE))</f>
        <v>0</v>
      </c>
      <c r="AM51">
        <f ca="1">IF(AND(ISNUMBER($AM$111),$B$69=1),$AM$111,HLOOKUP(INDIRECT(ADDRESS(2,COLUMN())),OFFSET($CL$2,0,0,ROW()-1,84),ROW()-1,FALSE))</f>
        <v>0</v>
      </c>
      <c r="AN51">
        <f ca="1">IF(AND(ISNUMBER($AN$111),$B$69=1),$AN$111,HLOOKUP(INDIRECT(ADDRESS(2,COLUMN())),OFFSET($CL$2,0,0,ROW()-1,84),ROW()-1,FALSE))</f>
        <v>0</v>
      </c>
      <c r="AO51">
        <f ca="1">IF(AND(ISNUMBER($AO$111),$B$69=1),$AO$111,HLOOKUP(INDIRECT(ADDRESS(2,COLUMN())),OFFSET($CL$2,0,0,ROW()-1,84),ROW()-1,FALSE))</f>
        <v>0</v>
      </c>
      <c r="AP51">
        <f ca="1">IF(AND(ISNUMBER($AP$111),$B$69=1),$AP$111,HLOOKUP(INDIRECT(ADDRESS(2,COLUMN())),OFFSET($CL$2,0,0,ROW()-1,84),ROW()-1,FALSE))</f>
        <v>7200</v>
      </c>
      <c r="AQ51" t="str">
        <f ca="1">IF(AND(ISNUMBER($AQ$111),$B$69=1),$AQ$111,HLOOKUP(INDIRECT(ADDRESS(2,COLUMN())),OFFSET($CL$2,0,0,ROW()-1,84),ROW()-1,FALSE))</f>
        <v/>
      </c>
      <c r="AR51">
        <f ca="1">IF(AND(ISNUMBER($AR$111),$B$69=1),$AR$111,HLOOKUP(INDIRECT(ADDRESS(2,COLUMN())),OFFSET($CL$2,0,0,ROW()-1,84),ROW()-1,FALSE))</f>
        <v>3600</v>
      </c>
      <c r="AS51">
        <f ca="1">IF(AND(ISNUMBER($AS$111),$B$69=1),$AS$111,HLOOKUP(INDIRECT(ADDRESS(2,COLUMN())),OFFSET($CL$2,0,0,ROW()-1,84),ROW()-1,FALSE))</f>
        <v>7208.64</v>
      </c>
      <c r="AT51">
        <f ca="1">IF(AND(ISNUMBER($AT$111),$B$69=1),$AT$111,HLOOKUP(INDIRECT(ADDRESS(2,COLUMN())),OFFSET($CL$2,0,0,ROW()-1,84),ROW()-1,FALSE))</f>
        <v>14476.33</v>
      </c>
      <c r="AU51">
        <f ca="1">IF(AND(ISNUMBER($AU$111),$B$69=1),$AU$111,HLOOKUP(INDIRECT(ADDRESS(2,COLUMN())),OFFSET($CL$2,0,0,ROW()-1,84),ROW()-1,FALSE))</f>
        <v>0</v>
      </c>
      <c r="AV51">
        <f ca="1">IF(AND(ISNUMBER($AV$111),$B$69=1),$AV$111,HLOOKUP(INDIRECT(ADDRESS(2,COLUMN())),OFFSET($CL$2,0,0,ROW()-1,84),ROW()-1,FALSE))</f>
        <v>10800</v>
      </c>
      <c r="AW51">
        <f ca="1">IF(AND(ISNUMBER($AW$111),$B$69=1),$AW$111,HLOOKUP(INDIRECT(ADDRESS(2,COLUMN())),OFFSET($CL$2,0,0,ROW()-1,84),ROW()-1,FALSE))</f>
        <v>3600</v>
      </c>
      <c r="AX51">
        <f ca="1">IF(AND(ISNUMBER($AX$111),$B$69=1),$AX$111,HLOOKUP(INDIRECT(ADDRESS(2,COLUMN())),OFFSET($CL$2,0,0,ROW()-1,84),ROW()-1,FALSE))</f>
        <v>7200</v>
      </c>
      <c r="AY51">
        <f ca="1">IF(AND(ISNUMBER($AY$111),$B$69=1),$AY$111,HLOOKUP(INDIRECT(ADDRESS(2,COLUMN())),OFFSET($CL$2,0,0,ROW()-1,84),ROW()-1,FALSE))</f>
        <v>7200</v>
      </c>
      <c r="AZ51">
        <f ca="1">IF(AND(ISNUMBER($AZ$111),$B$69=1),$AZ$111,HLOOKUP(INDIRECT(ADDRESS(2,COLUMN())),OFFSET($CL$2,0,0,ROW()-1,84),ROW()-1,FALSE))</f>
        <v>10800</v>
      </c>
      <c r="BA51">
        <f ca="1">IF(AND(ISNUMBER($BA$111),$B$69=1),$BA$111,HLOOKUP(INDIRECT(ADDRESS(2,COLUMN())),OFFSET($CL$2,0,0,ROW()-1,84),ROW()-1,FALSE))</f>
        <v>13995.6</v>
      </c>
      <c r="BB51">
        <f ca="1">IF(AND(ISNUMBER($BB$111),$B$69=1),$BB$111,HLOOKUP(INDIRECT(ADDRESS(2,COLUMN())),OFFSET($CL$2,0,0,ROW()-1,84),ROW()-1,FALSE))</f>
        <v>14428.68</v>
      </c>
      <c r="BC51">
        <f ca="1">IF(AND(ISNUMBER($BC$111),$B$69=1),$BC$111,HLOOKUP(INDIRECT(ADDRESS(2,COLUMN())),OFFSET($CL$2,0,0,ROW()-1,84),ROW()-1,FALSE))</f>
        <v>7218.09</v>
      </c>
      <c r="BD51">
        <f ca="1">IF(AND(ISNUMBER($BD$111),$B$69=1),$BD$111,HLOOKUP(INDIRECT(ADDRESS(2,COLUMN())),OFFSET($CL$2,0,0,ROW()-1,84),ROW()-1,FALSE))</f>
        <v>3600</v>
      </c>
      <c r="BE51">
        <f ca="1">IF(AND(ISNUMBER($BE$111),$B$69=1),$BE$111,HLOOKUP(INDIRECT(ADDRESS(2,COLUMN())),OFFSET($CL$2,0,0,ROW()-1,84),ROW()-1,FALSE))</f>
        <v>0</v>
      </c>
      <c r="BF51">
        <f ca="1">IF(AND(ISNUMBER($BF$111),$B$69=1),$BF$111,HLOOKUP(INDIRECT(ADDRESS(2,COLUMN())),OFFSET($CL$2,0,0,ROW()-1,84),ROW()-1,FALSE))</f>
        <v>9737</v>
      </c>
      <c r="BG51">
        <f ca="1">IF(AND(ISNUMBER($BG$111),$B$69=1),$BG$111,HLOOKUP(INDIRECT(ADDRESS(2,COLUMN())),OFFSET($CL$2,0,0,ROW()-1,84),ROW()-1,FALSE))</f>
        <v>7210</v>
      </c>
      <c r="BH51">
        <f ca="1">IF(AND(ISNUMBER($BH$111),$B$69=1),$BH$111,HLOOKUP(INDIRECT(ADDRESS(2,COLUMN())),OFFSET($CL$2,0,0,ROW()-1,84),ROW()-1,FALSE))</f>
        <v>3609</v>
      </c>
      <c r="BI51">
        <f ca="1">IF(AND(ISNUMBER($BI$111),$B$69=1),$BI$111,HLOOKUP(INDIRECT(ADDRESS(2,COLUMN())),OFFSET($CL$2,0,0,ROW()-1,84),ROW()-1,FALSE))</f>
        <v>3609</v>
      </c>
      <c r="BJ51">
        <f ca="1">IF(AND(ISNUMBER($BJ$111),$B$69=1),$BJ$111,HLOOKUP(INDIRECT(ADDRESS(2,COLUMN())),OFFSET($CL$2,0,0,ROW()-1,84),ROW()-1,FALSE))</f>
        <v>7209</v>
      </c>
      <c r="BK51">
        <f ca="1">IF(AND(ISNUMBER($BK$111),$B$69=1),$BK$111,HLOOKUP(INDIRECT(ADDRESS(2,COLUMN())),OFFSET($CL$2,0,0,ROW()-1,84),ROW()-1,FALSE))</f>
        <v>20725.16</v>
      </c>
      <c r="BL51">
        <f ca="1">IF(AND(ISNUMBER($BL$111),$B$69=1),$BL$111,HLOOKUP(INDIRECT(ADDRESS(2,COLUMN())),OFFSET($CL$2,0,0,ROW()-1,84),ROW()-1,FALSE))</f>
        <v>3609</v>
      </c>
      <c r="BM51">
        <f ca="1">IF(AND(ISNUMBER($BM$111),$B$69=1),$BM$111,HLOOKUP(INDIRECT(ADDRESS(2,COLUMN())),OFFSET($CL$2,0,0,ROW()-1,84),ROW()-1,FALSE))</f>
        <v>10812</v>
      </c>
      <c r="BN51">
        <f ca="1">IF(AND(ISNUMBER($BN$111),$B$69=1),$BN$111,HLOOKUP(INDIRECT(ADDRESS(2,COLUMN())),OFFSET($CL$2,0,0,ROW()-1,84),ROW()-1,FALSE))</f>
        <v>3600</v>
      </c>
      <c r="BO51">
        <f ca="1">IF(AND(ISNUMBER($BO$111),$B$69=1),$BO$111,HLOOKUP(INDIRECT(ADDRESS(2,COLUMN())),OFFSET($CL$2,0,0,ROW()-1,84),ROW()-1,FALSE))</f>
        <v>9212.4</v>
      </c>
      <c r="BP51">
        <f ca="1">IF(AND(ISNUMBER($BP$111),$B$69=1),$BP$111,HLOOKUP(INDIRECT(ADDRESS(2,COLUMN())),OFFSET($CL$2,0,0,ROW()-1,84),ROW()-1,FALSE))</f>
        <v>3600</v>
      </c>
      <c r="BQ51">
        <f ca="1">IF(AND(ISNUMBER($BQ$111),$B$69=1),$BQ$111,HLOOKUP(INDIRECT(ADDRESS(2,COLUMN())),OFFSET($CL$2,0,0,ROW()-1,84),ROW()-1,FALSE))</f>
        <v>6837.68</v>
      </c>
      <c r="BR51">
        <f ca="1">IF(AND(ISNUMBER($BR$111),$B$69=1),$BR$111,HLOOKUP(INDIRECT(ADDRESS(2,COLUMN())),OFFSET($CL$2,0,0,ROW()-1,84),ROW()-1,FALSE))</f>
        <v>3000</v>
      </c>
      <c r="BS51">
        <f ca="1">IF(AND(ISNUMBER($BS$111),$B$69=1),$BS$111,HLOOKUP(INDIRECT(ADDRESS(2,COLUMN())),OFFSET($CL$2,0,0,ROW()-1,84),ROW()-1,FALSE))</f>
        <v>0</v>
      </c>
      <c r="BT51">
        <f ca="1">IF(AND(ISNUMBER($BT$111),$B$69=1),$BT$111,HLOOKUP(INDIRECT(ADDRESS(2,COLUMN())),OFFSET($CL$2,0,0,ROW()-1,84),ROW()-1,FALSE))</f>
        <v>7210</v>
      </c>
      <c r="BU51">
        <f ca="1">IF(AND(ISNUMBER($BU$111),$B$69=1),$BU$111,HLOOKUP(INDIRECT(ADDRESS(2,COLUMN())),OFFSET($CL$2,0,0,ROW()-1,84),ROW()-1,FALSE))</f>
        <v>3000</v>
      </c>
      <c r="BV51">
        <f ca="1">IF(AND(ISNUMBER($BV$111),$B$69=1),$BV$111,HLOOKUP(INDIRECT(ADDRESS(2,COLUMN())),OFFSET($CL$2,0,0,ROW()-1,84),ROW()-1,FALSE))</f>
        <v>10418.73</v>
      </c>
      <c r="BW51">
        <f ca="1">IF(AND(ISNUMBER($BW$111),$B$69=1),$BW$111,HLOOKUP(INDIRECT(ADDRESS(2,COLUMN())),OFFSET($CL$2,0,0,ROW()-1,84),ROW()-1,FALSE))</f>
        <v>16626</v>
      </c>
      <c r="BX51">
        <f ca="1">IF(AND(ISNUMBER($BX$111),$B$69=1),$BX$111,HLOOKUP(INDIRECT(ADDRESS(2,COLUMN())),OFFSET($CL$2,0,0,ROW()-1,84),ROW()-1,FALSE))</f>
        <v>3600</v>
      </c>
      <c r="BY51">
        <f ca="1">IF(AND(ISNUMBER($BY$111),$B$69=1),$BY$111,HLOOKUP(INDIRECT(ADDRESS(2,COLUMN())),OFFSET($CL$2,0,0,ROW()-1,84),ROW()-1,FALSE))</f>
        <v>3600</v>
      </c>
      <c r="BZ51" t="str">
        <f ca="1">IF(AND(ISNUMBER($BZ$111),$B$69=1),$BZ$111,HLOOKUP(INDIRECT(ADDRESS(2,COLUMN())),OFFSET($CL$2,0,0,ROW()-1,84),ROW()-1,FALSE))</f>
        <v/>
      </c>
      <c r="CA51" t="str">
        <f ca="1">IF(AND(ISNUMBER($CA$111),$B$69=1),$CA$111,HLOOKUP(INDIRECT(ADDRESS(2,COLUMN())),OFFSET($CL$2,0,0,ROW()-1,84),ROW()-1,FALSE))</f>
        <v/>
      </c>
      <c r="CB51">
        <f ca="1">IF(AND(ISNUMBER($CB$111),$B$69=1),$CB$111,HLOOKUP(INDIRECT(ADDRESS(2,COLUMN())),OFFSET($CL$2,0,0,ROW()-1,84),ROW()-1,FALSE))</f>
        <v>0</v>
      </c>
      <c r="CC51">
        <f ca="1">IF(AND(ISNUMBER($CC$111),$B$69=1),$CC$111,HLOOKUP(INDIRECT(ADDRESS(2,COLUMN())),OFFSET($CL$2,0,0,ROW()-1,84),ROW()-1,FALSE))</f>
        <v>7200</v>
      </c>
      <c r="CD51">
        <f ca="1">IF(AND(ISNUMBER($CD$111),$B$69=1),$CD$111,HLOOKUP(INDIRECT(ADDRESS(2,COLUMN())),OFFSET($CL$2,0,0,ROW()-1,84),ROW()-1,FALSE))</f>
        <v>3600</v>
      </c>
      <c r="CE51">
        <f ca="1">IF(AND(ISNUMBER($CE$111),$B$69=1),$CE$111,HLOOKUP(INDIRECT(ADDRESS(2,COLUMN())),OFFSET($CL$2,0,0,ROW()-1,84),ROW()-1,FALSE))</f>
        <v>7200</v>
      </c>
      <c r="CF51">
        <f ca="1">IF(AND(ISNUMBER($CF$111),$B$69=1),$CF$111,HLOOKUP(INDIRECT(ADDRESS(2,COLUMN())),OFFSET($CL$2,0,0,ROW()-1,84),ROW()-1,FALSE))</f>
        <v>3600</v>
      </c>
      <c r="CG51">
        <f ca="1">IF(AND(ISNUMBER($CG$111),$B$69=1),$CG$111,HLOOKUP(INDIRECT(ADDRESS(2,COLUMN())),OFFSET($CL$2,0,0,ROW()-1,84),ROW()-1,FALSE))</f>
        <v>0</v>
      </c>
      <c r="CH51">
        <f ca="1">IF(AND(ISNUMBER($CH$111),$B$69=1),$CH$111,HLOOKUP(INDIRECT(ADDRESS(2,COLUMN())),OFFSET($CL$2,0,0,ROW()-1,84),ROW()-1,FALSE))</f>
        <v>3600</v>
      </c>
      <c r="CI51">
        <f ca="1">IF(AND(ISNUMBER($CI$111),$B$69=1),$CI$111,HLOOKUP(INDIRECT(ADDRESS(2,COLUMN())),OFFSET($CL$2,0,0,ROW()-1,84),ROW()-1,FALSE))</f>
        <v>3600</v>
      </c>
      <c r="CJ51">
        <f ca="1">IF(AND(ISNUMBER($CJ$111),$B$69=1),$CJ$111,HLOOKUP(INDIRECT(ADDRESS(2,COLUMN())),OFFSET($CL$2,0,0,ROW()-1,84),ROW()-1,FALSE))</f>
        <v>3600</v>
      </c>
      <c r="CK51">
        <f ca="1">IF(AND(ISNUMBER($CK$111),$B$69=1),$CK$111,HLOOKUP(INDIRECT(ADDRESS(2,COLUMN())),OFFSET($CL$2,0,0,ROW()-1,84),ROW()-1,FALSE))</f>
        <v>3600</v>
      </c>
      <c r="CL51" t="str">
        <f>""</f>
        <v/>
      </c>
      <c r="CM51">
        <f>0</f>
        <v>0</v>
      </c>
      <c r="CN51">
        <f>3603.35</f>
        <v>3603.35</v>
      </c>
      <c r="CO51">
        <f>3603.35</f>
        <v>3603.35</v>
      </c>
      <c r="CP51">
        <f>3600</f>
        <v>3600</v>
      </c>
      <c r="CQ51">
        <f>14409</f>
        <v>14409</v>
      </c>
      <c r="CR51">
        <f>3400.8</f>
        <v>3400.8</v>
      </c>
      <c r="CS51">
        <f>16098.79</f>
        <v>16098.79</v>
      </c>
      <c r="CT51">
        <f>0</f>
        <v>0</v>
      </c>
      <c r="CU51">
        <f>0</f>
        <v>0</v>
      </c>
      <c r="CV51">
        <f>0</f>
        <v>0</v>
      </c>
      <c r="CW51">
        <f>0</f>
        <v>0</v>
      </c>
      <c r="CX51">
        <f>0</f>
        <v>0</v>
      </c>
      <c r="CY51">
        <f>5250</f>
        <v>5250</v>
      </c>
      <c r="CZ51">
        <f>0</f>
        <v>0</v>
      </c>
      <c r="DA51">
        <f>0</f>
        <v>0</v>
      </c>
      <c r="DB51">
        <f>0</f>
        <v>0</v>
      </c>
      <c r="DC51">
        <f>0</f>
        <v>0</v>
      </c>
      <c r="DD51">
        <f>0</f>
        <v>0</v>
      </c>
      <c r="DE51">
        <f>0</f>
        <v>0</v>
      </c>
      <c r="DF51">
        <f>0</f>
        <v>0</v>
      </c>
      <c r="DG51">
        <f>0</f>
        <v>0</v>
      </c>
      <c r="DH51">
        <f>0</f>
        <v>0</v>
      </c>
      <c r="DI51">
        <f>0</f>
        <v>0</v>
      </c>
      <c r="DJ51">
        <f>0</f>
        <v>0</v>
      </c>
      <c r="DK51">
        <f>0</f>
        <v>0</v>
      </c>
      <c r="DL51">
        <f>0</f>
        <v>0</v>
      </c>
      <c r="DM51">
        <f>0</f>
        <v>0</v>
      </c>
      <c r="DN51">
        <f>0</f>
        <v>0</v>
      </c>
      <c r="DO51">
        <f>0</f>
        <v>0</v>
      </c>
      <c r="DP51">
        <f>0</f>
        <v>0</v>
      </c>
      <c r="DQ51">
        <f>0</f>
        <v>0</v>
      </c>
      <c r="DR51">
        <f>0</f>
        <v>0</v>
      </c>
      <c r="DS51">
        <f>0</f>
        <v>0</v>
      </c>
      <c r="DT51">
        <f>0</f>
        <v>0</v>
      </c>
      <c r="DU51">
        <f>0</f>
        <v>0</v>
      </c>
      <c r="DV51">
        <f>7200</f>
        <v>7200</v>
      </c>
      <c r="DW51" t="str">
        <f>""</f>
        <v/>
      </c>
      <c r="DX51">
        <f>3600</f>
        <v>3600</v>
      </c>
      <c r="DY51">
        <f>7208.64</f>
        <v>7208.64</v>
      </c>
      <c r="DZ51">
        <f>14476.33</f>
        <v>14476.33</v>
      </c>
      <c r="EA51">
        <f>0</f>
        <v>0</v>
      </c>
      <c r="EB51">
        <f>10800</f>
        <v>10800</v>
      </c>
      <c r="EC51">
        <f>3600</f>
        <v>3600</v>
      </c>
      <c r="ED51">
        <f>7200</f>
        <v>7200</v>
      </c>
      <c r="EE51">
        <f>7200</f>
        <v>7200</v>
      </c>
      <c r="EF51">
        <f>10800</f>
        <v>10800</v>
      </c>
      <c r="EG51">
        <f>13995.6</f>
        <v>13995.6</v>
      </c>
      <c r="EH51">
        <f>14428.68</f>
        <v>14428.68</v>
      </c>
      <c r="EI51">
        <f>7218.09</f>
        <v>7218.09</v>
      </c>
      <c r="EJ51">
        <f>3600</f>
        <v>3600</v>
      </c>
      <c r="EK51">
        <f>0</f>
        <v>0</v>
      </c>
      <c r="EL51">
        <f>9737</f>
        <v>9737</v>
      </c>
      <c r="EM51">
        <f>7210</f>
        <v>7210</v>
      </c>
      <c r="EN51">
        <f>3609</f>
        <v>3609</v>
      </c>
      <c r="EO51">
        <f>3609</f>
        <v>3609</v>
      </c>
      <c r="EP51">
        <f>7209</f>
        <v>7209</v>
      </c>
      <c r="EQ51">
        <f>20725.16</f>
        <v>20725.16</v>
      </c>
      <c r="ER51">
        <f>3609</f>
        <v>3609</v>
      </c>
      <c r="ES51">
        <f>10812</f>
        <v>10812</v>
      </c>
      <c r="ET51">
        <f>3600</f>
        <v>3600</v>
      </c>
      <c r="EU51">
        <f>9212.4</f>
        <v>9212.4</v>
      </c>
      <c r="EV51">
        <f>3600</f>
        <v>3600</v>
      </c>
      <c r="EW51">
        <f>6837.68</f>
        <v>6837.68</v>
      </c>
      <c r="EX51">
        <f>3000</f>
        <v>3000</v>
      </c>
      <c r="EY51">
        <f>0</f>
        <v>0</v>
      </c>
      <c r="EZ51">
        <f>7210</f>
        <v>7210</v>
      </c>
      <c r="FA51">
        <f>3000</f>
        <v>3000</v>
      </c>
      <c r="FB51">
        <f>10418.73</f>
        <v>10418.73</v>
      </c>
      <c r="FC51">
        <f>16626</f>
        <v>16626</v>
      </c>
      <c r="FD51">
        <f>3600</f>
        <v>3600</v>
      </c>
      <c r="FE51">
        <f>3600</f>
        <v>3600</v>
      </c>
      <c r="FF51" t="str">
        <f>""</f>
        <v/>
      </c>
      <c r="FG51" t="str">
        <f>""</f>
        <v/>
      </c>
      <c r="FH51">
        <f>0</f>
        <v>0</v>
      </c>
      <c r="FI51">
        <f>7200</f>
        <v>7200</v>
      </c>
      <c r="FJ51">
        <f>3600</f>
        <v>3600</v>
      </c>
      <c r="FK51">
        <f>7200</f>
        <v>7200</v>
      </c>
      <c r="FL51">
        <f>3600</f>
        <v>3600</v>
      </c>
      <c r="FM51">
        <f>0</f>
        <v>0</v>
      </c>
      <c r="FN51">
        <f>3600</f>
        <v>3600</v>
      </c>
      <c r="FO51">
        <f>3600</f>
        <v>3600</v>
      </c>
      <c r="FP51">
        <f>3600</f>
        <v>3600</v>
      </c>
      <c r="FQ51">
        <f>3600</f>
        <v>3600</v>
      </c>
    </row>
    <row r="52" spans="1:173" x14ac:dyDescent="0.25">
      <c r="A52" t="str">
        <f>"Port Hedland Cargo Statistics - Australia Port Hedland Total Imports (tonnes) - General Cargo Imports (tonnes)"</f>
        <v>Port Hedland Cargo Statistics - Australia Port Hedland Total Imports (tonnes) - General Cargo Imports (tonnes)</v>
      </c>
      <c r="B52" t="str">
        <f>"AHEDIMGE Index"</f>
        <v>AHEDIMGE Index</v>
      </c>
      <c r="C52" t="str">
        <f t="shared" si="3"/>
        <v>PX385</v>
      </c>
      <c r="D52" t="str">
        <f t="shared" si="4"/>
        <v>INTERVAL_SUM</v>
      </c>
      <c r="E52" t="str">
        <f t="shared" si="5"/>
        <v>Dynamic</v>
      </c>
      <c r="F52" t="str">
        <f ca="1">IF(AND(ISNUMBER($F$112),$B$69=1),$F$112,HLOOKUP(INDIRECT(ADDRESS(2,COLUMN())),OFFSET($CL$2,0,0,ROW()-1,84),ROW()-1,FALSE))</f>
        <v/>
      </c>
      <c r="G52">
        <f ca="1">IF(AND(ISNUMBER($G$112),$B$69=1),$G$112,HLOOKUP(INDIRECT(ADDRESS(2,COLUMN())),OFFSET($CL$2,0,0,ROW()-1,84),ROW()-1,FALSE))</f>
        <v>33080.94</v>
      </c>
      <c r="H52">
        <f ca="1">IF(AND(ISNUMBER($H$112),$B$69=1),$H$112,HLOOKUP(INDIRECT(ADDRESS(2,COLUMN())),OFFSET($CL$2,0,0,ROW()-1,84),ROW()-1,FALSE))</f>
        <v>6595.65</v>
      </c>
      <c r="I52">
        <f ca="1">IF(AND(ISNUMBER($I$112),$B$69=1),$I$112,HLOOKUP(INDIRECT(ADDRESS(2,COLUMN())),OFFSET($CL$2,0,0,ROW()-1,84),ROW()-1,FALSE))</f>
        <v>33622.79</v>
      </c>
      <c r="J52">
        <f ca="1">IF(AND(ISNUMBER($J$112),$B$69=1),$J$112,HLOOKUP(INDIRECT(ADDRESS(2,COLUMN())),OFFSET($CL$2,0,0,ROW()-1,84),ROW()-1,FALSE))</f>
        <v>1732.47</v>
      </c>
      <c r="K52">
        <f ca="1">IF(AND(ISNUMBER($K$112),$B$69=1),$K$112,HLOOKUP(INDIRECT(ADDRESS(2,COLUMN())),OFFSET($CL$2,0,0,ROW()-1,84),ROW()-1,FALSE))</f>
        <v>26907.67</v>
      </c>
      <c r="L52">
        <f ca="1">IF(AND(ISNUMBER($L$112),$B$69=1),$L$112,HLOOKUP(INDIRECT(ADDRESS(2,COLUMN())),OFFSET($CL$2,0,0,ROW()-1,84),ROW()-1,FALSE))</f>
        <v>1612.81</v>
      </c>
      <c r="M52">
        <f ca="1">IF(AND(ISNUMBER($M$112),$B$69=1),$M$112,HLOOKUP(INDIRECT(ADDRESS(2,COLUMN())),OFFSET($CL$2,0,0,ROW()-1,84),ROW()-1,FALSE))</f>
        <v>12808.01</v>
      </c>
      <c r="N52">
        <f ca="1">IF(AND(ISNUMBER($N$112),$B$69=1),$N$112,HLOOKUP(INDIRECT(ADDRESS(2,COLUMN())),OFFSET($CL$2,0,0,ROW()-1,84),ROW()-1,FALSE))</f>
        <v>19562.55</v>
      </c>
      <c r="O52">
        <f ca="1">IF(AND(ISNUMBER($O$112),$B$69=1),$O$112,HLOOKUP(INDIRECT(ADDRESS(2,COLUMN())),OFFSET($CL$2,0,0,ROW()-1,84),ROW()-1,FALSE))</f>
        <v>13246.73</v>
      </c>
      <c r="P52">
        <f ca="1">IF(AND(ISNUMBER($P$112),$B$69=1),$P$112,HLOOKUP(INDIRECT(ADDRESS(2,COLUMN())),OFFSET($CL$2,0,0,ROW()-1,84),ROW()-1,FALSE))</f>
        <v>15588.5</v>
      </c>
      <c r="Q52">
        <f ca="1">IF(AND(ISNUMBER($Q$112),$B$69=1),$Q$112,HLOOKUP(INDIRECT(ADDRESS(2,COLUMN())),OFFSET($CL$2,0,0,ROW()-1,84),ROW()-1,FALSE))</f>
        <v>1490.81</v>
      </c>
      <c r="R52">
        <f ca="1">IF(AND(ISNUMBER($R$112),$B$69=1),$R$112,HLOOKUP(INDIRECT(ADDRESS(2,COLUMN())),OFFSET($CL$2,0,0,ROW()-1,84),ROW()-1,FALSE))</f>
        <v>30754.39</v>
      </c>
      <c r="S52">
        <f ca="1">IF(AND(ISNUMBER($S$112),$B$69=1),$S$112,HLOOKUP(INDIRECT(ADDRESS(2,COLUMN())),OFFSET($CL$2,0,0,ROW()-1,84),ROW()-1,FALSE))</f>
        <v>8015.59</v>
      </c>
      <c r="T52">
        <f ca="1">IF(AND(ISNUMBER($T$112),$B$69=1),$T$112,HLOOKUP(INDIRECT(ADDRESS(2,COLUMN())),OFFSET($CL$2,0,0,ROW()-1,84),ROW()-1,FALSE))</f>
        <v>4391.95</v>
      </c>
      <c r="U52">
        <f ca="1">IF(AND(ISNUMBER($U$112),$B$69=1),$U$112,HLOOKUP(INDIRECT(ADDRESS(2,COLUMN())),OFFSET($CL$2,0,0,ROW()-1,84),ROW()-1,FALSE))</f>
        <v>16204.68</v>
      </c>
      <c r="V52">
        <f ca="1">IF(AND(ISNUMBER($V$112),$B$69=1),$V$112,HLOOKUP(INDIRECT(ADDRESS(2,COLUMN())),OFFSET($CL$2,0,0,ROW()-1,84),ROW()-1,FALSE))</f>
        <v>45519.67</v>
      </c>
      <c r="W52">
        <f ca="1">IF(AND(ISNUMBER($W$112),$B$69=1),$W$112,HLOOKUP(INDIRECT(ADDRESS(2,COLUMN())),OFFSET($CL$2,0,0,ROW()-1,84),ROW()-1,FALSE))</f>
        <v>16193.67</v>
      </c>
      <c r="X52">
        <f ca="1">IF(AND(ISNUMBER($X$112),$B$69=1),$X$112,HLOOKUP(INDIRECT(ADDRESS(2,COLUMN())),OFFSET($CL$2,0,0,ROW()-1,84),ROW()-1,FALSE))</f>
        <v>35370.19</v>
      </c>
      <c r="Y52">
        <f ca="1">IF(AND(ISNUMBER($Y$112),$B$69=1),$Y$112,HLOOKUP(INDIRECT(ADDRESS(2,COLUMN())),OFFSET($CL$2,0,0,ROW()-1,84),ROW()-1,FALSE))</f>
        <v>7402.41</v>
      </c>
      <c r="Z52">
        <f ca="1">IF(AND(ISNUMBER($Z$112),$B$69=1),$Z$112,HLOOKUP(INDIRECT(ADDRESS(2,COLUMN())),OFFSET($CL$2,0,0,ROW()-1,84),ROW()-1,FALSE))</f>
        <v>7437.83</v>
      </c>
      <c r="AA52">
        <f ca="1">IF(AND(ISNUMBER($AA$112),$B$69=1),$AA$112,HLOOKUP(INDIRECT(ADDRESS(2,COLUMN())),OFFSET($CL$2,0,0,ROW()-1,84),ROW()-1,FALSE))</f>
        <v>19202.53</v>
      </c>
      <c r="AB52">
        <f ca="1">IF(AND(ISNUMBER($AB$112),$B$69=1),$AB$112,HLOOKUP(INDIRECT(ADDRESS(2,COLUMN())),OFFSET($CL$2,0,0,ROW()-1,84),ROW()-1,FALSE))</f>
        <v>34309.26</v>
      </c>
      <c r="AC52">
        <f ca="1">IF(AND(ISNUMBER($AC$112),$B$69=1),$AC$112,HLOOKUP(INDIRECT(ADDRESS(2,COLUMN())),OFFSET($CL$2,0,0,ROW()-1,84),ROW()-1,FALSE))</f>
        <v>37166.44</v>
      </c>
      <c r="AD52">
        <f ca="1">IF(AND(ISNUMBER($AD$112),$B$69=1),$AD$112,HLOOKUP(INDIRECT(ADDRESS(2,COLUMN())),OFFSET($CL$2,0,0,ROW()-1,84),ROW()-1,FALSE))</f>
        <v>25465.59</v>
      </c>
      <c r="AE52">
        <f ca="1">IF(AND(ISNUMBER($AE$112),$B$69=1),$AE$112,HLOOKUP(INDIRECT(ADDRESS(2,COLUMN())),OFFSET($CL$2,0,0,ROW()-1,84),ROW()-1,FALSE))</f>
        <v>18442.919999999998</v>
      </c>
      <c r="AF52">
        <f ca="1">IF(AND(ISNUMBER($AF$112),$B$69=1),$AF$112,HLOOKUP(INDIRECT(ADDRESS(2,COLUMN())),OFFSET($CL$2,0,0,ROW()-1,84),ROW()-1,FALSE))</f>
        <v>12398.55</v>
      </c>
      <c r="AG52">
        <f ca="1">IF(AND(ISNUMBER($AG$112),$B$69=1),$AG$112,HLOOKUP(INDIRECT(ADDRESS(2,COLUMN())),OFFSET($CL$2,0,0,ROW()-1,84),ROW()-1,FALSE))</f>
        <v>25973.33</v>
      </c>
      <c r="AH52">
        <f ca="1">IF(AND(ISNUMBER($AH$112),$B$69=1),$AH$112,HLOOKUP(INDIRECT(ADDRESS(2,COLUMN())),OFFSET($CL$2,0,0,ROW()-1,84),ROW()-1,FALSE))</f>
        <v>28062.66</v>
      </c>
      <c r="AI52">
        <f ca="1">IF(AND(ISNUMBER($AI$112),$B$69=1),$AI$112,HLOOKUP(INDIRECT(ADDRESS(2,COLUMN())),OFFSET($CL$2,0,0,ROW()-1,84),ROW()-1,FALSE))</f>
        <v>2967.2</v>
      </c>
      <c r="AJ52">
        <f ca="1">IF(AND(ISNUMBER($AJ$112),$B$69=1),$AJ$112,HLOOKUP(INDIRECT(ADDRESS(2,COLUMN())),OFFSET($CL$2,0,0,ROW()-1,84),ROW()-1,FALSE))</f>
        <v>37758.839999999997</v>
      </c>
      <c r="AK52">
        <f ca="1">IF(AND(ISNUMBER($AK$112),$B$69=1),$AK$112,HLOOKUP(INDIRECT(ADDRESS(2,COLUMN())),OFFSET($CL$2,0,0,ROW()-1,84),ROW()-1,FALSE))</f>
        <v>29891.33</v>
      </c>
      <c r="AL52">
        <f ca="1">IF(AND(ISNUMBER($AL$112),$B$69=1),$AL$112,HLOOKUP(INDIRECT(ADDRESS(2,COLUMN())),OFFSET($CL$2,0,0,ROW()-1,84),ROW()-1,FALSE))</f>
        <v>30937.98</v>
      </c>
      <c r="AM52">
        <f ca="1">IF(AND(ISNUMBER($AM$112),$B$69=1),$AM$112,HLOOKUP(INDIRECT(ADDRESS(2,COLUMN())),OFFSET($CL$2,0,0,ROW()-1,84),ROW()-1,FALSE))</f>
        <v>24886.83</v>
      </c>
      <c r="AN52">
        <f ca="1">IF(AND(ISNUMBER($AN$112),$B$69=1),$AN$112,HLOOKUP(INDIRECT(ADDRESS(2,COLUMN())),OFFSET($CL$2,0,0,ROW()-1,84),ROW()-1,FALSE))</f>
        <v>32054.33</v>
      </c>
      <c r="AO52">
        <f ca="1">IF(AND(ISNUMBER($AO$112),$B$69=1),$AO$112,HLOOKUP(INDIRECT(ADDRESS(2,COLUMN())),OFFSET($CL$2,0,0,ROW()-1,84),ROW()-1,FALSE))</f>
        <v>18672.45</v>
      </c>
      <c r="AP52">
        <f ca="1">IF(AND(ISNUMBER($AP$112),$B$69=1),$AP$112,HLOOKUP(INDIRECT(ADDRESS(2,COLUMN())),OFFSET($CL$2,0,0,ROW()-1,84),ROW()-1,FALSE))</f>
        <v>37112.58</v>
      </c>
      <c r="AQ52">
        <f ca="1">IF(AND(ISNUMBER($AQ$112),$B$69=1),$AQ$112,HLOOKUP(INDIRECT(ADDRESS(2,COLUMN())),OFFSET($CL$2,0,0,ROW()-1,84),ROW()-1,FALSE))</f>
        <v>21090.74</v>
      </c>
      <c r="AR52">
        <f ca="1">IF(AND(ISNUMBER($AR$112),$B$69=1),$AR$112,HLOOKUP(INDIRECT(ADDRESS(2,COLUMN())),OFFSET($CL$2,0,0,ROW()-1,84),ROW()-1,FALSE))</f>
        <v>18590.689999999999</v>
      </c>
      <c r="AS52">
        <f ca="1">IF(AND(ISNUMBER($AS$112),$B$69=1),$AS$112,HLOOKUP(INDIRECT(ADDRESS(2,COLUMN())),OFFSET($CL$2,0,0,ROW()-1,84),ROW()-1,FALSE))</f>
        <v>20266.25</v>
      </c>
      <c r="AT52">
        <f ca="1">IF(AND(ISNUMBER($AT$112),$B$69=1),$AT$112,HLOOKUP(INDIRECT(ADDRESS(2,COLUMN())),OFFSET($CL$2,0,0,ROW()-1,84),ROW()-1,FALSE))</f>
        <v>25146.09</v>
      </c>
      <c r="AU52">
        <f ca="1">IF(AND(ISNUMBER($AU$112),$B$69=1),$AU$112,HLOOKUP(INDIRECT(ADDRESS(2,COLUMN())),OFFSET($CL$2,0,0,ROW()-1,84),ROW()-1,FALSE))</f>
        <v>25732.67</v>
      </c>
      <c r="AV52">
        <f ca="1">IF(AND(ISNUMBER($AV$112),$B$69=1),$AV$112,HLOOKUP(INDIRECT(ADDRESS(2,COLUMN())),OFFSET($CL$2,0,0,ROW()-1,84),ROW()-1,FALSE))</f>
        <v>13820.54</v>
      </c>
      <c r="AW52">
        <f ca="1">IF(AND(ISNUMBER($AW$112),$B$69=1),$AW$112,HLOOKUP(INDIRECT(ADDRESS(2,COLUMN())),OFFSET($CL$2,0,0,ROW()-1,84),ROW()-1,FALSE))</f>
        <v>10015.83</v>
      </c>
      <c r="AX52">
        <f ca="1">IF(AND(ISNUMBER($AX$112),$B$69=1),$AX$112,HLOOKUP(INDIRECT(ADDRESS(2,COLUMN())),OFFSET($CL$2,0,0,ROW()-1,84),ROW()-1,FALSE))</f>
        <v>7303.55</v>
      </c>
      <c r="AY52">
        <f ca="1">IF(AND(ISNUMBER($AY$112),$B$69=1),$AY$112,HLOOKUP(INDIRECT(ADDRESS(2,COLUMN())),OFFSET($CL$2,0,0,ROW()-1,84),ROW()-1,FALSE))</f>
        <v>20480.39</v>
      </c>
      <c r="AZ52">
        <f ca="1">IF(AND(ISNUMBER($AZ$112),$B$69=1),$AZ$112,HLOOKUP(INDIRECT(ADDRESS(2,COLUMN())),OFFSET($CL$2,0,0,ROW()-1,84),ROW()-1,FALSE))</f>
        <v>12581.84</v>
      </c>
      <c r="BA52">
        <f ca="1">IF(AND(ISNUMBER($BA$112),$B$69=1),$BA$112,HLOOKUP(INDIRECT(ADDRESS(2,COLUMN())),OFFSET($CL$2,0,0,ROW()-1,84),ROW()-1,FALSE))</f>
        <v>25115.58</v>
      </c>
      <c r="BB52">
        <f ca="1">IF(AND(ISNUMBER($BB$112),$B$69=1),$BB$112,HLOOKUP(INDIRECT(ADDRESS(2,COLUMN())),OFFSET($CL$2,0,0,ROW()-1,84),ROW()-1,FALSE))</f>
        <v>4835</v>
      </c>
      <c r="BC52">
        <f ca="1">IF(AND(ISNUMBER($BC$112),$B$69=1),$BC$112,HLOOKUP(INDIRECT(ADDRESS(2,COLUMN())),OFFSET($CL$2,0,0,ROW()-1,84),ROW()-1,FALSE))</f>
        <v>23353.68</v>
      </c>
      <c r="BD52">
        <f ca="1">IF(AND(ISNUMBER($BD$112),$B$69=1),$BD$112,HLOOKUP(INDIRECT(ADDRESS(2,COLUMN())),OFFSET($CL$2,0,0,ROW()-1,84),ROW()-1,FALSE))</f>
        <v>20581.990000000002</v>
      </c>
      <c r="BE52">
        <f ca="1">IF(AND(ISNUMBER($BE$112),$B$69=1),$BE$112,HLOOKUP(INDIRECT(ADDRESS(2,COLUMN())),OFFSET($CL$2,0,0,ROW()-1,84),ROW()-1,FALSE))</f>
        <v>17859.23</v>
      </c>
      <c r="BF52">
        <f ca="1">IF(AND(ISNUMBER($BF$112),$B$69=1),$BF$112,HLOOKUP(INDIRECT(ADDRESS(2,COLUMN())),OFFSET($CL$2,0,0,ROW()-1,84),ROW()-1,FALSE))</f>
        <v>10924.5</v>
      </c>
      <c r="BG52">
        <f ca="1">IF(AND(ISNUMBER($BG$112),$B$69=1),$BG$112,HLOOKUP(INDIRECT(ADDRESS(2,COLUMN())),OFFSET($CL$2,0,0,ROW()-1,84),ROW()-1,FALSE))</f>
        <v>17745.09</v>
      </c>
      <c r="BH52">
        <f ca="1">IF(AND(ISNUMBER($BH$112),$B$69=1),$BH$112,HLOOKUP(INDIRECT(ADDRESS(2,COLUMN())),OFFSET($CL$2,0,0,ROW()-1,84),ROW()-1,FALSE))</f>
        <v>27727.01</v>
      </c>
      <c r="BI52">
        <f ca="1">IF(AND(ISNUMBER($BI$112),$B$69=1),$BI$112,HLOOKUP(INDIRECT(ADDRESS(2,COLUMN())),OFFSET($CL$2,0,0,ROW()-1,84),ROW()-1,FALSE))</f>
        <v>5692.28</v>
      </c>
      <c r="BJ52">
        <f ca="1">IF(AND(ISNUMBER($BJ$112),$B$69=1),$BJ$112,HLOOKUP(INDIRECT(ADDRESS(2,COLUMN())),OFFSET($CL$2,0,0,ROW()-1,84),ROW()-1,FALSE))</f>
        <v>12540.15</v>
      </c>
      <c r="BK52">
        <f ca="1">IF(AND(ISNUMBER($BK$112),$B$69=1),$BK$112,HLOOKUP(INDIRECT(ADDRESS(2,COLUMN())),OFFSET($CL$2,0,0,ROW()-1,84),ROW()-1,FALSE))</f>
        <v>11542.63</v>
      </c>
      <c r="BL52">
        <f ca="1">IF(AND(ISNUMBER($BL$112),$B$69=1),$BL$112,HLOOKUP(INDIRECT(ADDRESS(2,COLUMN())),OFFSET($CL$2,0,0,ROW()-1,84),ROW()-1,FALSE))</f>
        <v>6676</v>
      </c>
      <c r="BM52">
        <f ca="1">IF(AND(ISNUMBER($BM$112),$B$69=1),$BM$112,HLOOKUP(INDIRECT(ADDRESS(2,COLUMN())),OFFSET($CL$2,0,0,ROW()-1,84),ROW()-1,FALSE))</f>
        <v>615.23</v>
      </c>
      <c r="BN52">
        <f ca="1">IF(AND(ISNUMBER($BN$112),$B$69=1),$BN$112,HLOOKUP(INDIRECT(ADDRESS(2,COLUMN())),OFFSET($CL$2,0,0,ROW()-1,84),ROW()-1,FALSE))</f>
        <v>22590.76</v>
      </c>
      <c r="BO52">
        <f ca="1">IF(AND(ISNUMBER($BO$112),$B$69=1),$BO$112,HLOOKUP(INDIRECT(ADDRESS(2,COLUMN())),OFFSET($CL$2,0,0,ROW()-1,84),ROW()-1,FALSE))</f>
        <v>10821.89</v>
      </c>
      <c r="BP52">
        <f ca="1">IF(AND(ISNUMBER($BP$112),$B$69=1),$BP$112,HLOOKUP(INDIRECT(ADDRESS(2,COLUMN())),OFFSET($CL$2,0,0,ROW()-1,84),ROW()-1,FALSE))</f>
        <v>1937.7</v>
      </c>
      <c r="BQ52">
        <f ca="1">IF(AND(ISNUMBER($BQ$112),$B$69=1),$BQ$112,HLOOKUP(INDIRECT(ADDRESS(2,COLUMN())),OFFSET($CL$2,0,0,ROW()-1,84),ROW()-1,FALSE))</f>
        <v>17836.810000000001</v>
      </c>
      <c r="BR52">
        <f ca="1">IF(AND(ISNUMBER($BR$112),$B$69=1),$BR$112,HLOOKUP(INDIRECT(ADDRESS(2,COLUMN())),OFFSET($CL$2,0,0,ROW()-1,84),ROW()-1,FALSE))</f>
        <v>14362.87</v>
      </c>
      <c r="BS52">
        <f ca="1">IF(AND(ISNUMBER($BS$112),$B$69=1),$BS$112,HLOOKUP(INDIRECT(ADDRESS(2,COLUMN())),OFFSET($CL$2,0,0,ROW()-1,84),ROW()-1,FALSE))</f>
        <v>8718.83</v>
      </c>
      <c r="BT52">
        <f ca="1">IF(AND(ISNUMBER($BT$112),$B$69=1),$BT$112,HLOOKUP(INDIRECT(ADDRESS(2,COLUMN())),OFFSET($CL$2,0,0,ROW()-1,84),ROW()-1,FALSE))</f>
        <v>6886.7</v>
      </c>
      <c r="BU52">
        <f ca="1">IF(AND(ISNUMBER($BU$112),$B$69=1),$BU$112,HLOOKUP(INDIRECT(ADDRESS(2,COLUMN())),OFFSET($CL$2,0,0,ROW()-1,84),ROW()-1,FALSE))</f>
        <v>21877.95</v>
      </c>
      <c r="BV52">
        <f ca="1">IF(AND(ISNUMBER($BV$112),$B$69=1),$BV$112,HLOOKUP(INDIRECT(ADDRESS(2,COLUMN())),OFFSET($CL$2,0,0,ROW()-1,84),ROW()-1,FALSE))</f>
        <v>5183.91</v>
      </c>
      <c r="BW52">
        <f ca="1">IF(AND(ISNUMBER($BW$112),$B$69=1),$BW$112,HLOOKUP(INDIRECT(ADDRESS(2,COLUMN())),OFFSET($CL$2,0,0,ROW()-1,84),ROW()-1,FALSE))</f>
        <v>949.23</v>
      </c>
      <c r="BX52">
        <f ca="1">IF(AND(ISNUMBER($BX$112),$B$69=1),$BX$112,HLOOKUP(INDIRECT(ADDRESS(2,COLUMN())),OFFSET($CL$2,0,0,ROW()-1,84),ROW()-1,FALSE))</f>
        <v>14466.14</v>
      </c>
      <c r="BY52">
        <f ca="1">IF(AND(ISNUMBER($BY$112),$B$69=1),$BY$112,HLOOKUP(INDIRECT(ADDRESS(2,COLUMN())),OFFSET($CL$2,0,0,ROW()-1,84),ROW()-1,FALSE))</f>
        <v>3993.37</v>
      </c>
      <c r="BZ52">
        <f ca="1">IF(AND(ISNUMBER($BZ$112),$B$69=1),$BZ$112,HLOOKUP(INDIRECT(ADDRESS(2,COLUMN())),OFFSET($CL$2,0,0,ROW()-1,84),ROW()-1,FALSE))</f>
        <v>17899.57</v>
      </c>
      <c r="CA52">
        <f ca="1">IF(AND(ISNUMBER($CA$112),$B$69=1),$CA$112,HLOOKUP(INDIRECT(ADDRESS(2,COLUMN())),OFFSET($CL$2,0,0,ROW()-1,84),ROW()-1,FALSE))</f>
        <v>984.48</v>
      </c>
      <c r="CB52">
        <f ca="1">IF(AND(ISNUMBER($CB$112),$B$69=1),$CB$112,HLOOKUP(INDIRECT(ADDRESS(2,COLUMN())),OFFSET($CL$2,0,0,ROW()-1,84),ROW()-1,FALSE))</f>
        <v>2032.3</v>
      </c>
      <c r="CC52">
        <f ca="1">IF(AND(ISNUMBER($CC$112),$B$69=1),$CC$112,HLOOKUP(INDIRECT(ADDRESS(2,COLUMN())),OFFSET($CL$2,0,0,ROW()-1,84),ROW()-1,FALSE))</f>
        <v>8245.5</v>
      </c>
      <c r="CD52">
        <f ca="1">IF(AND(ISNUMBER($CD$112),$B$69=1),$CD$112,HLOOKUP(INDIRECT(ADDRESS(2,COLUMN())),OFFSET($CL$2,0,0,ROW()-1,84),ROW()-1,FALSE))</f>
        <v>15262.52</v>
      </c>
      <c r="CE52">
        <f ca="1">IF(AND(ISNUMBER($CE$112),$B$69=1),$CE$112,HLOOKUP(INDIRECT(ADDRESS(2,COLUMN())),OFFSET($CL$2,0,0,ROW()-1,84),ROW()-1,FALSE))</f>
        <v>16055.41</v>
      </c>
      <c r="CF52">
        <f ca="1">IF(AND(ISNUMBER($CF$112),$B$69=1),$CF$112,HLOOKUP(INDIRECT(ADDRESS(2,COLUMN())),OFFSET($CL$2,0,0,ROW()-1,84),ROW()-1,FALSE))</f>
        <v>13833.53</v>
      </c>
      <c r="CG52">
        <f ca="1">IF(AND(ISNUMBER($CG$112),$B$69=1),$CG$112,HLOOKUP(INDIRECT(ADDRESS(2,COLUMN())),OFFSET($CL$2,0,0,ROW()-1,84),ROW()-1,FALSE))</f>
        <v>13078.13</v>
      </c>
      <c r="CH52">
        <f ca="1">IF(AND(ISNUMBER($CH$112),$B$69=1),$CH$112,HLOOKUP(INDIRECT(ADDRESS(2,COLUMN())),OFFSET($CL$2,0,0,ROW()-1,84),ROW()-1,FALSE))</f>
        <v>12336.11</v>
      </c>
      <c r="CI52">
        <f ca="1">IF(AND(ISNUMBER($CI$112),$B$69=1),$CI$112,HLOOKUP(INDIRECT(ADDRESS(2,COLUMN())),OFFSET($CL$2,0,0,ROW()-1,84),ROW()-1,FALSE))</f>
        <v>11473.19</v>
      </c>
      <c r="CJ52">
        <f ca="1">IF(AND(ISNUMBER($CJ$112),$B$69=1),$CJ$112,HLOOKUP(INDIRECT(ADDRESS(2,COLUMN())),OFFSET($CL$2,0,0,ROW()-1,84),ROW()-1,FALSE))</f>
        <v>17430.25</v>
      </c>
      <c r="CK52">
        <f ca="1">IF(AND(ISNUMBER($CK$112),$B$69=1),$CK$112,HLOOKUP(INDIRECT(ADDRESS(2,COLUMN())),OFFSET($CL$2,0,0,ROW()-1,84),ROW()-1,FALSE))</f>
        <v>1271.47</v>
      </c>
      <c r="CL52" t="str">
        <f>""</f>
        <v/>
      </c>
      <c r="CM52">
        <f>33080.94</f>
        <v>33080.94</v>
      </c>
      <c r="CN52">
        <f>6595.65</f>
        <v>6595.65</v>
      </c>
      <c r="CO52">
        <f>33622.79</f>
        <v>33622.79</v>
      </c>
      <c r="CP52">
        <f>1732.47</f>
        <v>1732.47</v>
      </c>
      <c r="CQ52">
        <f>26907.67</f>
        <v>26907.67</v>
      </c>
      <c r="CR52">
        <f>1612.81</f>
        <v>1612.81</v>
      </c>
      <c r="CS52">
        <f>12808.01</f>
        <v>12808.01</v>
      </c>
      <c r="CT52">
        <f>19562.55</f>
        <v>19562.55</v>
      </c>
      <c r="CU52">
        <f>13246.73</f>
        <v>13246.73</v>
      </c>
      <c r="CV52">
        <f>15588.5</f>
        <v>15588.5</v>
      </c>
      <c r="CW52">
        <f>1490.81</f>
        <v>1490.81</v>
      </c>
      <c r="CX52">
        <f>30754.39</f>
        <v>30754.39</v>
      </c>
      <c r="CY52">
        <f>8015.59</f>
        <v>8015.59</v>
      </c>
      <c r="CZ52">
        <f>4391.95</f>
        <v>4391.95</v>
      </c>
      <c r="DA52">
        <f>16204.68</f>
        <v>16204.68</v>
      </c>
      <c r="DB52">
        <f>45519.67</f>
        <v>45519.67</v>
      </c>
      <c r="DC52">
        <f>16193.67</f>
        <v>16193.67</v>
      </c>
      <c r="DD52">
        <f>35370.19</f>
        <v>35370.19</v>
      </c>
      <c r="DE52">
        <f>7402.41</f>
        <v>7402.41</v>
      </c>
      <c r="DF52">
        <f>7437.83</f>
        <v>7437.83</v>
      </c>
      <c r="DG52">
        <f>19202.53</f>
        <v>19202.53</v>
      </c>
      <c r="DH52">
        <f>34309.26</f>
        <v>34309.26</v>
      </c>
      <c r="DI52">
        <f>37166.44</f>
        <v>37166.44</v>
      </c>
      <c r="DJ52">
        <f>25465.59</f>
        <v>25465.59</v>
      </c>
      <c r="DK52">
        <f>18442.92</f>
        <v>18442.919999999998</v>
      </c>
      <c r="DL52">
        <f>12398.55</f>
        <v>12398.55</v>
      </c>
      <c r="DM52">
        <f>25973.33</f>
        <v>25973.33</v>
      </c>
      <c r="DN52">
        <f>28062.66</f>
        <v>28062.66</v>
      </c>
      <c r="DO52">
        <f>2967.2</f>
        <v>2967.2</v>
      </c>
      <c r="DP52">
        <f>37758.84</f>
        <v>37758.839999999997</v>
      </c>
      <c r="DQ52">
        <f>29891.33</f>
        <v>29891.33</v>
      </c>
      <c r="DR52">
        <f>30937.98</f>
        <v>30937.98</v>
      </c>
      <c r="DS52">
        <f>24886.83</f>
        <v>24886.83</v>
      </c>
      <c r="DT52">
        <f>32054.33</f>
        <v>32054.33</v>
      </c>
      <c r="DU52">
        <f>18672.45</f>
        <v>18672.45</v>
      </c>
      <c r="DV52">
        <f>37112.58</f>
        <v>37112.58</v>
      </c>
      <c r="DW52">
        <f>21090.74</f>
        <v>21090.74</v>
      </c>
      <c r="DX52">
        <f>18590.69</f>
        <v>18590.689999999999</v>
      </c>
      <c r="DY52">
        <f>20266.25</f>
        <v>20266.25</v>
      </c>
      <c r="DZ52">
        <f>25146.09</f>
        <v>25146.09</v>
      </c>
      <c r="EA52">
        <f>25732.67</f>
        <v>25732.67</v>
      </c>
      <c r="EB52">
        <f>13820.54</f>
        <v>13820.54</v>
      </c>
      <c r="EC52">
        <f>10015.83</f>
        <v>10015.83</v>
      </c>
      <c r="ED52">
        <f>7303.55</f>
        <v>7303.55</v>
      </c>
      <c r="EE52">
        <f>20480.39</f>
        <v>20480.39</v>
      </c>
      <c r="EF52">
        <f>12581.84</f>
        <v>12581.84</v>
      </c>
      <c r="EG52">
        <f>25115.58</f>
        <v>25115.58</v>
      </c>
      <c r="EH52">
        <f>4835</f>
        <v>4835</v>
      </c>
      <c r="EI52">
        <f>23353.68</f>
        <v>23353.68</v>
      </c>
      <c r="EJ52">
        <f>20581.99</f>
        <v>20581.990000000002</v>
      </c>
      <c r="EK52">
        <f>17859.23</f>
        <v>17859.23</v>
      </c>
      <c r="EL52">
        <f>10924.5</f>
        <v>10924.5</v>
      </c>
      <c r="EM52">
        <f>17745.09</f>
        <v>17745.09</v>
      </c>
      <c r="EN52">
        <f>27727.01</f>
        <v>27727.01</v>
      </c>
      <c r="EO52">
        <f>5692.28</f>
        <v>5692.28</v>
      </c>
      <c r="EP52">
        <f>12540.15</f>
        <v>12540.15</v>
      </c>
      <c r="EQ52">
        <f>11542.63</f>
        <v>11542.63</v>
      </c>
      <c r="ER52">
        <f>6676</f>
        <v>6676</v>
      </c>
      <c r="ES52">
        <f>615.23</f>
        <v>615.23</v>
      </c>
      <c r="ET52">
        <f>22590.76</f>
        <v>22590.76</v>
      </c>
      <c r="EU52">
        <f>10821.89</f>
        <v>10821.89</v>
      </c>
      <c r="EV52">
        <f>1937.7</f>
        <v>1937.7</v>
      </c>
      <c r="EW52">
        <f>17836.81</f>
        <v>17836.810000000001</v>
      </c>
      <c r="EX52">
        <f>14362.87</f>
        <v>14362.87</v>
      </c>
      <c r="EY52">
        <f>8718.83</f>
        <v>8718.83</v>
      </c>
      <c r="EZ52">
        <f>6886.7</f>
        <v>6886.7</v>
      </c>
      <c r="FA52">
        <f>21877.95</f>
        <v>21877.95</v>
      </c>
      <c r="FB52">
        <f>5183.91</f>
        <v>5183.91</v>
      </c>
      <c r="FC52">
        <f>949.23</f>
        <v>949.23</v>
      </c>
      <c r="FD52">
        <f>14466.14</f>
        <v>14466.14</v>
      </c>
      <c r="FE52">
        <f>3993.37</f>
        <v>3993.37</v>
      </c>
      <c r="FF52">
        <f>17899.57</f>
        <v>17899.57</v>
      </c>
      <c r="FG52">
        <f>984.48</f>
        <v>984.48</v>
      </c>
      <c r="FH52">
        <f>2032.3</f>
        <v>2032.3</v>
      </c>
      <c r="FI52">
        <f>8245.5</f>
        <v>8245.5</v>
      </c>
      <c r="FJ52">
        <f>15262.52</f>
        <v>15262.52</v>
      </c>
      <c r="FK52">
        <f>16055.41</f>
        <v>16055.41</v>
      </c>
      <c r="FL52">
        <f>13833.53</f>
        <v>13833.53</v>
      </c>
      <c r="FM52">
        <f>13078.13</f>
        <v>13078.13</v>
      </c>
      <c r="FN52">
        <f>12336.11</f>
        <v>12336.11</v>
      </c>
      <c r="FO52">
        <f>11473.19</f>
        <v>11473.19</v>
      </c>
      <c r="FP52">
        <f>17430.25</f>
        <v>17430.25</v>
      </c>
      <c r="FQ52">
        <f>1271.47</f>
        <v>1271.47</v>
      </c>
    </row>
    <row r="53" spans="1:173" x14ac:dyDescent="0.25">
      <c r="A53" t="str">
        <f>"Port Hedland Cargo Statistics - Australia Port Hedland Total Imports (tonnes) - Hydrocarbon Imports (tonnes)"</f>
        <v>Port Hedland Cargo Statistics - Australia Port Hedland Total Imports (tonnes) - Hydrocarbon Imports (tonnes)</v>
      </c>
      <c r="B53" t="str">
        <f>"AHEDIMHY Index"</f>
        <v>AHEDIMHY Index</v>
      </c>
      <c r="C53" t="str">
        <f t="shared" si="3"/>
        <v>PX385</v>
      </c>
      <c r="D53" t="str">
        <f t="shared" si="4"/>
        <v>INTERVAL_SUM</v>
      </c>
      <c r="E53" t="str">
        <f t="shared" si="5"/>
        <v>Dynamic</v>
      </c>
      <c r="F53" t="str">
        <f ca="1">IF(AND(ISNUMBER($F$113),$B$69=1),$F$113,HLOOKUP(INDIRECT(ADDRESS(2,COLUMN())),OFFSET($CL$2,0,0,ROW()-1,84),ROW()-1,FALSE))</f>
        <v/>
      </c>
      <c r="G53">
        <f ca="1">IF(AND(ISNUMBER($G$113),$B$69=1),$G$113,HLOOKUP(INDIRECT(ADDRESS(2,COLUMN())),OFFSET($CL$2,0,0,ROW()-1,84),ROW()-1,FALSE))</f>
        <v>145932.32</v>
      </c>
      <c r="H53">
        <f ca="1">IF(AND(ISNUMBER($H$113),$B$69=1),$H$113,HLOOKUP(INDIRECT(ADDRESS(2,COLUMN())),OFFSET($CL$2,0,0,ROW()-1,84),ROW()-1,FALSE))</f>
        <v>159878.73000000001</v>
      </c>
      <c r="I53">
        <f ca="1">IF(AND(ISNUMBER($I$113),$B$69=1),$I$113,HLOOKUP(INDIRECT(ADDRESS(2,COLUMN())),OFFSET($CL$2,0,0,ROW()-1,84),ROW()-1,FALSE))</f>
        <v>151887.82</v>
      </c>
      <c r="J53">
        <f ca="1">IF(AND(ISNUMBER($J$113),$B$69=1),$J$113,HLOOKUP(INDIRECT(ADDRESS(2,COLUMN())),OFFSET($CL$2,0,0,ROW()-1,84),ROW()-1,FALSE))</f>
        <v>125206.89</v>
      </c>
      <c r="K53">
        <f ca="1">IF(AND(ISNUMBER($K$113),$B$69=1),$K$113,HLOOKUP(INDIRECT(ADDRESS(2,COLUMN())),OFFSET($CL$2,0,0,ROW()-1,84),ROW()-1,FALSE))</f>
        <v>152692.24</v>
      </c>
      <c r="L53">
        <f ca="1">IF(AND(ISNUMBER($L$113),$B$69=1),$L$113,HLOOKUP(INDIRECT(ADDRESS(2,COLUMN())),OFFSET($CL$2,0,0,ROW()-1,84),ROW()-1,FALSE))</f>
        <v>191655.23</v>
      </c>
      <c r="M53">
        <f ca="1">IF(AND(ISNUMBER($M$113),$B$69=1),$M$113,HLOOKUP(INDIRECT(ADDRESS(2,COLUMN())),OFFSET($CL$2,0,0,ROW()-1,84),ROW()-1,FALSE))</f>
        <v>157660.22</v>
      </c>
      <c r="N53">
        <f ca="1">IF(AND(ISNUMBER($N$113),$B$69=1),$N$113,HLOOKUP(INDIRECT(ADDRESS(2,COLUMN())),OFFSET($CL$2,0,0,ROW()-1,84),ROW()-1,FALSE))</f>
        <v>140899.84</v>
      </c>
      <c r="O53">
        <f ca="1">IF(AND(ISNUMBER($O$113),$B$69=1),$O$113,HLOOKUP(INDIRECT(ADDRESS(2,COLUMN())),OFFSET($CL$2,0,0,ROW()-1,84),ROW()-1,FALSE))</f>
        <v>153549.26</v>
      </c>
      <c r="P53">
        <f ca="1">IF(AND(ISNUMBER($P$113),$B$69=1),$P$113,HLOOKUP(INDIRECT(ADDRESS(2,COLUMN())),OFFSET($CL$2,0,0,ROW()-1,84),ROW()-1,FALSE))</f>
        <v>145159.07</v>
      </c>
      <c r="Q53">
        <f ca="1">IF(AND(ISNUMBER($Q$113),$B$69=1),$Q$113,HLOOKUP(INDIRECT(ADDRESS(2,COLUMN())),OFFSET($CL$2,0,0,ROW()-1,84),ROW()-1,FALSE))</f>
        <v>176176.88</v>
      </c>
      <c r="R53">
        <f ca="1">IF(AND(ISNUMBER($R$113),$B$69=1),$R$113,HLOOKUP(INDIRECT(ADDRESS(2,COLUMN())),OFFSET($CL$2,0,0,ROW()-1,84),ROW()-1,FALSE))</f>
        <v>164675.76999999999</v>
      </c>
      <c r="S53">
        <f ca="1">IF(AND(ISNUMBER($S$113),$B$69=1),$S$113,HLOOKUP(INDIRECT(ADDRESS(2,COLUMN())),OFFSET($CL$2,0,0,ROW()-1,84),ROW()-1,FALSE))</f>
        <v>110368.72</v>
      </c>
      <c r="T53">
        <f ca="1">IF(AND(ISNUMBER($T$113),$B$69=1),$T$113,HLOOKUP(INDIRECT(ADDRESS(2,COLUMN())),OFFSET($CL$2,0,0,ROW()-1,84),ROW()-1,FALSE))</f>
        <v>200617.26</v>
      </c>
      <c r="U53">
        <f ca="1">IF(AND(ISNUMBER($U$113),$B$69=1),$U$113,HLOOKUP(INDIRECT(ADDRESS(2,COLUMN())),OFFSET($CL$2,0,0,ROW()-1,84),ROW()-1,FALSE))</f>
        <v>164497.71</v>
      </c>
      <c r="V53">
        <f ca="1">IF(AND(ISNUMBER($V$113),$B$69=1),$V$113,HLOOKUP(INDIRECT(ADDRESS(2,COLUMN())),OFFSET($CL$2,0,0,ROW()-1,84),ROW()-1,FALSE))</f>
        <v>137458.94</v>
      </c>
      <c r="W53">
        <f ca="1">IF(AND(ISNUMBER($W$113),$B$69=1),$W$113,HLOOKUP(INDIRECT(ADDRESS(2,COLUMN())),OFFSET($CL$2,0,0,ROW()-1,84),ROW()-1,FALSE))</f>
        <v>145361.29999999999</v>
      </c>
      <c r="X53">
        <f ca="1">IF(AND(ISNUMBER($X$113),$B$69=1),$X$113,HLOOKUP(INDIRECT(ADDRESS(2,COLUMN())),OFFSET($CL$2,0,0,ROW()-1,84),ROW()-1,FALSE))</f>
        <v>139144.75</v>
      </c>
      <c r="Y53">
        <f ca="1">IF(AND(ISNUMBER($Y$113),$B$69=1),$Y$113,HLOOKUP(INDIRECT(ADDRESS(2,COLUMN())),OFFSET($CL$2,0,0,ROW()-1,84),ROW()-1,FALSE))</f>
        <v>133593.06</v>
      </c>
      <c r="Z53">
        <f ca="1">IF(AND(ISNUMBER($Z$113),$B$69=1),$Z$113,HLOOKUP(INDIRECT(ADDRESS(2,COLUMN())),OFFSET($CL$2,0,0,ROW()-1,84),ROW()-1,FALSE))</f>
        <v>155041.87</v>
      </c>
      <c r="AA53">
        <f ca="1">IF(AND(ISNUMBER($AA$113),$B$69=1),$AA$113,HLOOKUP(INDIRECT(ADDRESS(2,COLUMN())),OFFSET($CL$2,0,0,ROW()-1,84),ROW()-1,FALSE))</f>
        <v>121257.57</v>
      </c>
      <c r="AB53">
        <f ca="1">IF(AND(ISNUMBER($AB$113),$B$69=1),$AB$113,HLOOKUP(INDIRECT(ADDRESS(2,COLUMN())),OFFSET($CL$2,0,0,ROW()-1,84),ROW()-1,FALSE))</f>
        <v>174693.14</v>
      </c>
      <c r="AC53">
        <f ca="1">IF(AND(ISNUMBER($AC$113),$B$69=1),$AC$113,HLOOKUP(INDIRECT(ADDRESS(2,COLUMN())),OFFSET($CL$2,0,0,ROW()-1,84),ROW()-1,FALSE))</f>
        <v>128811.21</v>
      </c>
      <c r="AD53">
        <f ca="1">IF(AND(ISNUMBER($AD$113),$B$69=1),$AD$113,HLOOKUP(INDIRECT(ADDRESS(2,COLUMN())),OFFSET($CL$2,0,0,ROW()-1,84),ROW()-1,FALSE))</f>
        <v>160703.78</v>
      </c>
      <c r="AE53">
        <f ca="1">IF(AND(ISNUMBER($AE$113),$B$69=1),$AE$113,HLOOKUP(INDIRECT(ADDRESS(2,COLUMN())),OFFSET($CL$2,0,0,ROW()-1,84),ROW()-1,FALSE))</f>
        <v>121495.41</v>
      </c>
      <c r="AF53">
        <f ca="1">IF(AND(ISNUMBER($AF$113),$B$69=1),$AF$113,HLOOKUP(INDIRECT(ADDRESS(2,COLUMN())),OFFSET($CL$2,0,0,ROW()-1,84),ROW()-1,FALSE))</f>
        <v>211962.86</v>
      </c>
      <c r="AG53">
        <f ca="1">IF(AND(ISNUMBER($AG$113),$B$69=1),$AG$113,HLOOKUP(INDIRECT(ADDRESS(2,COLUMN())),OFFSET($CL$2,0,0,ROW()-1,84),ROW()-1,FALSE))</f>
        <v>152629.84</v>
      </c>
      <c r="AH53">
        <f ca="1">IF(AND(ISNUMBER($AH$113),$B$69=1),$AH$113,HLOOKUP(INDIRECT(ADDRESS(2,COLUMN())),OFFSET($CL$2,0,0,ROW()-1,84),ROW()-1,FALSE))</f>
        <v>143230.35999999999</v>
      </c>
      <c r="AI53">
        <f ca="1">IF(AND(ISNUMBER($AI$113),$B$69=1),$AI$113,HLOOKUP(INDIRECT(ADDRESS(2,COLUMN())),OFFSET($CL$2,0,0,ROW()-1,84),ROW()-1,FALSE))</f>
        <v>166724.76999999999</v>
      </c>
      <c r="AJ53">
        <f ca="1">IF(AND(ISNUMBER($AJ$113),$B$69=1),$AJ$113,HLOOKUP(INDIRECT(ADDRESS(2,COLUMN())),OFFSET($CL$2,0,0,ROW()-1,84),ROW()-1,FALSE))</f>
        <v>147187.95000000001</v>
      </c>
      <c r="AK53">
        <f ca="1">IF(AND(ISNUMBER($AK$113),$B$69=1),$AK$113,HLOOKUP(INDIRECT(ADDRESS(2,COLUMN())),OFFSET($CL$2,0,0,ROW()-1,84),ROW()-1,FALSE))</f>
        <v>148930.04</v>
      </c>
      <c r="AL53">
        <f ca="1">IF(AND(ISNUMBER($AL$113),$B$69=1),$AL$113,HLOOKUP(INDIRECT(ADDRESS(2,COLUMN())),OFFSET($CL$2,0,0,ROW()-1,84),ROW()-1,FALSE))</f>
        <v>108886.44</v>
      </c>
      <c r="AM53">
        <f ca="1">IF(AND(ISNUMBER($AM$113),$B$69=1),$AM$113,HLOOKUP(INDIRECT(ADDRESS(2,COLUMN())),OFFSET($CL$2,0,0,ROW()-1,84),ROW()-1,FALSE))</f>
        <v>148601.75</v>
      </c>
      <c r="AN53">
        <f ca="1">IF(AND(ISNUMBER($AN$113),$B$69=1),$AN$113,HLOOKUP(INDIRECT(ADDRESS(2,COLUMN())),OFFSET($CL$2,0,0,ROW()-1,84),ROW()-1,FALSE))</f>
        <v>131604.14000000001</v>
      </c>
      <c r="AO53">
        <f ca="1">IF(AND(ISNUMBER($AO$113),$B$69=1),$AO$113,HLOOKUP(INDIRECT(ADDRESS(2,COLUMN())),OFFSET($CL$2,0,0,ROW()-1,84),ROW()-1,FALSE))</f>
        <v>165860.19</v>
      </c>
      <c r="AP53">
        <f ca="1">IF(AND(ISNUMBER($AP$113),$B$69=1),$AP$113,HLOOKUP(INDIRECT(ADDRESS(2,COLUMN())),OFFSET($CL$2,0,0,ROW()-1,84),ROW()-1,FALSE))</f>
        <v>149781.66</v>
      </c>
      <c r="AQ53">
        <f ca="1">IF(AND(ISNUMBER($AQ$113),$B$69=1),$AQ$113,HLOOKUP(INDIRECT(ADDRESS(2,COLUMN())),OFFSET($CL$2,0,0,ROW()-1,84),ROW()-1,FALSE))</f>
        <v>157583.72</v>
      </c>
      <c r="AR53">
        <f ca="1">IF(AND(ISNUMBER($AR$113),$B$69=1),$AR$113,HLOOKUP(INDIRECT(ADDRESS(2,COLUMN())),OFFSET($CL$2,0,0,ROW()-1,84),ROW()-1,FALSE))</f>
        <v>165859.47</v>
      </c>
      <c r="AS53">
        <f ca="1">IF(AND(ISNUMBER($AS$113),$B$69=1),$AS$113,HLOOKUP(INDIRECT(ADDRESS(2,COLUMN())),OFFSET($CL$2,0,0,ROW()-1,84),ROW()-1,FALSE))</f>
        <v>165275.76999999999</v>
      </c>
      <c r="AT53">
        <f ca="1">IF(AND(ISNUMBER($AT$113),$B$69=1),$AT$113,HLOOKUP(INDIRECT(ADDRESS(2,COLUMN())),OFFSET($CL$2,0,0,ROW()-1,84),ROW()-1,FALSE))</f>
        <v>151825.76999999999</v>
      </c>
      <c r="AU53">
        <f ca="1">IF(AND(ISNUMBER($AU$113),$B$69=1),$AU$113,HLOOKUP(INDIRECT(ADDRESS(2,COLUMN())),OFFSET($CL$2,0,0,ROW()-1,84),ROW()-1,FALSE))</f>
        <v>150491.62</v>
      </c>
      <c r="AV53">
        <f ca="1">IF(AND(ISNUMBER($AV$113),$B$69=1),$AV$113,HLOOKUP(INDIRECT(ADDRESS(2,COLUMN())),OFFSET($CL$2,0,0,ROW()-1,84),ROW()-1,FALSE))</f>
        <v>118760.76</v>
      </c>
      <c r="AW53">
        <f ca="1">IF(AND(ISNUMBER($AW$113),$B$69=1),$AW$113,HLOOKUP(INDIRECT(ADDRESS(2,COLUMN())),OFFSET($CL$2,0,0,ROW()-1,84),ROW()-1,FALSE))</f>
        <v>146237.37</v>
      </c>
      <c r="AX53">
        <f ca="1">IF(AND(ISNUMBER($AX$113),$B$69=1),$AX$113,HLOOKUP(INDIRECT(ADDRESS(2,COLUMN())),OFFSET($CL$2,0,0,ROW()-1,84),ROW()-1,FALSE))</f>
        <v>113157.57</v>
      </c>
      <c r="AY53">
        <f ca="1">IF(AND(ISNUMBER($AY$113),$B$69=1),$AY$113,HLOOKUP(INDIRECT(ADDRESS(2,COLUMN())),OFFSET($CL$2,0,0,ROW()-1,84),ROW()-1,FALSE))</f>
        <v>162497.29999999999</v>
      </c>
      <c r="AZ53">
        <f ca="1">IF(AND(ISNUMBER($AZ$113),$B$69=1),$AZ$113,HLOOKUP(INDIRECT(ADDRESS(2,COLUMN())),OFFSET($CL$2,0,0,ROW()-1,84),ROW()-1,FALSE))</f>
        <v>148184.04</v>
      </c>
      <c r="BA53">
        <f ca="1">IF(AND(ISNUMBER($BA$113),$B$69=1),$BA$113,HLOOKUP(INDIRECT(ADDRESS(2,COLUMN())),OFFSET($CL$2,0,0,ROW()-1,84),ROW()-1,FALSE))</f>
        <v>119171.4</v>
      </c>
      <c r="BB53">
        <f ca="1">IF(AND(ISNUMBER($BB$113),$B$69=1),$BB$113,HLOOKUP(INDIRECT(ADDRESS(2,COLUMN())),OFFSET($CL$2,0,0,ROW()-1,84),ROW()-1,FALSE))</f>
        <v>206230.09</v>
      </c>
      <c r="BC53">
        <f ca="1">IF(AND(ISNUMBER($BC$113),$B$69=1),$BC$113,HLOOKUP(INDIRECT(ADDRESS(2,COLUMN())),OFFSET($CL$2,0,0,ROW()-1,84),ROW()-1,FALSE))</f>
        <v>144378.26</v>
      </c>
      <c r="BD53">
        <f ca="1">IF(AND(ISNUMBER($BD$113),$B$69=1),$BD$113,HLOOKUP(INDIRECT(ADDRESS(2,COLUMN())),OFFSET($CL$2,0,0,ROW()-1,84),ROW()-1,FALSE))</f>
        <v>155535</v>
      </c>
      <c r="BE53">
        <f ca="1">IF(AND(ISNUMBER($BE$113),$B$69=1),$BE$113,HLOOKUP(INDIRECT(ADDRESS(2,COLUMN())),OFFSET($CL$2,0,0,ROW()-1,84),ROW()-1,FALSE))</f>
        <v>142614.95000000001</v>
      </c>
      <c r="BF53">
        <f ca="1">IF(AND(ISNUMBER($BF$113),$B$69=1),$BF$113,HLOOKUP(INDIRECT(ADDRESS(2,COLUMN())),OFFSET($CL$2,0,0,ROW()-1,84),ROW()-1,FALSE))</f>
        <v>166631.82999999999</v>
      </c>
      <c r="BG53">
        <f ca="1">IF(AND(ISNUMBER($BG$113),$B$69=1),$BG$113,HLOOKUP(INDIRECT(ADDRESS(2,COLUMN())),OFFSET($CL$2,0,0,ROW()-1,84),ROW()-1,FALSE))</f>
        <v>131989.10999999999</v>
      </c>
      <c r="BH53">
        <f ca="1">IF(AND(ISNUMBER($BH$113),$B$69=1),$BH$113,HLOOKUP(INDIRECT(ADDRESS(2,COLUMN())),OFFSET($CL$2,0,0,ROW()-1,84),ROW()-1,FALSE))</f>
        <v>134201.26</v>
      </c>
      <c r="BI53">
        <f ca="1">IF(AND(ISNUMBER($BI$113),$B$69=1),$BI$113,HLOOKUP(INDIRECT(ADDRESS(2,COLUMN())),OFFSET($CL$2,0,0,ROW()-1,84),ROW()-1,FALSE))</f>
        <v>143188.85</v>
      </c>
      <c r="BJ53">
        <f ca="1">IF(AND(ISNUMBER($BJ$113),$B$69=1),$BJ$113,HLOOKUP(INDIRECT(ADDRESS(2,COLUMN())),OFFSET($CL$2,0,0,ROW()-1,84),ROW()-1,FALSE))</f>
        <v>143637.5</v>
      </c>
      <c r="BK53">
        <f ca="1">IF(AND(ISNUMBER($BK$113),$B$69=1),$BK$113,HLOOKUP(INDIRECT(ADDRESS(2,COLUMN())),OFFSET($CL$2,0,0,ROW()-1,84),ROW()-1,FALSE))</f>
        <v>64317.17</v>
      </c>
      <c r="BL53">
        <f ca="1">IF(AND(ISNUMBER($BL$113),$B$69=1),$BL$113,HLOOKUP(INDIRECT(ADDRESS(2,COLUMN())),OFFSET($CL$2,0,0,ROW()-1,84),ROW()-1,FALSE))</f>
        <v>208737.26</v>
      </c>
      <c r="BM53">
        <f ca="1">IF(AND(ISNUMBER($BM$113),$B$69=1),$BM$113,HLOOKUP(INDIRECT(ADDRESS(2,COLUMN())),OFFSET($CL$2,0,0,ROW()-1,84),ROW()-1,FALSE))</f>
        <v>97834.39</v>
      </c>
      <c r="BN53">
        <f ca="1">IF(AND(ISNUMBER($BN$113),$B$69=1),$BN$113,HLOOKUP(INDIRECT(ADDRESS(2,COLUMN())),OFFSET($CL$2,0,0,ROW()-1,84),ROW()-1,FALSE))</f>
        <v>138786.62</v>
      </c>
      <c r="BO53">
        <f ca="1">IF(AND(ISNUMBER($BO$113),$B$69=1),$BO$113,HLOOKUP(INDIRECT(ADDRESS(2,COLUMN())),OFFSET($CL$2,0,0,ROW()-1,84),ROW()-1,FALSE))</f>
        <v>128002.55</v>
      </c>
      <c r="BP53">
        <f ca="1">IF(AND(ISNUMBER($BP$113),$B$69=1),$BP$113,HLOOKUP(INDIRECT(ADDRESS(2,COLUMN())),OFFSET($CL$2,0,0,ROW()-1,84),ROW()-1,FALSE))</f>
        <v>105900.54</v>
      </c>
      <c r="BQ53">
        <f ca="1">IF(AND(ISNUMBER($BQ$113),$B$69=1),$BQ$113,HLOOKUP(INDIRECT(ADDRESS(2,COLUMN())),OFFSET($CL$2,0,0,ROW()-1,84),ROW()-1,FALSE))</f>
        <v>146805.44</v>
      </c>
      <c r="BR53">
        <f ca="1">IF(AND(ISNUMBER($BR$113),$B$69=1),$BR$113,HLOOKUP(INDIRECT(ADDRESS(2,COLUMN())),OFFSET($CL$2,0,0,ROW()-1,84),ROW()-1,FALSE))</f>
        <v>156352.37</v>
      </c>
      <c r="BS53">
        <f ca="1">IF(AND(ISNUMBER($BS$113),$B$69=1),$BS$113,HLOOKUP(INDIRECT(ADDRESS(2,COLUMN())),OFFSET($CL$2,0,0,ROW()-1,84),ROW()-1,FALSE))</f>
        <v>125084.81</v>
      </c>
      <c r="BT53">
        <f ca="1">IF(AND(ISNUMBER($BT$113),$B$69=1),$BT$113,HLOOKUP(INDIRECT(ADDRESS(2,COLUMN())),OFFSET($CL$2,0,0,ROW()-1,84),ROW()-1,FALSE))</f>
        <v>101347.11</v>
      </c>
      <c r="BU53">
        <f ca="1">IF(AND(ISNUMBER($BU$113),$B$69=1),$BU$113,HLOOKUP(INDIRECT(ADDRESS(2,COLUMN())),OFFSET($CL$2,0,0,ROW()-1,84),ROW()-1,FALSE))</f>
        <v>109267.25</v>
      </c>
      <c r="BV53">
        <f ca="1">IF(AND(ISNUMBER($BV$113),$B$69=1),$BV$113,HLOOKUP(INDIRECT(ADDRESS(2,COLUMN())),OFFSET($CL$2,0,0,ROW()-1,84),ROW()-1,FALSE))</f>
        <v>142480.93</v>
      </c>
      <c r="BW53">
        <f ca="1">IF(AND(ISNUMBER($BW$113),$B$69=1),$BW$113,HLOOKUP(INDIRECT(ADDRESS(2,COLUMN())),OFFSET($CL$2,0,0,ROW()-1,84),ROW()-1,FALSE))</f>
        <v>100757.28</v>
      </c>
      <c r="BX53">
        <f ca="1">IF(AND(ISNUMBER($BX$113),$B$69=1),$BX$113,HLOOKUP(INDIRECT(ADDRESS(2,COLUMN())),OFFSET($CL$2,0,0,ROW()-1,84),ROW()-1,FALSE))</f>
        <v>126138.53</v>
      </c>
      <c r="BY53">
        <f ca="1">IF(AND(ISNUMBER($BY$113),$B$69=1),$BY$113,HLOOKUP(INDIRECT(ADDRESS(2,COLUMN())),OFFSET($CL$2,0,0,ROW()-1,84),ROW()-1,FALSE))</f>
        <v>180903.49</v>
      </c>
      <c r="BZ53">
        <f ca="1">IF(AND(ISNUMBER($BZ$113),$B$69=1),$BZ$113,HLOOKUP(INDIRECT(ADDRESS(2,COLUMN())),OFFSET($CL$2,0,0,ROW()-1,84),ROW()-1,FALSE))</f>
        <v>99631.3</v>
      </c>
      <c r="CA53">
        <f ca="1">IF(AND(ISNUMBER($CA$113),$B$69=1),$CA$113,HLOOKUP(INDIRECT(ADDRESS(2,COLUMN())),OFFSET($CL$2,0,0,ROW()-1,84),ROW()-1,FALSE))</f>
        <v>139193.79999999999</v>
      </c>
      <c r="CB53">
        <f ca="1">IF(AND(ISNUMBER($CB$113),$B$69=1),$CB$113,HLOOKUP(INDIRECT(ADDRESS(2,COLUMN())),OFFSET($CL$2,0,0,ROW()-1,84),ROW()-1,FALSE))</f>
        <v>136802.54999999999</v>
      </c>
      <c r="CC53">
        <f ca="1">IF(AND(ISNUMBER($CC$113),$B$69=1),$CC$113,HLOOKUP(INDIRECT(ADDRESS(2,COLUMN())),OFFSET($CL$2,0,0,ROW()-1,84),ROW()-1,FALSE))</f>
        <v>119785.78</v>
      </c>
      <c r="CD53">
        <f ca="1">IF(AND(ISNUMBER($CD$113),$B$69=1),$CD$113,HLOOKUP(INDIRECT(ADDRESS(2,COLUMN())),OFFSET($CL$2,0,0,ROW()-1,84),ROW()-1,FALSE))</f>
        <v>147873.85</v>
      </c>
      <c r="CE53">
        <f ca="1">IF(AND(ISNUMBER($CE$113),$B$69=1),$CE$113,HLOOKUP(INDIRECT(ADDRESS(2,COLUMN())),OFFSET($CL$2,0,0,ROW()-1,84),ROW()-1,FALSE))</f>
        <v>134108.4</v>
      </c>
      <c r="CF53">
        <f ca="1">IF(AND(ISNUMBER($CF$113),$B$69=1),$CF$113,HLOOKUP(INDIRECT(ADDRESS(2,COLUMN())),OFFSET($CL$2,0,0,ROW()-1,84),ROW()-1,FALSE))</f>
        <v>80638.94</v>
      </c>
      <c r="CG53">
        <f ca="1">IF(AND(ISNUMBER($CG$113),$B$69=1),$CG$113,HLOOKUP(INDIRECT(ADDRESS(2,COLUMN())),OFFSET($CL$2,0,0,ROW()-1,84),ROW()-1,FALSE))</f>
        <v>127953.54</v>
      </c>
      <c r="CH53">
        <f ca="1">IF(AND(ISNUMBER($CH$113),$B$69=1),$CH$113,HLOOKUP(INDIRECT(ADDRESS(2,COLUMN())),OFFSET($CL$2,0,0,ROW()-1,84),ROW()-1,FALSE))</f>
        <v>118843.63</v>
      </c>
      <c r="CI53">
        <f ca="1">IF(AND(ISNUMBER($CI$113),$B$69=1),$CI$113,HLOOKUP(INDIRECT(ADDRESS(2,COLUMN())),OFFSET($CL$2,0,0,ROW()-1,84),ROW()-1,FALSE))</f>
        <v>106579.68</v>
      </c>
      <c r="CJ53">
        <f ca="1">IF(AND(ISNUMBER($CJ$113),$B$69=1),$CJ$113,HLOOKUP(INDIRECT(ADDRESS(2,COLUMN())),OFFSET($CL$2,0,0,ROW()-1,84),ROW()-1,FALSE))</f>
        <v>127849.18</v>
      </c>
      <c r="CK53">
        <f ca="1">IF(AND(ISNUMBER($CK$113),$B$69=1),$CK$113,HLOOKUP(INDIRECT(ADDRESS(2,COLUMN())),OFFSET($CL$2,0,0,ROW()-1,84),ROW()-1,FALSE))</f>
        <v>152999.88</v>
      </c>
      <c r="CL53" t="str">
        <f>""</f>
        <v/>
      </c>
      <c r="CM53">
        <f>145932.32</f>
        <v>145932.32</v>
      </c>
      <c r="CN53">
        <f>159878.73</f>
        <v>159878.73000000001</v>
      </c>
      <c r="CO53">
        <f>151887.82</f>
        <v>151887.82</v>
      </c>
      <c r="CP53">
        <f>125206.89</f>
        <v>125206.89</v>
      </c>
      <c r="CQ53">
        <f>152692.24</f>
        <v>152692.24</v>
      </c>
      <c r="CR53">
        <f>191655.23</f>
        <v>191655.23</v>
      </c>
      <c r="CS53">
        <f>157660.22</f>
        <v>157660.22</v>
      </c>
      <c r="CT53">
        <f>140899.84</f>
        <v>140899.84</v>
      </c>
      <c r="CU53">
        <f>153549.26</f>
        <v>153549.26</v>
      </c>
      <c r="CV53">
        <f>145159.07</f>
        <v>145159.07</v>
      </c>
      <c r="CW53">
        <f>176176.88</f>
        <v>176176.88</v>
      </c>
      <c r="CX53">
        <f>164675.77</f>
        <v>164675.76999999999</v>
      </c>
      <c r="CY53">
        <f>110368.72</f>
        <v>110368.72</v>
      </c>
      <c r="CZ53">
        <f>200617.26</f>
        <v>200617.26</v>
      </c>
      <c r="DA53">
        <f>164497.71</f>
        <v>164497.71</v>
      </c>
      <c r="DB53">
        <f>137458.94</f>
        <v>137458.94</v>
      </c>
      <c r="DC53">
        <f>145361.3</f>
        <v>145361.29999999999</v>
      </c>
      <c r="DD53">
        <f>139144.75</f>
        <v>139144.75</v>
      </c>
      <c r="DE53">
        <f>133593.06</f>
        <v>133593.06</v>
      </c>
      <c r="DF53">
        <f>155041.87</f>
        <v>155041.87</v>
      </c>
      <c r="DG53">
        <f>121257.57</f>
        <v>121257.57</v>
      </c>
      <c r="DH53">
        <f>174693.14</f>
        <v>174693.14</v>
      </c>
      <c r="DI53">
        <f>128811.21</f>
        <v>128811.21</v>
      </c>
      <c r="DJ53">
        <f>160703.78</f>
        <v>160703.78</v>
      </c>
      <c r="DK53">
        <f>121495.41</f>
        <v>121495.41</v>
      </c>
      <c r="DL53">
        <f>211962.86</f>
        <v>211962.86</v>
      </c>
      <c r="DM53">
        <f>152629.84</f>
        <v>152629.84</v>
      </c>
      <c r="DN53">
        <f>143230.36</f>
        <v>143230.35999999999</v>
      </c>
      <c r="DO53">
        <f>166724.77</f>
        <v>166724.76999999999</v>
      </c>
      <c r="DP53">
        <f>147187.95</f>
        <v>147187.95000000001</v>
      </c>
      <c r="DQ53">
        <f>148930.04</f>
        <v>148930.04</v>
      </c>
      <c r="DR53">
        <f>108886.44</f>
        <v>108886.44</v>
      </c>
      <c r="DS53">
        <f>148601.75</f>
        <v>148601.75</v>
      </c>
      <c r="DT53">
        <f>131604.14</f>
        <v>131604.14000000001</v>
      </c>
      <c r="DU53">
        <f>165860.19</f>
        <v>165860.19</v>
      </c>
      <c r="DV53">
        <f>149781.66</f>
        <v>149781.66</v>
      </c>
      <c r="DW53">
        <f>157583.72</f>
        <v>157583.72</v>
      </c>
      <c r="DX53">
        <f>165859.47</f>
        <v>165859.47</v>
      </c>
      <c r="DY53">
        <f>165275.77</f>
        <v>165275.76999999999</v>
      </c>
      <c r="DZ53">
        <f>151825.77</f>
        <v>151825.76999999999</v>
      </c>
      <c r="EA53">
        <f>150491.62</f>
        <v>150491.62</v>
      </c>
      <c r="EB53">
        <f>118760.76</f>
        <v>118760.76</v>
      </c>
      <c r="EC53">
        <f>146237.37</f>
        <v>146237.37</v>
      </c>
      <c r="ED53">
        <f>113157.57</f>
        <v>113157.57</v>
      </c>
      <c r="EE53">
        <f>162497.3</f>
        <v>162497.29999999999</v>
      </c>
      <c r="EF53">
        <f>148184.04</f>
        <v>148184.04</v>
      </c>
      <c r="EG53">
        <f>119171.4</f>
        <v>119171.4</v>
      </c>
      <c r="EH53">
        <f>206230.09</f>
        <v>206230.09</v>
      </c>
      <c r="EI53">
        <f>144378.26</f>
        <v>144378.26</v>
      </c>
      <c r="EJ53">
        <f>155535</f>
        <v>155535</v>
      </c>
      <c r="EK53">
        <f>142614.95</f>
        <v>142614.95000000001</v>
      </c>
      <c r="EL53">
        <f>166631.83</f>
        <v>166631.82999999999</v>
      </c>
      <c r="EM53">
        <f>131989.11</f>
        <v>131989.10999999999</v>
      </c>
      <c r="EN53">
        <f>134201.26</f>
        <v>134201.26</v>
      </c>
      <c r="EO53">
        <f>143188.85</f>
        <v>143188.85</v>
      </c>
      <c r="EP53">
        <f>143637.5</f>
        <v>143637.5</v>
      </c>
      <c r="EQ53">
        <f>64317.17</f>
        <v>64317.17</v>
      </c>
      <c r="ER53">
        <f>208737.26</f>
        <v>208737.26</v>
      </c>
      <c r="ES53">
        <f>97834.39</f>
        <v>97834.39</v>
      </c>
      <c r="ET53">
        <f>138786.62</f>
        <v>138786.62</v>
      </c>
      <c r="EU53">
        <f>128002.55</f>
        <v>128002.55</v>
      </c>
      <c r="EV53">
        <f>105900.54</f>
        <v>105900.54</v>
      </c>
      <c r="EW53">
        <f>146805.44</f>
        <v>146805.44</v>
      </c>
      <c r="EX53">
        <f>156352.37</f>
        <v>156352.37</v>
      </c>
      <c r="EY53">
        <f>125084.81</f>
        <v>125084.81</v>
      </c>
      <c r="EZ53">
        <f>101347.11</f>
        <v>101347.11</v>
      </c>
      <c r="FA53">
        <f>109267.25</f>
        <v>109267.25</v>
      </c>
      <c r="FB53">
        <f>142480.93</f>
        <v>142480.93</v>
      </c>
      <c r="FC53">
        <f>100757.28</f>
        <v>100757.28</v>
      </c>
      <c r="FD53">
        <f>126138.53</f>
        <v>126138.53</v>
      </c>
      <c r="FE53">
        <f>180903.49</f>
        <v>180903.49</v>
      </c>
      <c r="FF53">
        <f>99631.3</f>
        <v>99631.3</v>
      </c>
      <c r="FG53">
        <f>139193.8</f>
        <v>139193.79999999999</v>
      </c>
      <c r="FH53">
        <f>136802.55</f>
        <v>136802.54999999999</v>
      </c>
      <c r="FI53">
        <f>119785.78</f>
        <v>119785.78</v>
      </c>
      <c r="FJ53">
        <f>147873.85</f>
        <v>147873.85</v>
      </c>
      <c r="FK53">
        <f>134108.4</f>
        <v>134108.4</v>
      </c>
      <c r="FL53">
        <f>80638.94</f>
        <v>80638.94</v>
      </c>
      <c r="FM53">
        <f>127953.54</f>
        <v>127953.54</v>
      </c>
      <c r="FN53">
        <f>118843.63</f>
        <v>118843.63</v>
      </c>
      <c r="FO53">
        <f>106579.68</f>
        <v>106579.68</v>
      </c>
      <c r="FP53">
        <f>127849.18</f>
        <v>127849.18</v>
      </c>
      <c r="FQ53">
        <f>152999.88</f>
        <v>152999.88</v>
      </c>
    </row>
    <row r="54" spans="1:173" x14ac:dyDescent="0.25">
      <c r="CL54" t="str">
        <f>""</f>
        <v/>
      </c>
      <c r="CM54" t="str">
        <f>""</f>
        <v/>
      </c>
      <c r="CN54" t="str">
        <f>""</f>
        <v/>
      </c>
      <c r="CO54" t="str">
        <f>""</f>
        <v/>
      </c>
      <c r="CP54" t="str">
        <f>""</f>
        <v/>
      </c>
      <c r="CQ54" t="str">
        <f>""</f>
        <v/>
      </c>
      <c r="CR54" t="str">
        <f>""</f>
        <v/>
      </c>
      <c r="CS54" t="str">
        <f>""</f>
        <v/>
      </c>
      <c r="CT54" t="str">
        <f>""</f>
        <v/>
      </c>
      <c r="CU54" t="str">
        <f>""</f>
        <v/>
      </c>
      <c r="CV54" t="str">
        <f>""</f>
        <v/>
      </c>
      <c r="CW54" t="str">
        <f>""</f>
        <v/>
      </c>
      <c r="CX54" t="str">
        <f>""</f>
        <v/>
      </c>
      <c r="CY54" t="str">
        <f>""</f>
        <v/>
      </c>
      <c r="CZ54" t="str">
        <f>""</f>
        <v/>
      </c>
      <c r="DA54" t="str">
        <f>""</f>
        <v/>
      </c>
      <c r="DB54" t="str">
        <f>""</f>
        <v/>
      </c>
      <c r="DC54" t="str">
        <f>""</f>
        <v/>
      </c>
      <c r="DD54" t="str">
        <f>""</f>
        <v/>
      </c>
      <c r="DE54" t="str">
        <f>""</f>
        <v/>
      </c>
      <c r="DF54" t="str">
        <f>""</f>
        <v/>
      </c>
      <c r="DG54" t="str">
        <f>""</f>
        <v/>
      </c>
      <c r="DH54" t="str">
        <f>""</f>
        <v/>
      </c>
      <c r="DI54" t="str">
        <f>""</f>
        <v/>
      </c>
      <c r="DJ54" t="str">
        <f>""</f>
        <v/>
      </c>
      <c r="DK54" t="str">
        <f>""</f>
        <v/>
      </c>
      <c r="DL54" t="str">
        <f>""</f>
        <v/>
      </c>
      <c r="DM54" t="str">
        <f>""</f>
        <v/>
      </c>
      <c r="DN54" t="str">
        <f>""</f>
        <v/>
      </c>
      <c r="DO54" t="str">
        <f>""</f>
        <v/>
      </c>
      <c r="DP54" t="str">
        <f>""</f>
        <v/>
      </c>
      <c r="DQ54" t="str">
        <f>""</f>
        <v/>
      </c>
      <c r="DR54" t="str">
        <f>""</f>
        <v/>
      </c>
      <c r="DS54" t="str">
        <f>""</f>
        <v/>
      </c>
      <c r="DT54" t="str">
        <f>""</f>
        <v/>
      </c>
      <c r="DU54" t="str">
        <f>""</f>
        <v/>
      </c>
      <c r="DV54" t="str">
        <f>""</f>
        <v/>
      </c>
      <c r="DW54" t="str">
        <f>""</f>
        <v/>
      </c>
      <c r="DX54" t="str">
        <f>""</f>
        <v/>
      </c>
      <c r="DY54" t="str">
        <f>""</f>
        <v/>
      </c>
      <c r="DZ54" t="str">
        <f>""</f>
        <v/>
      </c>
      <c r="EA54" t="str">
        <f>""</f>
        <v/>
      </c>
      <c r="EB54" t="str">
        <f>""</f>
        <v/>
      </c>
      <c r="EC54" t="str">
        <f>""</f>
        <v/>
      </c>
      <c r="ED54" t="str">
        <f>""</f>
        <v/>
      </c>
      <c r="EE54" t="str">
        <f>""</f>
        <v/>
      </c>
      <c r="EF54" t="str">
        <f>""</f>
        <v/>
      </c>
      <c r="EG54" t="str">
        <f>""</f>
        <v/>
      </c>
      <c r="EH54" t="str">
        <f>""</f>
        <v/>
      </c>
      <c r="EI54" t="str">
        <f>""</f>
        <v/>
      </c>
      <c r="EJ54" t="str">
        <f>""</f>
        <v/>
      </c>
      <c r="EK54" t="str">
        <f>""</f>
        <v/>
      </c>
      <c r="EL54" t="str">
        <f>""</f>
        <v/>
      </c>
      <c r="EM54" t="str">
        <f>""</f>
        <v/>
      </c>
      <c r="EN54" t="str">
        <f>""</f>
        <v/>
      </c>
      <c r="EO54" t="str">
        <f>""</f>
        <v/>
      </c>
      <c r="EP54" t="str">
        <f>""</f>
        <v/>
      </c>
      <c r="EQ54" t="str">
        <f>""</f>
        <v/>
      </c>
      <c r="ER54" t="str">
        <f>""</f>
        <v/>
      </c>
      <c r="ES54" t="str">
        <f>""</f>
        <v/>
      </c>
      <c r="ET54" t="str">
        <f>""</f>
        <v/>
      </c>
      <c r="EU54" t="str">
        <f>""</f>
        <v/>
      </c>
      <c r="EV54" t="str">
        <f>""</f>
        <v/>
      </c>
      <c r="EW54" t="str">
        <f>""</f>
        <v/>
      </c>
      <c r="EX54" t="str">
        <f>""</f>
        <v/>
      </c>
      <c r="EY54" t="str">
        <f>""</f>
        <v/>
      </c>
      <c r="EZ54" t="str">
        <f>""</f>
        <v/>
      </c>
      <c r="FA54" t="str">
        <f>""</f>
        <v/>
      </c>
      <c r="FB54" t="str">
        <f>""</f>
        <v/>
      </c>
      <c r="FC54" t="str">
        <f>""</f>
        <v/>
      </c>
      <c r="FD54" t="str">
        <f>""</f>
        <v/>
      </c>
      <c r="FE54" t="str">
        <f>""</f>
        <v/>
      </c>
      <c r="FF54" t="str">
        <f>""</f>
        <v/>
      </c>
      <c r="FG54" t="str">
        <f>""</f>
        <v/>
      </c>
      <c r="FH54" t="str">
        <f>""</f>
        <v/>
      </c>
      <c r="FI54" t="str">
        <f>""</f>
        <v/>
      </c>
      <c r="FJ54" t="str">
        <f>""</f>
        <v/>
      </c>
      <c r="FK54" t="str">
        <f>""</f>
        <v/>
      </c>
      <c r="FL54" t="str">
        <f>""</f>
        <v/>
      </c>
      <c r="FM54" t="str">
        <f>""</f>
        <v/>
      </c>
      <c r="FN54" t="str">
        <f>""</f>
        <v/>
      </c>
      <c r="FO54" t="str">
        <f>""</f>
        <v/>
      </c>
      <c r="FP54" t="str">
        <f>""</f>
        <v/>
      </c>
      <c r="FQ54" t="str">
        <f>""</f>
        <v/>
      </c>
    </row>
    <row r="55" spans="1:173" x14ac:dyDescent="0.25">
      <c r="CL55" t="str">
        <f>""</f>
        <v/>
      </c>
      <c r="CM55" t="str">
        <f>""</f>
        <v/>
      </c>
      <c r="CN55" t="str">
        <f>""</f>
        <v/>
      </c>
      <c r="CO55" t="str">
        <f>""</f>
        <v/>
      </c>
      <c r="CP55" t="str">
        <f>""</f>
        <v/>
      </c>
      <c r="CQ55" t="str">
        <f>""</f>
        <v/>
      </c>
      <c r="CR55" t="str">
        <f>""</f>
        <v/>
      </c>
      <c r="CS55" t="str">
        <f>""</f>
        <v/>
      </c>
      <c r="CT55" t="str">
        <f>""</f>
        <v/>
      </c>
      <c r="CU55" t="str">
        <f>""</f>
        <v/>
      </c>
      <c r="CV55" t="str">
        <f>""</f>
        <v/>
      </c>
      <c r="CW55" t="str">
        <f>""</f>
        <v/>
      </c>
      <c r="CX55" t="str">
        <f>""</f>
        <v/>
      </c>
      <c r="CY55" t="str">
        <f>""</f>
        <v/>
      </c>
      <c r="CZ55" t="str">
        <f>""</f>
        <v/>
      </c>
      <c r="DA55" t="str">
        <f>""</f>
        <v/>
      </c>
      <c r="DB55" t="str">
        <f>""</f>
        <v/>
      </c>
      <c r="DC55" t="str">
        <f>""</f>
        <v/>
      </c>
      <c r="DD55" t="str">
        <f>""</f>
        <v/>
      </c>
      <c r="DE55" t="str">
        <f>""</f>
        <v/>
      </c>
      <c r="DF55" t="str">
        <f>""</f>
        <v/>
      </c>
      <c r="DG55" t="str">
        <f>""</f>
        <v/>
      </c>
      <c r="DH55" t="str">
        <f>""</f>
        <v/>
      </c>
      <c r="DI55" t="str">
        <f>""</f>
        <v/>
      </c>
      <c r="DJ55" t="str">
        <f>""</f>
        <v/>
      </c>
      <c r="DK55" t="str">
        <f>""</f>
        <v/>
      </c>
      <c r="DL55" t="str">
        <f>""</f>
        <v/>
      </c>
      <c r="DM55" t="str">
        <f>""</f>
        <v/>
      </c>
      <c r="DN55" t="str">
        <f>""</f>
        <v/>
      </c>
      <c r="DO55" t="str">
        <f>""</f>
        <v/>
      </c>
      <c r="DP55" t="str">
        <f>""</f>
        <v/>
      </c>
      <c r="DQ55" t="str">
        <f>""</f>
        <v/>
      </c>
      <c r="DR55" t="str">
        <f>""</f>
        <v/>
      </c>
      <c r="DS55" t="str">
        <f>""</f>
        <v/>
      </c>
      <c r="DT55" t="str">
        <f>""</f>
        <v/>
      </c>
      <c r="DU55" t="str">
        <f>""</f>
        <v/>
      </c>
      <c r="DV55" t="str">
        <f>""</f>
        <v/>
      </c>
      <c r="DW55" t="str">
        <f>""</f>
        <v/>
      </c>
      <c r="DX55" t="str">
        <f>""</f>
        <v/>
      </c>
      <c r="DY55" t="str">
        <f>""</f>
        <v/>
      </c>
      <c r="DZ55" t="str">
        <f>""</f>
        <v/>
      </c>
      <c r="EA55" t="str">
        <f>""</f>
        <v/>
      </c>
      <c r="EB55" t="str">
        <f>""</f>
        <v/>
      </c>
      <c r="EC55" t="str">
        <f>""</f>
        <v/>
      </c>
      <c r="ED55" t="str">
        <f>""</f>
        <v/>
      </c>
      <c r="EE55" t="str">
        <f>""</f>
        <v/>
      </c>
      <c r="EF55" t="str">
        <f>""</f>
        <v/>
      </c>
      <c r="EG55" t="str">
        <f>""</f>
        <v/>
      </c>
      <c r="EH55" t="str">
        <f>""</f>
        <v/>
      </c>
      <c r="EI55" t="str">
        <f>""</f>
        <v/>
      </c>
      <c r="EJ55" t="str">
        <f>""</f>
        <v/>
      </c>
      <c r="EK55" t="str">
        <f>""</f>
        <v/>
      </c>
      <c r="EL55" t="str">
        <f>""</f>
        <v/>
      </c>
      <c r="EM55" t="str">
        <f>""</f>
        <v/>
      </c>
      <c r="EN55" t="str">
        <f>""</f>
        <v/>
      </c>
      <c r="EO55" t="str">
        <f>""</f>
        <v/>
      </c>
      <c r="EP55" t="str">
        <f>""</f>
        <v/>
      </c>
      <c r="EQ55" t="str">
        <f>""</f>
        <v/>
      </c>
      <c r="ER55" t="str">
        <f>""</f>
        <v/>
      </c>
      <c r="ES55" t="str">
        <f>""</f>
        <v/>
      </c>
      <c r="ET55" t="str">
        <f>""</f>
        <v/>
      </c>
      <c r="EU55" t="str">
        <f>""</f>
        <v/>
      </c>
      <c r="EV55" t="str">
        <f>""</f>
        <v/>
      </c>
      <c r="EW55" t="str">
        <f>""</f>
        <v/>
      </c>
      <c r="EX55" t="str">
        <f>""</f>
        <v/>
      </c>
      <c r="EY55" t="str">
        <f>""</f>
        <v/>
      </c>
      <c r="EZ55" t="str">
        <f>""</f>
        <v/>
      </c>
      <c r="FA55" t="str">
        <f>""</f>
        <v/>
      </c>
      <c r="FB55" t="str">
        <f>""</f>
        <v/>
      </c>
      <c r="FC55" t="str">
        <f>""</f>
        <v/>
      </c>
      <c r="FD55" t="str">
        <f>""</f>
        <v/>
      </c>
      <c r="FE55" t="str">
        <f>""</f>
        <v/>
      </c>
      <c r="FF55" t="str">
        <f>""</f>
        <v/>
      </c>
      <c r="FG55" t="str">
        <f>""</f>
        <v/>
      </c>
      <c r="FH55" t="str">
        <f>""</f>
        <v/>
      </c>
      <c r="FI55" t="str">
        <f>""</f>
        <v/>
      </c>
      <c r="FJ55" t="str">
        <f>""</f>
        <v/>
      </c>
      <c r="FK55" t="str">
        <f>""</f>
        <v/>
      </c>
      <c r="FL55" t="str">
        <f>""</f>
        <v/>
      </c>
      <c r="FM55" t="str">
        <f>""</f>
        <v/>
      </c>
      <c r="FN55" t="str">
        <f>""</f>
        <v/>
      </c>
      <c r="FO55" t="str">
        <f>""</f>
        <v/>
      </c>
      <c r="FP55" t="str">
        <f>""</f>
        <v/>
      </c>
      <c r="FQ55" t="str">
        <f>""</f>
        <v/>
      </c>
    </row>
    <row r="56" spans="1:173" x14ac:dyDescent="0.25">
      <c r="CL56" t="str">
        <f>""</f>
        <v/>
      </c>
      <c r="CM56" t="str">
        <f>""</f>
        <v/>
      </c>
      <c r="CN56" t="str">
        <f>""</f>
        <v/>
      </c>
      <c r="CO56" t="str">
        <f>""</f>
        <v/>
      </c>
      <c r="CP56" t="str">
        <f>""</f>
        <v/>
      </c>
      <c r="CQ56" t="str">
        <f>""</f>
        <v/>
      </c>
      <c r="CR56" t="str">
        <f>""</f>
        <v/>
      </c>
      <c r="CS56" t="str">
        <f>""</f>
        <v/>
      </c>
      <c r="CT56" t="str">
        <f>""</f>
        <v/>
      </c>
      <c r="CU56" t="str">
        <f>""</f>
        <v/>
      </c>
      <c r="CV56" t="str">
        <f>""</f>
        <v/>
      </c>
      <c r="CW56" t="str">
        <f>""</f>
        <v/>
      </c>
      <c r="CX56" t="str">
        <f>""</f>
        <v/>
      </c>
      <c r="CY56" t="str">
        <f>""</f>
        <v/>
      </c>
      <c r="CZ56" t="str">
        <f>""</f>
        <v/>
      </c>
      <c r="DA56" t="str">
        <f>""</f>
        <v/>
      </c>
      <c r="DB56" t="str">
        <f>""</f>
        <v/>
      </c>
      <c r="DC56" t="str">
        <f>""</f>
        <v/>
      </c>
      <c r="DD56" t="str">
        <f>""</f>
        <v/>
      </c>
      <c r="DE56" t="str">
        <f>""</f>
        <v/>
      </c>
      <c r="DF56" t="str">
        <f>""</f>
        <v/>
      </c>
      <c r="DG56" t="str">
        <f>""</f>
        <v/>
      </c>
      <c r="DH56" t="str">
        <f>""</f>
        <v/>
      </c>
      <c r="DI56" t="str">
        <f>""</f>
        <v/>
      </c>
      <c r="DJ56" t="str">
        <f>""</f>
        <v/>
      </c>
      <c r="DK56" t="str">
        <f>""</f>
        <v/>
      </c>
      <c r="DL56" t="str">
        <f>""</f>
        <v/>
      </c>
      <c r="DM56" t="str">
        <f>""</f>
        <v/>
      </c>
      <c r="DN56" t="str">
        <f>""</f>
        <v/>
      </c>
      <c r="DO56" t="str">
        <f>""</f>
        <v/>
      </c>
      <c r="DP56" t="str">
        <f>""</f>
        <v/>
      </c>
      <c r="DQ56" t="str">
        <f>""</f>
        <v/>
      </c>
      <c r="DR56" t="str">
        <f>""</f>
        <v/>
      </c>
      <c r="DS56" t="str">
        <f>""</f>
        <v/>
      </c>
      <c r="DT56" t="str">
        <f>""</f>
        <v/>
      </c>
      <c r="DU56" t="str">
        <f>""</f>
        <v/>
      </c>
      <c r="DV56" t="str">
        <f>""</f>
        <v/>
      </c>
      <c r="DW56" t="str">
        <f>""</f>
        <v/>
      </c>
      <c r="DX56" t="str">
        <f>""</f>
        <v/>
      </c>
      <c r="DY56" t="str">
        <f>""</f>
        <v/>
      </c>
      <c r="DZ56" t="str">
        <f>""</f>
        <v/>
      </c>
      <c r="EA56" t="str">
        <f>""</f>
        <v/>
      </c>
      <c r="EB56" t="str">
        <f>""</f>
        <v/>
      </c>
      <c r="EC56" t="str">
        <f>""</f>
        <v/>
      </c>
      <c r="ED56" t="str">
        <f>""</f>
        <v/>
      </c>
      <c r="EE56" t="str">
        <f>""</f>
        <v/>
      </c>
      <c r="EF56" t="str">
        <f>""</f>
        <v/>
      </c>
      <c r="EG56" t="str">
        <f>""</f>
        <v/>
      </c>
      <c r="EH56" t="str">
        <f>""</f>
        <v/>
      </c>
      <c r="EI56" t="str">
        <f>""</f>
        <v/>
      </c>
      <c r="EJ56" t="str">
        <f>""</f>
        <v/>
      </c>
      <c r="EK56" t="str">
        <f>""</f>
        <v/>
      </c>
      <c r="EL56" t="str">
        <f>""</f>
        <v/>
      </c>
      <c r="EM56" t="str">
        <f>""</f>
        <v/>
      </c>
      <c r="EN56" t="str">
        <f>""</f>
        <v/>
      </c>
      <c r="EO56" t="str">
        <f>""</f>
        <v/>
      </c>
      <c r="EP56" t="str">
        <f>""</f>
        <v/>
      </c>
      <c r="EQ56" t="str">
        <f>""</f>
        <v/>
      </c>
      <c r="ER56" t="str">
        <f>""</f>
        <v/>
      </c>
      <c r="ES56" t="str">
        <f>""</f>
        <v/>
      </c>
      <c r="ET56" t="str">
        <f>""</f>
        <v/>
      </c>
      <c r="EU56" t="str">
        <f>""</f>
        <v/>
      </c>
      <c r="EV56" t="str">
        <f>""</f>
        <v/>
      </c>
      <c r="EW56" t="str">
        <f>""</f>
        <v/>
      </c>
      <c r="EX56" t="str">
        <f>""</f>
        <v/>
      </c>
      <c r="EY56" t="str">
        <f>""</f>
        <v/>
      </c>
      <c r="EZ56" t="str">
        <f>""</f>
        <v/>
      </c>
      <c r="FA56" t="str">
        <f>""</f>
        <v/>
      </c>
      <c r="FB56" t="str">
        <f>""</f>
        <v/>
      </c>
      <c r="FC56" t="str">
        <f>""</f>
        <v/>
      </c>
      <c r="FD56" t="str">
        <f>""</f>
        <v/>
      </c>
      <c r="FE56" t="str">
        <f>""</f>
        <v/>
      </c>
      <c r="FF56" t="str">
        <f>""</f>
        <v/>
      </c>
      <c r="FG56" t="str">
        <f>""</f>
        <v/>
      </c>
      <c r="FH56" t="str">
        <f>""</f>
        <v/>
      </c>
      <c r="FI56" t="str">
        <f>""</f>
        <v/>
      </c>
      <c r="FJ56" t="str">
        <f>""</f>
        <v/>
      </c>
      <c r="FK56" t="str">
        <f>""</f>
        <v/>
      </c>
      <c r="FL56" t="str">
        <f>""</f>
        <v/>
      </c>
      <c r="FM56" t="str">
        <f>""</f>
        <v/>
      </c>
      <c r="FN56" t="str">
        <f>""</f>
        <v/>
      </c>
      <c r="FO56" t="str">
        <f>""</f>
        <v/>
      </c>
      <c r="FP56" t="str">
        <f>""</f>
        <v/>
      </c>
      <c r="FQ56" t="str">
        <f>""</f>
        <v/>
      </c>
    </row>
    <row r="57" spans="1:173" x14ac:dyDescent="0.25">
      <c r="CL57" t="str">
        <f>""</f>
        <v/>
      </c>
      <c r="CM57" t="str">
        <f>""</f>
        <v/>
      </c>
      <c r="CN57" t="str">
        <f>""</f>
        <v/>
      </c>
      <c r="CO57" t="str">
        <f>""</f>
        <v/>
      </c>
      <c r="CP57" t="str">
        <f>""</f>
        <v/>
      </c>
      <c r="CQ57" t="str">
        <f>""</f>
        <v/>
      </c>
      <c r="CR57" t="str">
        <f>""</f>
        <v/>
      </c>
      <c r="CS57" t="str">
        <f>""</f>
        <v/>
      </c>
      <c r="CT57" t="str">
        <f>""</f>
        <v/>
      </c>
      <c r="CU57" t="str">
        <f>""</f>
        <v/>
      </c>
      <c r="CV57" t="str">
        <f>""</f>
        <v/>
      </c>
      <c r="CW57" t="str">
        <f>""</f>
        <v/>
      </c>
      <c r="CX57" t="str">
        <f>""</f>
        <v/>
      </c>
      <c r="CY57" t="str">
        <f>""</f>
        <v/>
      </c>
      <c r="CZ57" t="str">
        <f>""</f>
        <v/>
      </c>
      <c r="DA57" t="str">
        <f>""</f>
        <v/>
      </c>
      <c r="DB57" t="str">
        <f>""</f>
        <v/>
      </c>
      <c r="DC57" t="str">
        <f>""</f>
        <v/>
      </c>
      <c r="DD57" t="str">
        <f>""</f>
        <v/>
      </c>
      <c r="DE57" t="str">
        <f>""</f>
        <v/>
      </c>
      <c r="DF57" t="str">
        <f>""</f>
        <v/>
      </c>
      <c r="DG57" t="str">
        <f>""</f>
        <v/>
      </c>
      <c r="DH57" t="str">
        <f>""</f>
        <v/>
      </c>
      <c r="DI57" t="str">
        <f>""</f>
        <v/>
      </c>
      <c r="DJ57" t="str">
        <f>""</f>
        <v/>
      </c>
      <c r="DK57" t="str">
        <f>""</f>
        <v/>
      </c>
      <c r="DL57" t="str">
        <f>""</f>
        <v/>
      </c>
      <c r="DM57" t="str">
        <f>""</f>
        <v/>
      </c>
      <c r="DN57" t="str">
        <f>""</f>
        <v/>
      </c>
      <c r="DO57" t="str">
        <f>""</f>
        <v/>
      </c>
      <c r="DP57" t="str">
        <f>""</f>
        <v/>
      </c>
      <c r="DQ57" t="str">
        <f>""</f>
        <v/>
      </c>
      <c r="DR57" t="str">
        <f>""</f>
        <v/>
      </c>
      <c r="DS57" t="str">
        <f>""</f>
        <v/>
      </c>
      <c r="DT57" t="str">
        <f>""</f>
        <v/>
      </c>
      <c r="DU57" t="str">
        <f>""</f>
        <v/>
      </c>
      <c r="DV57" t="str">
        <f>""</f>
        <v/>
      </c>
      <c r="DW57" t="str">
        <f>""</f>
        <v/>
      </c>
      <c r="DX57" t="str">
        <f>""</f>
        <v/>
      </c>
      <c r="DY57" t="str">
        <f>""</f>
        <v/>
      </c>
      <c r="DZ57" t="str">
        <f>""</f>
        <v/>
      </c>
      <c r="EA57" t="str">
        <f>""</f>
        <v/>
      </c>
      <c r="EB57" t="str">
        <f>""</f>
        <v/>
      </c>
      <c r="EC57" t="str">
        <f>""</f>
        <v/>
      </c>
      <c r="ED57" t="str">
        <f>""</f>
        <v/>
      </c>
      <c r="EE57" t="str">
        <f>""</f>
        <v/>
      </c>
      <c r="EF57" t="str">
        <f>""</f>
        <v/>
      </c>
      <c r="EG57" t="str">
        <f>""</f>
        <v/>
      </c>
      <c r="EH57" t="str">
        <f>""</f>
        <v/>
      </c>
      <c r="EI57" t="str">
        <f>""</f>
        <v/>
      </c>
      <c r="EJ57" t="str">
        <f>""</f>
        <v/>
      </c>
      <c r="EK57" t="str">
        <f>""</f>
        <v/>
      </c>
      <c r="EL57" t="str">
        <f>""</f>
        <v/>
      </c>
      <c r="EM57" t="str">
        <f>""</f>
        <v/>
      </c>
      <c r="EN57" t="str">
        <f>""</f>
        <v/>
      </c>
      <c r="EO57" t="str">
        <f>""</f>
        <v/>
      </c>
      <c r="EP57" t="str">
        <f>""</f>
        <v/>
      </c>
      <c r="EQ57" t="str">
        <f>""</f>
        <v/>
      </c>
      <c r="ER57" t="str">
        <f>""</f>
        <v/>
      </c>
      <c r="ES57" t="str">
        <f>""</f>
        <v/>
      </c>
      <c r="ET57" t="str">
        <f>""</f>
        <v/>
      </c>
      <c r="EU57" t="str">
        <f>""</f>
        <v/>
      </c>
      <c r="EV57" t="str">
        <f>""</f>
        <v/>
      </c>
      <c r="EW57" t="str">
        <f>""</f>
        <v/>
      </c>
      <c r="EX57" t="str">
        <f>""</f>
        <v/>
      </c>
      <c r="EY57" t="str">
        <f>""</f>
        <v/>
      </c>
      <c r="EZ57" t="str">
        <f>""</f>
        <v/>
      </c>
      <c r="FA57" t="str">
        <f>""</f>
        <v/>
      </c>
      <c r="FB57" t="str">
        <f>""</f>
        <v/>
      </c>
      <c r="FC57" t="str">
        <f>""</f>
        <v/>
      </c>
      <c r="FD57" t="str">
        <f>""</f>
        <v/>
      </c>
      <c r="FE57" t="str">
        <f>""</f>
        <v/>
      </c>
      <c r="FF57" t="str">
        <f>""</f>
        <v/>
      </c>
      <c r="FG57" t="str">
        <f>""</f>
        <v/>
      </c>
      <c r="FH57" t="str">
        <f>""</f>
        <v/>
      </c>
      <c r="FI57" t="str">
        <f>""</f>
        <v/>
      </c>
      <c r="FJ57" t="str">
        <f>""</f>
        <v/>
      </c>
      <c r="FK57" t="str">
        <f>""</f>
        <v/>
      </c>
      <c r="FL57" t="str">
        <f>""</f>
        <v/>
      </c>
      <c r="FM57" t="str">
        <f>""</f>
        <v/>
      </c>
      <c r="FN57" t="str">
        <f>""</f>
        <v/>
      </c>
      <c r="FO57" t="str">
        <f>""</f>
        <v/>
      </c>
      <c r="FP57" t="str">
        <f>""</f>
        <v/>
      </c>
      <c r="FQ57" t="str">
        <f>""</f>
        <v/>
      </c>
    </row>
    <row r="58" spans="1:173" x14ac:dyDescent="0.25">
      <c r="CL58" t="str">
        <f>""</f>
        <v/>
      </c>
      <c r="CM58" t="str">
        <f>""</f>
        <v/>
      </c>
      <c r="CN58" t="str">
        <f>""</f>
        <v/>
      </c>
      <c r="CO58" t="str">
        <f>""</f>
        <v/>
      </c>
      <c r="CP58" t="str">
        <f>""</f>
        <v/>
      </c>
      <c r="CQ58" t="str">
        <f>""</f>
        <v/>
      </c>
      <c r="CR58" t="str">
        <f>""</f>
        <v/>
      </c>
      <c r="CS58" t="str">
        <f>""</f>
        <v/>
      </c>
      <c r="CT58" t="str">
        <f>""</f>
        <v/>
      </c>
      <c r="CU58" t="str">
        <f>""</f>
        <v/>
      </c>
      <c r="CV58" t="str">
        <f>""</f>
        <v/>
      </c>
      <c r="CW58" t="str">
        <f>""</f>
        <v/>
      </c>
      <c r="CX58" t="str">
        <f>""</f>
        <v/>
      </c>
      <c r="CY58" t="str">
        <f>""</f>
        <v/>
      </c>
      <c r="CZ58" t="str">
        <f>""</f>
        <v/>
      </c>
      <c r="DA58" t="str">
        <f>""</f>
        <v/>
      </c>
      <c r="DB58" t="str">
        <f>""</f>
        <v/>
      </c>
      <c r="DC58" t="str">
        <f>""</f>
        <v/>
      </c>
      <c r="DD58" t="str">
        <f>""</f>
        <v/>
      </c>
      <c r="DE58" t="str">
        <f>""</f>
        <v/>
      </c>
      <c r="DF58" t="str">
        <f>""</f>
        <v/>
      </c>
      <c r="DG58" t="str">
        <f>""</f>
        <v/>
      </c>
      <c r="DH58" t="str">
        <f>""</f>
        <v/>
      </c>
      <c r="DI58" t="str">
        <f>""</f>
        <v/>
      </c>
      <c r="DJ58" t="str">
        <f>""</f>
        <v/>
      </c>
      <c r="DK58" t="str">
        <f>""</f>
        <v/>
      </c>
      <c r="DL58" t="str">
        <f>""</f>
        <v/>
      </c>
      <c r="DM58" t="str">
        <f>""</f>
        <v/>
      </c>
      <c r="DN58" t="str">
        <f>""</f>
        <v/>
      </c>
      <c r="DO58" t="str">
        <f>""</f>
        <v/>
      </c>
      <c r="DP58" t="str">
        <f>""</f>
        <v/>
      </c>
      <c r="DQ58" t="str">
        <f>""</f>
        <v/>
      </c>
      <c r="DR58" t="str">
        <f>""</f>
        <v/>
      </c>
      <c r="DS58" t="str">
        <f>""</f>
        <v/>
      </c>
      <c r="DT58" t="str">
        <f>""</f>
        <v/>
      </c>
      <c r="DU58" t="str">
        <f>""</f>
        <v/>
      </c>
      <c r="DV58" t="str">
        <f>""</f>
        <v/>
      </c>
      <c r="DW58" t="str">
        <f>""</f>
        <v/>
      </c>
      <c r="DX58" t="str">
        <f>""</f>
        <v/>
      </c>
      <c r="DY58" t="str">
        <f>""</f>
        <v/>
      </c>
      <c r="DZ58" t="str">
        <f>""</f>
        <v/>
      </c>
      <c r="EA58" t="str">
        <f>""</f>
        <v/>
      </c>
      <c r="EB58" t="str">
        <f>""</f>
        <v/>
      </c>
      <c r="EC58" t="str">
        <f>""</f>
        <v/>
      </c>
      <c r="ED58" t="str">
        <f>""</f>
        <v/>
      </c>
      <c r="EE58" t="str">
        <f>""</f>
        <v/>
      </c>
      <c r="EF58" t="str">
        <f>""</f>
        <v/>
      </c>
      <c r="EG58" t="str">
        <f>""</f>
        <v/>
      </c>
      <c r="EH58" t="str">
        <f>""</f>
        <v/>
      </c>
      <c r="EI58" t="str">
        <f>""</f>
        <v/>
      </c>
      <c r="EJ58" t="str">
        <f>""</f>
        <v/>
      </c>
      <c r="EK58" t="str">
        <f>""</f>
        <v/>
      </c>
      <c r="EL58" t="str">
        <f>""</f>
        <v/>
      </c>
      <c r="EM58" t="str">
        <f>""</f>
        <v/>
      </c>
      <c r="EN58" t="str">
        <f>""</f>
        <v/>
      </c>
      <c r="EO58" t="str">
        <f>""</f>
        <v/>
      </c>
      <c r="EP58" t="str">
        <f>""</f>
        <v/>
      </c>
      <c r="EQ58" t="str">
        <f>""</f>
        <v/>
      </c>
      <c r="ER58" t="str">
        <f>""</f>
        <v/>
      </c>
      <c r="ES58" t="str">
        <f>""</f>
        <v/>
      </c>
      <c r="ET58" t="str">
        <f>""</f>
        <v/>
      </c>
      <c r="EU58" t="str">
        <f>""</f>
        <v/>
      </c>
      <c r="EV58" t="str">
        <f>""</f>
        <v/>
      </c>
      <c r="EW58" t="str">
        <f>""</f>
        <v/>
      </c>
      <c r="EX58" t="str">
        <f>""</f>
        <v/>
      </c>
      <c r="EY58" t="str">
        <f>""</f>
        <v/>
      </c>
      <c r="EZ58" t="str">
        <f>""</f>
        <v/>
      </c>
      <c r="FA58" t="str">
        <f>""</f>
        <v/>
      </c>
      <c r="FB58" t="str">
        <f>""</f>
        <v/>
      </c>
      <c r="FC58" t="str">
        <f>""</f>
        <v/>
      </c>
      <c r="FD58" t="str">
        <f>""</f>
        <v/>
      </c>
      <c r="FE58" t="str">
        <f>""</f>
        <v/>
      </c>
      <c r="FF58" t="str">
        <f>""</f>
        <v/>
      </c>
      <c r="FG58" t="str">
        <f>""</f>
        <v/>
      </c>
      <c r="FH58" t="str">
        <f>""</f>
        <v/>
      </c>
      <c r="FI58" t="str">
        <f>""</f>
        <v/>
      </c>
      <c r="FJ58" t="str">
        <f>""</f>
        <v/>
      </c>
      <c r="FK58" t="str">
        <f>""</f>
        <v/>
      </c>
      <c r="FL58" t="str">
        <f>""</f>
        <v/>
      </c>
      <c r="FM58" t="str">
        <f>""</f>
        <v/>
      </c>
      <c r="FN58" t="str">
        <f>""</f>
        <v/>
      </c>
      <c r="FO58" t="str">
        <f>""</f>
        <v/>
      </c>
      <c r="FP58" t="str">
        <f>""</f>
        <v/>
      </c>
      <c r="FQ58" t="str">
        <f>""</f>
        <v/>
      </c>
    </row>
    <row r="59" spans="1:173" x14ac:dyDescent="0.25">
      <c r="CL59" t="str">
        <f>""</f>
        <v/>
      </c>
      <c r="CM59" t="str">
        <f>""</f>
        <v/>
      </c>
      <c r="CN59" t="str">
        <f>""</f>
        <v/>
      </c>
      <c r="CO59" t="str">
        <f>""</f>
        <v/>
      </c>
      <c r="CP59" t="str">
        <f>""</f>
        <v/>
      </c>
      <c r="CQ59" t="str">
        <f>""</f>
        <v/>
      </c>
      <c r="CR59" t="str">
        <f>""</f>
        <v/>
      </c>
      <c r="CS59" t="str">
        <f>""</f>
        <v/>
      </c>
      <c r="CT59" t="str">
        <f>""</f>
        <v/>
      </c>
      <c r="CU59" t="str">
        <f>""</f>
        <v/>
      </c>
      <c r="CV59" t="str">
        <f>""</f>
        <v/>
      </c>
      <c r="CW59" t="str">
        <f>""</f>
        <v/>
      </c>
      <c r="CX59" t="str">
        <f>""</f>
        <v/>
      </c>
      <c r="CY59" t="str">
        <f>""</f>
        <v/>
      </c>
      <c r="CZ59" t="str">
        <f>""</f>
        <v/>
      </c>
      <c r="DA59" t="str">
        <f>""</f>
        <v/>
      </c>
      <c r="DB59" t="str">
        <f>""</f>
        <v/>
      </c>
      <c r="DC59" t="str">
        <f>""</f>
        <v/>
      </c>
      <c r="DD59" t="str">
        <f>""</f>
        <v/>
      </c>
      <c r="DE59" t="str">
        <f>""</f>
        <v/>
      </c>
      <c r="DF59" t="str">
        <f>""</f>
        <v/>
      </c>
      <c r="DG59" t="str">
        <f>""</f>
        <v/>
      </c>
      <c r="DH59" t="str">
        <f>""</f>
        <v/>
      </c>
      <c r="DI59" t="str">
        <f>""</f>
        <v/>
      </c>
      <c r="DJ59" t="str">
        <f>""</f>
        <v/>
      </c>
      <c r="DK59" t="str">
        <f>""</f>
        <v/>
      </c>
      <c r="DL59" t="str">
        <f>""</f>
        <v/>
      </c>
      <c r="DM59" t="str">
        <f>""</f>
        <v/>
      </c>
      <c r="DN59" t="str">
        <f>""</f>
        <v/>
      </c>
      <c r="DO59" t="str">
        <f>""</f>
        <v/>
      </c>
      <c r="DP59" t="str">
        <f>""</f>
        <v/>
      </c>
      <c r="DQ59" t="str">
        <f>""</f>
        <v/>
      </c>
      <c r="DR59" t="str">
        <f>""</f>
        <v/>
      </c>
      <c r="DS59" t="str">
        <f>""</f>
        <v/>
      </c>
      <c r="DT59" t="str">
        <f>""</f>
        <v/>
      </c>
      <c r="DU59" t="str">
        <f>""</f>
        <v/>
      </c>
      <c r="DV59" t="str">
        <f>""</f>
        <v/>
      </c>
      <c r="DW59" t="str">
        <f>""</f>
        <v/>
      </c>
      <c r="DX59" t="str">
        <f>""</f>
        <v/>
      </c>
      <c r="DY59" t="str">
        <f>""</f>
        <v/>
      </c>
      <c r="DZ59" t="str">
        <f>""</f>
        <v/>
      </c>
      <c r="EA59" t="str">
        <f>""</f>
        <v/>
      </c>
      <c r="EB59" t="str">
        <f>""</f>
        <v/>
      </c>
      <c r="EC59" t="str">
        <f>""</f>
        <v/>
      </c>
      <c r="ED59" t="str">
        <f>""</f>
        <v/>
      </c>
      <c r="EE59" t="str">
        <f>""</f>
        <v/>
      </c>
      <c r="EF59" t="str">
        <f>""</f>
        <v/>
      </c>
      <c r="EG59" t="str">
        <f>""</f>
        <v/>
      </c>
      <c r="EH59" t="str">
        <f>""</f>
        <v/>
      </c>
      <c r="EI59" t="str">
        <f>""</f>
        <v/>
      </c>
      <c r="EJ59" t="str">
        <f>""</f>
        <v/>
      </c>
      <c r="EK59" t="str">
        <f>""</f>
        <v/>
      </c>
      <c r="EL59" t="str">
        <f>""</f>
        <v/>
      </c>
      <c r="EM59" t="str">
        <f>""</f>
        <v/>
      </c>
      <c r="EN59" t="str">
        <f>""</f>
        <v/>
      </c>
      <c r="EO59" t="str">
        <f>""</f>
        <v/>
      </c>
      <c r="EP59" t="str">
        <f>""</f>
        <v/>
      </c>
      <c r="EQ59" t="str">
        <f>""</f>
        <v/>
      </c>
      <c r="ER59" t="str">
        <f>""</f>
        <v/>
      </c>
      <c r="ES59" t="str">
        <f>""</f>
        <v/>
      </c>
      <c r="ET59" t="str">
        <f>""</f>
        <v/>
      </c>
      <c r="EU59" t="str">
        <f>""</f>
        <v/>
      </c>
      <c r="EV59" t="str">
        <f>""</f>
        <v/>
      </c>
      <c r="EW59" t="str">
        <f>""</f>
        <v/>
      </c>
      <c r="EX59" t="str">
        <f>""</f>
        <v/>
      </c>
      <c r="EY59" t="str">
        <f>""</f>
        <v/>
      </c>
      <c r="EZ59" t="str">
        <f>""</f>
        <v/>
      </c>
      <c r="FA59" t="str">
        <f>""</f>
        <v/>
      </c>
      <c r="FB59" t="str">
        <f>""</f>
        <v/>
      </c>
      <c r="FC59" t="str">
        <f>""</f>
        <v/>
      </c>
      <c r="FD59" t="str">
        <f>""</f>
        <v/>
      </c>
      <c r="FE59" t="str">
        <f>""</f>
        <v/>
      </c>
      <c r="FF59" t="str">
        <f>""</f>
        <v/>
      </c>
      <c r="FG59" t="str">
        <f>""</f>
        <v/>
      </c>
      <c r="FH59" t="str">
        <f>""</f>
        <v/>
      </c>
      <c r="FI59" t="str">
        <f>""</f>
        <v/>
      </c>
      <c r="FJ59" t="str">
        <f>""</f>
        <v/>
      </c>
      <c r="FK59" t="str">
        <f>""</f>
        <v/>
      </c>
      <c r="FL59" t="str">
        <f>""</f>
        <v/>
      </c>
      <c r="FM59" t="str">
        <f>""</f>
        <v/>
      </c>
      <c r="FN59" t="str">
        <f>""</f>
        <v/>
      </c>
      <c r="FO59" t="str">
        <f>""</f>
        <v/>
      </c>
      <c r="FP59" t="str">
        <f>""</f>
        <v/>
      </c>
      <c r="FQ59" t="str">
        <f>""</f>
        <v/>
      </c>
    </row>
    <row r="60" spans="1:173" x14ac:dyDescent="0.25">
      <c r="CL60" t="str">
        <f>""</f>
        <v/>
      </c>
      <c r="CM60" t="str">
        <f>""</f>
        <v/>
      </c>
      <c r="CN60" t="str">
        <f>""</f>
        <v/>
      </c>
      <c r="CO60" t="str">
        <f>""</f>
        <v/>
      </c>
      <c r="CP60" t="str">
        <f>""</f>
        <v/>
      </c>
      <c r="CQ60" t="str">
        <f>""</f>
        <v/>
      </c>
      <c r="CR60" t="str">
        <f>""</f>
        <v/>
      </c>
      <c r="CS60" t="str">
        <f>""</f>
        <v/>
      </c>
      <c r="CT60" t="str">
        <f>""</f>
        <v/>
      </c>
      <c r="CU60" t="str">
        <f>""</f>
        <v/>
      </c>
      <c r="CV60" t="str">
        <f>""</f>
        <v/>
      </c>
      <c r="CW60" t="str">
        <f>""</f>
        <v/>
      </c>
      <c r="CX60" t="str">
        <f>""</f>
        <v/>
      </c>
      <c r="CY60" t="str">
        <f>""</f>
        <v/>
      </c>
      <c r="CZ60" t="str">
        <f>""</f>
        <v/>
      </c>
      <c r="DA60" t="str">
        <f>""</f>
        <v/>
      </c>
      <c r="DB60" t="str">
        <f>""</f>
        <v/>
      </c>
      <c r="DC60" t="str">
        <f>""</f>
        <v/>
      </c>
      <c r="DD60" t="str">
        <f>""</f>
        <v/>
      </c>
      <c r="DE60" t="str">
        <f>""</f>
        <v/>
      </c>
      <c r="DF60" t="str">
        <f>""</f>
        <v/>
      </c>
      <c r="DG60" t="str">
        <f>""</f>
        <v/>
      </c>
      <c r="DH60" t="str">
        <f>""</f>
        <v/>
      </c>
      <c r="DI60" t="str">
        <f>""</f>
        <v/>
      </c>
      <c r="DJ60" t="str">
        <f>""</f>
        <v/>
      </c>
      <c r="DK60" t="str">
        <f>""</f>
        <v/>
      </c>
      <c r="DL60" t="str">
        <f>""</f>
        <v/>
      </c>
      <c r="DM60" t="str">
        <f>""</f>
        <v/>
      </c>
      <c r="DN60" t="str">
        <f>""</f>
        <v/>
      </c>
      <c r="DO60" t="str">
        <f>""</f>
        <v/>
      </c>
      <c r="DP60" t="str">
        <f>""</f>
        <v/>
      </c>
      <c r="DQ60" t="str">
        <f>""</f>
        <v/>
      </c>
      <c r="DR60" t="str">
        <f>""</f>
        <v/>
      </c>
      <c r="DS60" t="str">
        <f>""</f>
        <v/>
      </c>
      <c r="DT60" t="str">
        <f>""</f>
        <v/>
      </c>
      <c r="DU60" t="str">
        <f>""</f>
        <v/>
      </c>
      <c r="DV60" t="str">
        <f>""</f>
        <v/>
      </c>
      <c r="DW60" t="str">
        <f>""</f>
        <v/>
      </c>
      <c r="DX60" t="str">
        <f>""</f>
        <v/>
      </c>
      <c r="DY60" t="str">
        <f>""</f>
        <v/>
      </c>
      <c r="DZ60" t="str">
        <f>""</f>
        <v/>
      </c>
      <c r="EA60" t="str">
        <f>""</f>
        <v/>
      </c>
      <c r="EB60" t="str">
        <f>""</f>
        <v/>
      </c>
      <c r="EC60" t="str">
        <f>""</f>
        <v/>
      </c>
      <c r="ED60" t="str">
        <f>""</f>
        <v/>
      </c>
      <c r="EE60" t="str">
        <f>""</f>
        <v/>
      </c>
      <c r="EF60" t="str">
        <f>""</f>
        <v/>
      </c>
      <c r="EG60" t="str">
        <f>""</f>
        <v/>
      </c>
      <c r="EH60" t="str">
        <f>""</f>
        <v/>
      </c>
      <c r="EI60" t="str">
        <f>""</f>
        <v/>
      </c>
      <c r="EJ60" t="str">
        <f>""</f>
        <v/>
      </c>
      <c r="EK60" t="str">
        <f>""</f>
        <v/>
      </c>
      <c r="EL60" t="str">
        <f>""</f>
        <v/>
      </c>
      <c r="EM60" t="str">
        <f>""</f>
        <v/>
      </c>
      <c r="EN60" t="str">
        <f>""</f>
        <v/>
      </c>
      <c r="EO60" t="str">
        <f>""</f>
        <v/>
      </c>
      <c r="EP60" t="str">
        <f>""</f>
        <v/>
      </c>
      <c r="EQ60" t="str">
        <f>""</f>
        <v/>
      </c>
      <c r="ER60" t="str">
        <f>""</f>
        <v/>
      </c>
      <c r="ES60" t="str">
        <f>""</f>
        <v/>
      </c>
      <c r="ET60" t="str">
        <f>""</f>
        <v/>
      </c>
      <c r="EU60" t="str">
        <f>""</f>
        <v/>
      </c>
      <c r="EV60" t="str">
        <f>""</f>
        <v/>
      </c>
      <c r="EW60" t="str">
        <f>""</f>
        <v/>
      </c>
      <c r="EX60" t="str">
        <f>""</f>
        <v/>
      </c>
      <c r="EY60" t="str">
        <f>""</f>
        <v/>
      </c>
      <c r="EZ60" t="str">
        <f>""</f>
        <v/>
      </c>
      <c r="FA60" t="str">
        <f>""</f>
        <v/>
      </c>
      <c r="FB60" t="str">
        <f>""</f>
        <v/>
      </c>
      <c r="FC60" t="str">
        <f>""</f>
        <v/>
      </c>
      <c r="FD60" t="str">
        <f>""</f>
        <v/>
      </c>
      <c r="FE60" t="str">
        <f>""</f>
        <v/>
      </c>
      <c r="FF60" t="str">
        <f>""</f>
        <v/>
      </c>
      <c r="FG60" t="str">
        <f>""</f>
        <v/>
      </c>
      <c r="FH60" t="str">
        <f>""</f>
        <v/>
      </c>
      <c r="FI60" t="str">
        <f>""</f>
        <v/>
      </c>
      <c r="FJ60" t="str">
        <f>""</f>
        <v/>
      </c>
      <c r="FK60" t="str">
        <f>""</f>
        <v/>
      </c>
      <c r="FL60" t="str">
        <f>""</f>
        <v/>
      </c>
      <c r="FM60" t="str">
        <f>""</f>
        <v/>
      </c>
      <c r="FN60" t="str">
        <f>""</f>
        <v/>
      </c>
      <c r="FO60" t="str">
        <f>""</f>
        <v/>
      </c>
      <c r="FP60" t="str">
        <f>""</f>
        <v/>
      </c>
      <c r="FQ60" t="str">
        <f>""</f>
        <v/>
      </c>
    </row>
    <row r="61" spans="1:173" x14ac:dyDescent="0.25">
      <c r="A61" t="str">
        <f t="shared" ref="A61:AF61" si="6">"~~~~~~~~~~"</f>
        <v>~~~~~~~~~~</v>
      </c>
      <c r="B61" t="str">
        <f t="shared" si="6"/>
        <v>~~~~~~~~~~</v>
      </c>
      <c r="C61" t="str">
        <f t="shared" si="6"/>
        <v>~~~~~~~~~~</v>
      </c>
      <c r="D61" t="str">
        <f t="shared" si="6"/>
        <v>~~~~~~~~~~</v>
      </c>
      <c r="E61" t="str">
        <f t="shared" si="6"/>
        <v>~~~~~~~~~~</v>
      </c>
      <c r="F61" t="str">
        <f t="shared" si="6"/>
        <v>~~~~~~~~~~</v>
      </c>
      <c r="G61" t="str">
        <f t="shared" si="6"/>
        <v>~~~~~~~~~~</v>
      </c>
      <c r="H61" t="str">
        <f t="shared" si="6"/>
        <v>~~~~~~~~~~</v>
      </c>
      <c r="I61" t="str">
        <f t="shared" si="6"/>
        <v>~~~~~~~~~~</v>
      </c>
      <c r="J61" t="str">
        <f t="shared" si="6"/>
        <v>~~~~~~~~~~</v>
      </c>
      <c r="K61" t="str">
        <f t="shared" si="6"/>
        <v>~~~~~~~~~~</v>
      </c>
      <c r="L61" t="str">
        <f t="shared" si="6"/>
        <v>~~~~~~~~~~</v>
      </c>
      <c r="M61" t="str">
        <f t="shared" si="6"/>
        <v>~~~~~~~~~~</v>
      </c>
      <c r="N61" t="str">
        <f t="shared" si="6"/>
        <v>~~~~~~~~~~</v>
      </c>
      <c r="O61" t="str">
        <f t="shared" si="6"/>
        <v>~~~~~~~~~~</v>
      </c>
      <c r="P61" t="str">
        <f t="shared" si="6"/>
        <v>~~~~~~~~~~</v>
      </c>
      <c r="Q61" t="str">
        <f t="shared" si="6"/>
        <v>~~~~~~~~~~</v>
      </c>
      <c r="R61" t="str">
        <f t="shared" si="6"/>
        <v>~~~~~~~~~~</v>
      </c>
      <c r="S61" t="str">
        <f t="shared" si="6"/>
        <v>~~~~~~~~~~</v>
      </c>
      <c r="T61" t="str">
        <f t="shared" si="6"/>
        <v>~~~~~~~~~~</v>
      </c>
      <c r="U61" t="str">
        <f t="shared" si="6"/>
        <v>~~~~~~~~~~</v>
      </c>
      <c r="V61" t="str">
        <f t="shared" si="6"/>
        <v>~~~~~~~~~~</v>
      </c>
      <c r="W61" t="str">
        <f t="shared" si="6"/>
        <v>~~~~~~~~~~</v>
      </c>
      <c r="X61" t="str">
        <f t="shared" si="6"/>
        <v>~~~~~~~~~~</v>
      </c>
      <c r="Y61" t="str">
        <f t="shared" si="6"/>
        <v>~~~~~~~~~~</v>
      </c>
      <c r="Z61" t="str">
        <f t="shared" si="6"/>
        <v>~~~~~~~~~~</v>
      </c>
      <c r="AA61" t="str">
        <f t="shared" si="6"/>
        <v>~~~~~~~~~~</v>
      </c>
      <c r="AB61" t="str">
        <f t="shared" si="6"/>
        <v>~~~~~~~~~~</v>
      </c>
      <c r="AC61" t="str">
        <f t="shared" si="6"/>
        <v>~~~~~~~~~~</v>
      </c>
      <c r="AD61" t="str">
        <f t="shared" si="6"/>
        <v>~~~~~~~~~~</v>
      </c>
      <c r="AE61" t="str">
        <f t="shared" si="6"/>
        <v>~~~~~~~~~~</v>
      </c>
      <c r="AF61" t="str">
        <f t="shared" si="6"/>
        <v>~~~~~~~~~~</v>
      </c>
      <c r="AG61" t="str">
        <f t="shared" ref="AG61:BL61" si="7">"~~~~~~~~~~"</f>
        <v>~~~~~~~~~~</v>
      </c>
      <c r="AH61" t="str">
        <f t="shared" si="7"/>
        <v>~~~~~~~~~~</v>
      </c>
      <c r="AI61" t="str">
        <f t="shared" si="7"/>
        <v>~~~~~~~~~~</v>
      </c>
      <c r="AJ61" t="str">
        <f t="shared" si="7"/>
        <v>~~~~~~~~~~</v>
      </c>
      <c r="AK61" t="str">
        <f t="shared" si="7"/>
        <v>~~~~~~~~~~</v>
      </c>
      <c r="AL61" t="str">
        <f t="shared" si="7"/>
        <v>~~~~~~~~~~</v>
      </c>
      <c r="AM61" t="str">
        <f t="shared" si="7"/>
        <v>~~~~~~~~~~</v>
      </c>
      <c r="AN61" t="str">
        <f t="shared" si="7"/>
        <v>~~~~~~~~~~</v>
      </c>
      <c r="AO61" t="str">
        <f t="shared" si="7"/>
        <v>~~~~~~~~~~</v>
      </c>
      <c r="AP61" t="str">
        <f t="shared" si="7"/>
        <v>~~~~~~~~~~</v>
      </c>
      <c r="AQ61" t="str">
        <f t="shared" si="7"/>
        <v>~~~~~~~~~~</v>
      </c>
      <c r="AR61" t="str">
        <f t="shared" si="7"/>
        <v>~~~~~~~~~~</v>
      </c>
      <c r="AS61" t="str">
        <f t="shared" si="7"/>
        <v>~~~~~~~~~~</v>
      </c>
      <c r="AT61" t="str">
        <f t="shared" si="7"/>
        <v>~~~~~~~~~~</v>
      </c>
      <c r="AU61" t="str">
        <f t="shared" si="7"/>
        <v>~~~~~~~~~~</v>
      </c>
      <c r="AV61" t="str">
        <f t="shared" si="7"/>
        <v>~~~~~~~~~~</v>
      </c>
      <c r="AW61" t="str">
        <f t="shared" si="7"/>
        <v>~~~~~~~~~~</v>
      </c>
      <c r="AX61" t="str">
        <f t="shared" si="7"/>
        <v>~~~~~~~~~~</v>
      </c>
      <c r="AY61" t="str">
        <f t="shared" si="7"/>
        <v>~~~~~~~~~~</v>
      </c>
      <c r="AZ61" t="str">
        <f t="shared" si="7"/>
        <v>~~~~~~~~~~</v>
      </c>
      <c r="BA61" t="str">
        <f t="shared" si="7"/>
        <v>~~~~~~~~~~</v>
      </c>
      <c r="BB61" t="str">
        <f t="shared" si="7"/>
        <v>~~~~~~~~~~</v>
      </c>
      <c r="BC61" t="str">
        <f t="shared" si="7"/>
        <v>~~~~~~~~~~</v>
      </c>
      <c r="BD61" t="str">
        <f t="shared" si="7"/>
        <v>~~~~~~~~~~</v>
      </c>
      <c r="BE61" t="str">
        <f t="shared" si="7"/>
        <v>~~~~~~~~~~</v>
      </c>
      <c r="BF61" t="str">
        <f t="shared" si="7"/>
        <v>~~~~~~~~~~</v>
      </c>
      <c r="BG61" t="str">
        <f t="shared" si="7"/>
        <v>~~~~~~~~~~</v>
      </c>
      <c r="BH61" t="str">
        <f t="shared" si="7"/>
        <v>~~~~~~~~~~</v>
      </c>
      <c r="BI61" t="str">
        <f t="shared" si="7"/>
        <v>~~~~~~~~~~</v>
      </c>
      <c r="BJ61" t="str">
        <f t="shared" si="7"/>
        <v>~~~~~~~~~~</v>
      </c>
      <c r="BK61" t="str">
        <f t="shared" si="7"/>
        <v>~~~~~~~~~~</v>
      </c>
      <c r="BL61" t="str">
        <f t="shared" si="7"/>
        <v>~~~~~~~~~~</v>
      </c>
      <c r="BM61" t="str">
        <f t="shared" ref="BM61:CK61" si="8">"~~~~~~~~~~"</f>
        <v>~~~~~~~~~~</v>
      </c>
      <c r="BN61" t="str">
        <f t="shared" si="8"/>
        <v>~~~~~~~~~~</v>
      </c>
      <c r="BO61" t="str">
        <f t="shared" si="8"/>
        <v>~~~~~~~~~~</v>
      </c>
      <c r="BP61" t="str">
        <f t="shared" si="8"/>
        <v>~~~~~~~~~~</v>
      </c>
      <c r="BQ61" t="str">
        <f t="shared" si="8"/>
        <v>~~~~~~~~~~</v>
      </c>
      <c r="BR61" t="str">
        <f t="shared" si="8"/>
        <v>~~~~~~~~~~</v>
      </c>
      <c r="BS61" t="str">
        <f t="shared" si="8"/>
        <v>~~~~~~~~~~</v>
      </c>
      <c r="BT61" t="str">
        <f t="shared" si="8"/>
        <v>~~~~~~~~~~</v>
      </c>
      <c r="BU61" t="str">
        <f t="shared" si="8"/>
        <v>~~~~~~~~~~</v>
      </c>
      <c r="BV61" t="str">
        <f t="shared" si="8"/>
        <v>~~~~~~~~~~</v>
      </c>
      <c r="BW61" t="str">
        <f t="shared" si="8"/>
        <v>~~~~~~~~~~</v>
      </c>
      <c r="BX61" t="str">
        <f t="shared" si="8"/>
        <v>~~~~~~~~~~</v>
      </c>
      <c r="BY61" t="str">
        <f t="shared" si="8"/>
        <v>~~~~~~~~~~</v>
      </c>
      <c r="BZ61" t="str">
        <f t="shared" si="8"/>
        <v>~~~~~~~~~~</v>
      </c>
      <c r="CA61" t="str">
        <f t="shared" si="8"/>
        <v>~~~~~~~~~~</v>
      </c>
      <c r="CB61" t="str">
        <f t="shared" si="8"/>
        <v>~~~~~~~~~~</v>
      </c>
      <c r="CC61" t="str">
        <f t="shared" si="8"/>
        <v>~~~~~~~~~~</v>
      </c>
      <c r="CD61" t="str">
        <f t="shared" si="8"/>
        <v>~~~~~~~~~~</v>
      </c>
      <c r="CE61" t="str">
        <f t="shared" si="8"/>
        <v>~~~~~~~~~~</v>
      </c>
      <c r="CF61" t="str">
        <f t="shared" si="8"/>
        <v>~~~~~~~~~~</v>
      </c>
      <c r="CG61" t="str">
        <f t="shared" si="8"/>
        <v>~~~~~~~~~~</v>
      </c>
      <c r="CH61" t="str">
        <f t="shared" si="8"/>
        <v>~~~~~~~~~~</v>
      </c>
      <c r="CI61" t="str">
        <f t="shared" si="8"/>
        <v>~~~~~~~~~~</v>
      </c>
      <c r="CJ61" t="str">
        <f t="shared" si="8"/>
        <v>~~~~~~~~~~</v>
      </c>
      <c r="CK61" t="str">
        <f t="shared" si="8"/>
        <v>~~~~~~~~~~</v>
      </c>
      <c r="CL61" t="str">
        <f>""</f>
        <v/>
      </c>
      <c r="CM61" t="str">
        <f>""</f>
        <v/>
      </c>
      <c r="CN61" t="str">
        <f>""</f>
        <v/>
      </c>
      <c r="CO61" t="str">
        <f>""</f>
        <v/>
      </c>
      <c r="CP61" t="str">
        <f>""</f>
        <v/>
      </c>
      <c r="CQ61" t="str">
        <f>""</f>
        <v/>
      </c>
      <c r="CR61" t="str">
        <f>""</f>
        <v/>
      </c>
      <c r="CS61" t="str">
        <f>""</f>
        <v/>
      </c>
      <c r="CT61" t="str">
        <f>""</f>
        <v/>
      </c>
      <c r="CU61" t="str">
        <f>""</f>
        <v/>
      </c>
      <c r="CV61" t="str">
        <f>""</f>
        <v/>
      </c>
      <c r="CW61" t="str">
        <f>""</f>
        <v/>
      </c>
      <c r="CX61" t="str">
        <f>""</f>
        <v/>
      </c>
      <c r="CY61" t="str">
        <f>""</f>
        <v/>
      </c>
      <c r="CZ61" t="str">
        <f>""</f>
        <v/>
      </c>
      <c r="DA61" t="str">
        <f>""</f>
        <v/>
      </c>
      <c r="DB61" t="str">
        <f>""</f>
        <v/>
      </c>
      <c r="DC61" t="str">
        <f>""</f>
        <v/>
      </c>
      <c r="DD61" t="str">
        <f>""</f>
        <v/>
      </c>
      <c r="DE61" t="str">
        <f>""</f>
        <v/>
      </c>
      <c r="DF61" t="str">
        <f>""</f>
        <v/>
      </c>
      <c r="DG61" t="str">
        <f>""</f>
        <v/>
      </c>
      <c r="DH61" t="str">
        <f>""</f>
        <v/>
      </c>
      <c r="DI61" t="str">
        <f>""</f>
        <v/>
      </c>
      <c r="DJ61" t="str">
        <f>""</f>
        <v/>
      </c>
      <c r="DK61" t="str">
        <f>""</f>
        <v/>
      </c>
      <c r="DL61" t="str">
        <f>""</f>
        <v/>
      </c>
      <c r="DM61" t="str">
        <f>""</f>
        <v/>
      </c>
      <c r="DN61" t="str">
        <f>""</f>
        <v/>
      </c>
      <c r="DO61" t="str">
        <f>""</f>
        <v/>
      </c>
      <c r="DP61" t="str">
        <f>""</f>
        <v/>
      </c>
      <c r="DQ61" t="str">
        <f>""</f>
        <v/>
      </c>
      <c r="DR61" t="str">
        <f>""</f>
        <v/>
      </c>
      <c r="DS61" t="str">
        <f>""</f>
        <v/>
      </c>
      <c r="DT61" t="str">
        <f>""</f>
        <v/>
      </c>
      <c r="DU61" t="str">
        <f>""</f>
        <v/>
      </c>
      <c r="DV61" t="str">
        <f>""</f>
        <v/>
      </c>
      <c r="DW61" t="str">
        <f>""</f>
        <v/>
      </c>
      <c r="DX61" t="str">
        <f>""</f>
        <v/>
      </c>
      <c r="DY61" t="str">
        <f>""</f>
        <v/>
      </c>
      <c r="DZ61" t="str">
        <f>""</f>
        <v/>
      </c>
      <c r="EA61" t="str">
        <f>""</f>
        <v/>
      </c>
      <c r="EB61" t="str">
        <f>""</f>
        <v/>
      </c>
      <c r="EC61" t="str">
        <f>""</f>
        <v/>
      </c>
      <c r="ED61" t="str">
        <f>""</f>
        <v/>
      </c>
      <c r="EE61" t="str">
        <f>""</f>
        <v/>
      </c>
      <c r="EF61" t="str">
        <f>""</f>
        <v/>
      </c>
      <c r="EG61" t="str">
        <f>""</f>
        <v/>
      </c>
      <c r="EH61" t="str">
        <f>""</f>
        <v/>
      </c>
      <c r="EI61" t="str">
        <f>""</f>
        <v/>
      </c>
      <c r="EJ61" t="str">
        <f>""</f>
        <v/>
      </c>
      <c r="EK61" t="str">
        <f>""</f>
        <v/>
      </c>
      <c r="EL61" t="str">
        <f>""</f>
        <v/>
      </c>
      <c r="EM61" t="str">
        <f>""</f>
        <v/>
      </c>
      <c r="EN61" t="str">
        <f>""</f>
        <v/>
      </c>
      <c r="EO61" t="str">
        <f>""</f>
        <v/>
      </c>
      <c r="EP61" t="str">
        <f>""</f>
        <v/>
      </c>
      <c r="EQ61" t="str">
        <f>""</f>
        <v/>
      </c>
      <c r="ER61" t="str">
        <f>""</f>
        <v/>
      </c>
      <c r="ES61" t="str">
        <f>""</f>
        <v/>
      </c>
      <c r="ET61" t="str">
        <f>""</f>
        <v/>
      </c>
      <c r="EU61" t="str">
        <f>""</f>
        <v/>
      </c>
      <c r="EV61" t="str">
        <f>""</f>
        <v/>
      </c>
      <c r="EW61" t="str">
        <f>""</f>
        <v/>
      </c>
      <c r="EX61" t="str">
        <f>""</f>
        <v/>
      </c>
      <c r="EY61" t="str">
        <f>""</f>
        <v/>
      </c>
      <c r="EZ61" t="str">
        <f>""</f>
        <v/>
      </c>
      <c r="FA61" t="str">
        <f>""</f>
        <v/>
      </c>
      <c r="FB61" t="str">
        <f>""</f>
        <v/>
      </c>
      <c r="FC61" t="str">
        <f>""</f>
        <v/>
      </c>
      <c r="FD61" t="str">
        <f>""</f>
        <v/>
      </c>
      <c r="FE61" t="str">
        <f>""</f>
        <v/>
      </c>
      <c r="FF61" t="str">
        <f>""</f>
        <v/>
      </c>
      <c r="FG61" t="str">
        <f>""</f>
        <v/>
      </c>
      <c r="FH61" t="str">
        <f>""</f>
        <v/>
      </c>
      <c r="FI61" t="str">
        <f>""</f>
        <v/>
      </c>
      <c r="FJ61" t="str">
        <f>""</f>
        <v/>
      </c>
      <c r="FK61" t="str">
        <f>""</f>
        <v/>
      </c>
      <c r="FL61" t="str">
        <f>""</f>
        <v/>
      </c>
      <c r="FM61" t="str">
        <f>""</f>
        <v/>
      </c>
      <c r="FN61" t="str">
        <f>""</f>
        <v/>
      </c>
      <c r="FO61" t="str">
        <f>""</f>
        <v/>
      </c>
      <c r="FP61" t="str">
        <f>""</f>
        <v/>
      </c>
      <c r="FQ61" t="str">
        <f>""</f>
        <v/>
      </c>
    </row>
    <row r="62" spans="1:173" x14ac:dyDescent="0.25">
      <c r="A62" t="str">
        <f>"All rows below have been added for reference by formula rows above."</f>
        <v>All rows below have been added for reference by formula rows above.</v>
      </c>
      <c r="CL62" t="str">
        <f>""</f>
        <v/>
      </c>
      <c r="CM62" t="str">
        <f>""</f>
        <v/>
      </c>
      <c r="CN62" t="str">
        <f>""</f>
        <v/>
      </c>
      <c r="CO62" t="str">
        <f>""</f>
        <v/>
      </c>
      <c r="CP62" t="str">
        <f>""</f>
        <v/>
      </c>
      <c r="CQ62" t="str">
        <f>""</f>
        <v/>
      </c>
      <c r="CR62" t="str">
        <f>""</f>
        <v/>
      </c>
      <c r="CS62" t="str">
        <f>""</f>
        <v/>
      </c>
      <c r="CT62" t="str">
        <f>""</f>
        <v/>
      </c>
      <c r="CU62" t="str">
        <f>""</f>
        <v/>
      </c>
      <c r="CV62" t="str">
        <f>""</f>
        <v/>
      </c>
      <c r="CW62" t="str">
        <f>""</f>
        <v/>
      </c>
      <c r="CX62" t="str">
        <f>""</f>
        <v/>
      </c>
      <c r="CY62" t="str">
        <f>""</f>
        <v/>
      </c>
      <c r="CZ62" t="str">
        <f>""</f>
        <v/>
      </c>
      <c r="DA62" t="str">
        <f>""</f>
        <v/>
      </c>
      <c r="DB62" t="str">
        <f>""</f>
        <v/>
      </c>
      <c r="DC62" t="str">
        <f>""</f>
        <v/>
      </c>
      <c r="DD62" t="str">
        <f>""</f>
        <v/>
      </c>
      <c r="DE62" t="str">
        <f>""</f>
        <v/>
      </c>
      <c r="DF62" t="str">
        <f>""</f>
        <v/>
      </c>
      <c r="DG62" t="str">
        <f>""</f>
        <v/>
      </c>
      <c r="DH62" t="str">
        <f>""</f>
        <v/>
      </c>
      <c r="DI62" t="str">
        <f>""</f>
        <v/>
      </c>
      <c r="DJ62" t="str">
        <f>""</f>
        <v/>
      </c>
      <c r="DK62" t="str">
        <f>""</f>
        <v/>
      </c>
      <c r="DL62" t="str">
        <f>""</f>
        <v/>
      </c>
      <c r="DM62" t="str">
        <f>""</f>
        <v/>
      </c>
      <c r="DN62" t="str">
        <f>""</f>
        <v/>
      </c>
      <c r="DO62" t="str">
        <f>""</f>
        <v/>
      </c>
      <c r="DP62" t="str">
        <f>""</f>
        <v/>
      </c>
      <c r="DQ62" t="str">
        <f>""</f>
        <v/>
      </c>
      <c r="DR62" t="str">
        <f>""</f>
        <v/>
      </c>
      <c r="DS62" t="str">
        <f>""</f>
        <v/>
      </c>
      <c r="DT62" t="str">
        <f>""</f>
        <v/>
      </c>
      <c r="DU62" t="str">
        <f>""</f>
        <v/>
      </c>
      <c r="DV62" t="str">
        <f>""</f>
        <v/>
      </c>
      <c r="DW62" t="str">
        <f>""</f>
        <v/>
      </c>
      <c r="DX62" t="str">
        <f>""</f>
        <v/>
      </c>
      <c r="DY62" t="str">
        <f>""</f>
        <v/>
      </c>
      <c r="DZ62" t="str">
        <f>""</f>
        <v/>
      </c>
      <c r="EA62" t="str">
        <f>""</f>
        <v/>
      </c>
      <c r="EB62" t="str">
        <f>""</f>
        <v/>
      </c>
      <c r="EC62" t="str">
        <f>""</f>
        <v/>
      </c>
      <c r="ED62" t="str">
        <f>""</f>
        <v/>
      </c>
      <c r="EE62" t="str">
        <f>""</f>
        <v/>
      </c>
      <c r="EF62" t="str">
        <f>""</f>
        <v/>
      </c>
      <c r="EG62" t="str">
        <f>""</f>
        <v/>
      </c>
      <c r="EH62" t="str">
        <f>""</f>
        <v/>
      </c>
      <c r="EI62" t="str">
        <f>""</f>
        <v/>
      </c>
      <c r="EJ62" t="str">
        <f>""</f>
        <v/>
      </c>
      <c r="EK62" t="str">
        <f>""</f>
        <v/>
      </c>
      <c r="EL62" t="str">
        <f>""</f>
        <v/>
      </c>
      <c r="EM62" t="str">
        <f>""</f>
        <v/>
      </c>
      <c r="EN62" t="str">
        <f>""</f>
        <v/>
      </c>
      <c r="EO62" t="str">
        <f>""</f>
        <v/>
      </c>
      <c r="EP62" t="str">
        <f>""</f>
        <v/>
      </c>
      <c r="EQ62" t="str">
        <f>""</f>
        <v/>
      </c>
      <c r="ER62" t="str">
        <f>""</f>
        <v/>
      </c>
      <c r="ES62" t="str">
        <f>""</f>
        <v/>
      </c>
      <c r="ET62" t="str">
        <f>""</f>
        <v/>
      </c>
      <c r="EU62" t="str">
        <f>""</f>
        <v/>
      </c>
      <c r="EV62" t="str">
        <f>""</f>
        <v/>
      </c>
      <c r="EW62" t="str">
        <f>""</f>
        <v/>
      </c>
      <c r="EX62" t="str">
        <f>""</f>
        <v/>
      </c>
      <c r="EY62" t="str">
        <f>""</f>
        <v/>
      </c>
      <c r="EZ62" t="str">
        <f>""</f>
        <v/>
      </c>
      <c r="FA62" t="str">
        <f>""</f>
        <v/>
      </c>
      <c r="FB62" t="str">
        <f>""</f>
        <v/>
      </c>
      <c r="FC62" t="str">
        <f>""</f>
        <v/>
      </c>
      <c r="FD62" t="str">
        <f>""</f>
        <v/>
      </c>
      <c r="FE62" t="str">
        <f>""</f>
        <v/>
      </c>
      <c r="FF62" t="str">
        <f>""</f>
        <v/>
      </c>
      <c r="FG62" t="str">
        <f>""</f>
        <v/>
      </c>
      <c r="FH62" t="str">
        <f>""</f>
        <v/>
      </c>
      <c r="FI62" t="str">
        <f>""</f>
        <v/>
      </c>
      <c r="FJ62" t="str">
        <f>""</f>
        <v/>
      </c>
      <c r="FK62" t="str">
        <f>""</f>
        <v/>
      </c>
      <c r="FL62" t="str">
        <f>""</f>
        <v/>
      </c>
      <c r="FM62" t="str">
        <f>""</f>
        <v/>
      </c>
      <c r="FN62" t="str">
        <f>""</f>
        <v/>
      </c>
      <c r="FO62" t="str">
        <f>""</f>
        <v/>
      </c>
      <c r="FP62" t="str">
        <f>""</f>
        <v/>
      </c>
      <c r="FQ62" t="str">
        <f>""</f>
        <v/>
      </c>
    </row>
    <row r="63" spans="1:173" x14ac:dyDescent="0.25">
      <c r="A63">
        <f>RTD("bloomberg.ccyreader", "", "#track", "DBG", "BIHITX", "1.0","RepeatHit")</f>
        <v>0</v>
      </c>
      <c r="CL63" t="str">
        <f>""</f>
        <v/>
      </c>
      <c r="CM63" t="str">
        <f>""</f>
        <v/>
      </c>
      <c r="CN63" t="str">
        <f>""</f>
        <v/>
      </c>
      <c r="CO63" t="str">
        <f>""</f>
        <v/>
      </c>
      <c r="CP63" t="str">
        <f>""</f>
        <v/>
      </c>
      <c r="CQ63" t="str">
        <f>""</f>
        <v/>
      </c>
      <c r="CR63" t="str">
        <f>""</f>
        <v/>
      </c>
      <c r="CS63" t="str">
        <f>""</f>
        <v/>
      </c>
      <c r="CT63" t="str">
        <f>""</f>
        <v/>
      </c>
      <c r="CU63" t="str">
        <f>""</f>
        <v/>
      </c>
      <c r="CV63" t="str">
        <f>""</f>
        <v/>
      </c>
      <c r="CW63" t="str">
        <f>""</f>
        <v/>
      </c>
      <c r="CX63" t="str">
        <f>""</f>
        <v/>
      </c>
      <c r="CY63" t="str">
        <f>""</f>
        <v/>
      </c>
      <c r="CZ63" t="str">
        <f>""</f>
        <v/>
      </c>
      <c r="DA63" t="str">
        <f>""</f>
        <v/>
      </c>
      <c r="DB63" t="str">
        <f>""</f>
        <v/>
      </c>
      <c r="DC63" t="str">
        <f>""</f>
        <v/>
      </c>
      <c r="DD63" t="str">
        <f>""</f>
        <v/>
      </c>
      <c r="DE63" t="str">
        <f>""</f>
        <v/>
      </c>
      <c r="DF63" t="str">
        <f>""</f>
        <v/>
      </c>
      <c r="DG63" t="str">
        <f>""</f>
        <v/>
      </c>
      <c r="DH63" t="str">
        <f>""</f>
        <v/>
      </c>
      <c r="DI63" t="str">
        <f>""</f>
        <v/>
      </c>
      <c r="DJ63" t="str">
        <f>""</f>
        <v/>
      </c>
      <c r="DK63" t="str">
        <f>""</f>
        <v/>
      </c>
      <c r="DL63" t="str">
        <f>""</f>
        <v/>
      </c>
      <c r="DM63" t="str">
        <f>""</f>
        <v/>
      </c>
      <c r="DN63" t="str">
        <f>""</f>
        <v/>
      </c>
      <c r="DO63" t="str">
        <f>""</f>
        <v/>
      </c>
      <c r="DP63" t="str">
        <f>""</f>
        <v/>
      </c>
      <c r="DQ63" t="str">
        <f>""</f>
        <v/>
      </c>
      <c r="DR63" t="str">
        <f>""</f>
        <v/>
      </c>
      <c r="DS63" t="str">
        <f>""</f>
        <v/>
      </c>
      <c r="DT63" t="str">
        <f>""</f>
        <v/>
      </c>
      <c r="DU63" t="str">
        <f>""</f>
        <v/>
      </c>
      <c r="DV63" t="str">
        <f>""</f>
        <v/>
      </c>
      <c r="DW63" t="str">
        <f>""</f>
        <v/>
      </c>
      <c r="DX63" t="str">
        <f>""</f>
        <v/>
      </c>
      <c r="DY63" t="str">
        <f>""</f>
        <v/>
      </c>
      <c r="DZ63" t="str">
        <f>""</f>
        <v/>
      </c>
      <c r="EA63" t="str">
        <f>""</f>
        <v/>
      </c>
      <c r="EB63" t="str">
        <f>""</f>
        <v/>
      </c>
      <c r="EC63" t="str">
        <f>""</f>
        <v/>
      </c>
      <c r="ED63" t="str">
        <f>""</f>
        <v/>
      </c>
      <c r="EE63" t="str">
        <f>""</f>
        <v/>
      </c>
      <c r="EF63" t="str">
        <f>""</f>
        <v/>
      </c>
      <c r="EG63" t="str">
        <f>""</f>
        <v/>
      </c>
      <c r="EH63" t="str">
        <f>""</f>
        <v/>
      </c>
      <c r="EI63" t="str">
        <f>""</f>
        <v/>
      </c>
      <c r="EJ63" t="str">
        <f>""</f>
        <v/>
      </c>
      <c r="EK63" t="str">
        <f>""</f>
        <v/>
      </c>
      <c r="EL63" t="str">
        <f>""</f>
        <v/>
      </c>
      <c r="EM63" t="str">
        <f>""</f>
        <v/>
      </c>
      <c r="EN63" t="str">
        <f>""</f>
        <v/>
      </c>
      <c r="EO63" t="str">
        <f>""</f>
        <v/>
      </c>
      <c r="EP63" t="str">
        <f>""</f>
        <v/>
      </c>
      <c r="EQ63" t="str">
        <f>""</f>
        <v/>
      </c>
      <c r="ER63" t="str">
        <f>""</f>
        <v/>
      </c>
      <c r="ES63" t="str">
        <f>""</f>
        <v/>
      </c>
      <c r="ET63" t="str">
        <f>""</f>
        <v/>
      </c>
      <c r="EU63" t="str">
        <f>""</f>
        <v/>
      </c>
      <c r="EV63" t="str">
        <f>""</f>
        <v/>
      </c>
      <c r="EW63" t="str">
        <f>""</f>
        <v/>
      </c>
      <c r="EX63" t="str">
        <f>""</f>
        <v/>
      </c>
      <c r="EY63" t="str">
        <f>""</f>
        <v/>
      </c>
      <c r="EZ63" t="str">
        <f>""</f>
        <v/>
      </c>
      <c r="FA63" t="str">
        <f>""</f>
        <v/>
      </c>
      <c r="FB63" t="str">
        <f>""</f>
        <v/>
      </c>
      <c r="FC63" t="str">
        <f>""</f>
        <v/>
      </c>
      <c r="FD63" t="str">
        <f>""</f>
        <v/>
      </c>
      <c r="FE63" t="str">
        <f>""</f>
        <v/>
      </c>
      <c r="FF63" t="str">
        <f>""</f>
        <v/>
      </c>
      <c r="FG63" t="str">
        <f>""</f>
        <v/>
      </c>
      <c r="FH63" t="str">
        <f>""</f>
        <v/>
      </c>
      <c r="FI63" t="str">
        <f>""</f>
        <v/>
      </c>
      <c r="FJ63" t="str">
        <f>""</f>
        <v/>
      </c>
      <c r="FK63" t="str">
        <f>""</f>
        <v/>
      </c>
      <c r="FL63" t="str">
        <f>""</f>
        <v/>
      </c>
      <c r="FM63" t="str">
        <f>""</f>
        <v/>
      </c>
      <c r="FN63" t="str">
        <f>""</f>
        <v/>
      </c>
      <c r="FO63" t="str">
        <f>""</f>
        <v/>
      </c>
      <c r="FP63" t="str">
        <f>""</f>
        <v/>
      </c>
      <c r="FQ63" t="str">
        <f>""</f>
        <v/>
      </c>
    </row>
    <row r="64" spans="1:173" x14ac:dyDescent="0.25">
      <c r="A64" t="str">
        <f>"Currency"</f>
        <v>Currency</v>
      </c>
      <c r="B64" t="str">
        <f>"USD"</f>
        <v>USD</v>
      </c>
      <c r="CL64" t="str">
        <f>""</f>
        <v/>
      </c>
      <c r="CM64" t="str">
        <f>""</f>
        <v/>
      </c>
      <c r="CN64" t="str">
        <f>""</f>
        <v/>
      </c>
      <c r="CO64" t="str">
        <f>""</f>
        <v/>
      </c>
      <c r="CP64" t="str">
        <f>""</f>
        <v/>
      </c>
      <c r="CQ64" t="str">
        <f>""</f>
        <v/>
      </c>
      <c r="CR64" t="str">
        <f>""</f>
        <v/>
      </c>
      <c r="CS64" t="str">
        <f>""</f>
        <v/>
      </c>
      <c r="CT64" t="str">
        <f>""</f>
        <v/>
      </c>
      <c r="CU64" t="str">
        <f>""</f>
        <v/>
      </c>
      <c r="CV64" t="str">
        <f>""</f>
        <v/>
      </c>
      <c r="CW64" t="str">
        <f>""</f>
        <v/>
      </c>
      <c r="CX64" t="str">
        <f>""</f>
        <v/>
      </c>
      <c r="CY64" t="str">
        <f>""</f>
        <v/>
      </c>
      <c r="CZ64" t="str">
        <f>""</f>
        <v/>
      </c>
      <c r="DA64" t="str">
        <f>""</f>
        <v/>
      </c>
      <c r="DB64" t="str">
        <f>""</f>
        <v/>
      </c>
      <c r="DC64" t="str">
        <f>""</f>
        <v/>
      </c>
      <c r="DD64" t="str">
        <f>""</f>
        <v/>
      </c>
      <c r="DE64" t="str">
        <f>""</f>
        <v/>
      </c>
      <c r="DF64" t="str">
        <f>""</f>
        <v/>
      </c>
      <c r="DG64" t="str">
        <f>""</f>
        <v/>
      </c>
      <c r="DH64" t="str">
        <f>""</f>
        <v/>
      </c>
      <c r="DI64" t="str">
        <f>""</f>
        <v/>
      </c>
      <c r="DJ64" t="str">
        <f>""</f>
        <v/>
      </c>
      <c r="DK64" t="str">
        <f>""</f>
        <v/>
      </c>
      <c r="DL64" t="str">
        <f>""</f>
        <v/>
      </c>
      <c r="DM64" t="str">
        <f>""</f>
        <v/>
      </c>
      <c r="DN64" t="str">
        <f>""</f>
        <v/>
      </c>
      <c r="DO64" t="str">
        <f>""</f>
        <v/>
      </c>
      <c r="DP64" t="str">
        <f>""</f>
        <v/>
      </c>
      <c r="DQ64" t="str">
        <f>""</f>
        <v/>
      </c>
      <c r="DR64" t="str">
        <f>""</f>
        <v/>
      </c>
      <c r="DS64" t="str">
        <f>""</f>
        <v/>
      </c>
      <c r="DT64" t="str">
        <f>""</f>
        <v/>
      </c>
      <c r="DU64" t="str">
        <f>""</f>
        <v/>
      </c>
      <c r="DV64" t="str">
        <f>""</f>
        <v/>
      </c>
      <c r="DW64" t="str">
        <f>""</f>
        <v/>
      </c>
      <c r="DX64" t="str">
        <f>""</f>
        <v/>
      </c>
      <c r="DY64" t="str">
        <f>""</f>
        <v/>
      </c>
      <c r="DZ64" t="str">
        <f>""</f>
        <v/>
      </c>
      <c r="EA64" t="str">
        <f>""</f>
        <v/>
      </c>
      <c r="EB64" t="str">
        <f>""</f>
        <v/>
      </c>
      <c r="EC64" t="str">
        <f>""</f>
        <v/>
      </c>
      <c r="ED64" t="str">
        <f>""</f>
        <v/>
      </c>
      <c r="EE64" t="str">
        <f>""</f>
        <v/>
      </c>
      <c r="EF64" t="str">
        <f>""</f>
        <v/>
      </c>
      <c r="EG64" t="str">
        <f>""</f>
        <v/>
      </c>
      <c r="EH64" t="str">
        <f>""</f>
        <v/>
      </c>
      <c r="EI64" t="str">
        <f>""</f>
        <v/>
      </c>
      <c r="EJ64" t="str">
        <f>""</f>
        <v/>
      </c>
      <c r="EK64" t="str">
        <f>""</f>
        <v/>
      </c>
      <c r="EL64" t="str">
        <f>""</f>
        <v/>
      </c>
      <c r="EM64" t="str">
        <f>""</f>
        <v/>
      </c>
      <c r="EN64" t="str">
        <f>""</f>
        <v/>
      </c>
      <c r="EO64" t="str">
        <f>""</f>
        <v/>
      </c>
      <c r="EP64" t="str">
        <f>""</f>
        <v/>
      </c>
      <c r="EQ64" t="str">
        <f>""</f>
        <v/>
      </c>
      <c r="ER64" t="str">
        <f>""</f>
        <v/>
      </c>
      <c r="ES64" t="str">
        <f>""</f>
        <v/>
      </c>
      <c r="ET64" t="str">
        <f>""</f>
        <v/>
      </c>
      <c r="EU64" t="str">
        <f>""</f>
        <v/>
      </c>
      <c r="EV64" t="str">
        <f>""</f>
        <v/>
      </c>
      <c r="EW64" t="str">
        <f>""</f>
        <v/>
      </c>
      <c r="EX64" t="str">
        <f>""</f>
        <v/>
      </c>
      <c r="EY64" t="str">
        <f>""</f>
        <v/>
      </c>
      <c r="EZ64" t="str">
        <f>""</f>
        <v/>
      </c>
      <c r="FA64" t="str">
        <f>""</f>
        <v/>
      </c>
      <c r="FB64" t="str">
        <f>""</f>
        <v/>
      </c>
      <c r="FC64" t="str">
        <f>""</f>
        <v/>
      </c>
      <c r="FD64" t="str">
        <f>""</f>
        <v/>
      </c>
      <c r="FE64" t="str">
        <f>""</f>
        <v/>
      </c>
      <c r="FF64" t="str">
        <f>""</f>
        <v/>
      </c>
      <c r="FG64" t="str">
        <f>""</f>
        <v/>
      </c>
      <c r="FH64" t="str">
        <f>""</f>
        <v/>
      </c>
      <c r="FI64" t="str">
        <f>""</f>
        <v/>
      </c>
      <c r="FJ64" t="str">
        <f>""</f>
        <v/>
      </c>
      <c r="FK64" t="str">
        <f>""</f>
        <v/>
      </c>
      <c r="FL64" t="str">
        <f>""</f>
        <v/>
      </c>
      <c r="FM64" t="str">
        <f>""</f>
        <v/>
      </c>
      <c r="FN64" t="str">
        <f>""</f>
        <v/>
      </c>
      <c r="FO64" t="str">
        <f>""</f>
        <v/>
      </c>
      <c r="FP64" t="str">
        <f>""</f>
        <v/>
      </c>
      <c r="FQ64" t="str">
        <f>""</f>
        <v/>
      </c>
    </row>
    <row r="65" spans="1:173" x14ac:dyDescent="0.25">
      <c r="A65" t="str">
        <f>"Periodicity"</f>
        <v>Periodicity</v>
      </c>
      <c r="B65" t="str">
        <f>"CM"</f>
        <v>CM</v>
      </c>
      <c r="C65" t="str">
        <f>"AM"</f>
        <v>AM</v>
      </c>
      <c r="CL65" t="str">
        <f>""</f>
        <v/>
      </c>
      <c r="CM65" t="str">
        <f>""</f>
        <v/>
      </c>
      <c r="CN65" t="str">
        <f>""</f>
        <v/>
      </c>
      <c r="CO65" t="str">
        <f>""</f>
        <v/>
      </c>
      <c r="CP65" t="str">
        <f>""</f>
        <v/>
      </c>
      <c r="CQ65" t="str">
        <f>""</f>
        <v/>
      </c>
      <c r="CR65" t="str">
        <f>""</f>
        <v/>
      </c>
      <c r="CS65" t="str">
        <f>""</f>
        <v/>
      </c>
      <c r="CT65" t="str">
        <f>""</f>
        <v/>
      </c>
      <c r="CU65" t="str">
        <f>""</f>
        <v/>
      </c>
      <c r="CV65" t="str">
        <f>""</f>
        <v/>
      </c>
      <c r="CW65" t="str">
        <f>""</f>
        <v/>
      </c>
      <c r="CX65" t="str">
        <f>""</f>
        <v/>
      </c>
      <c r="CY65" t="str">
        <f>""</f>
        <v/>
      </c>
      <c r="CZ65" t="str">
        <f>""</f>
        <v/>
      </c>
      <c r="DA65" t="str">
        <f>""</f>
        <v/>
      </c>
      <c r="DB65" t="str">
        <f>""</f>
        <v/>
      </c>
      <c r="DC65" t="str">
        <f>""</f>
        <v/>
      </c>
      <c r="DD65" t="str">
        <f>""</f>
        <v/>
      </c>
      <c r="DE65" t="str">
        <f>""</f>
        <v/>
      </c>
      <c r="DF65" t="str">
        <f>""</f>
        <v/>
      </c>
      <c r="DG65" t="str">
        <f>""</f>
        <v/>
      </c>
      <c r="DH65" t="str">
        <f>""</f>
        <v/>
      </c>
      <c r="DI65" t="str">
        <f>""</f>
        <v/>
      </c>
      <c r="DJ65" t="str">
        <f>""</f>
        <v/>
      </c>
      <c r="DK65" t="str">
        <f>""</f>
        <v/>
      </c>
      <c r="DL65" t="str">
        <f>""</f>
        <v/>
      </c>
      <c r="DM65" t="str">
        <f>""</f>
        <v/>
      </c>
      <c r="DN65" t="str">
        <f>""</f>
        <v/>
      </c>
      <c r="DO65" t="str">
        <f>""</f>
        <v/>
      </c>
      <c r="DP65" t="str">
        <f>""</f>
        <v/>
      </c>
      <c r="DQ65" t="str">
        <f>""</f>
        <v/>
      </c>
      <c r="DR65" t="str">
        <f>""</f>
        <v/>
      </c>
      <c r="DS65" t="str">
        <f>""</f>
        <v/>
      </c>
      <c r="DT65" t="str">
        <f>""</f>
        <v/>
      </c>
      <c r="DU65" t="str">
        <f>""</f>
        <v/>
      </c>
      <c r="DV65" t="str">
        <f>""</f>
        <v/>
      </c>
      <c r="DW65" t="str">
        <f>""</f>
        <v/>
      </c>
      <c r="DX65" t="str">
        <f>""</f>
        <v/>
      </c>
      <c r="DY65" t="str">
        <f>""</f>
        <v/>
      </c>
      <c r="DZ65" t="str">
        <f>""</f>
        <v/>
      </c>
      <c r="EA65" t="str">
        <f>""</f>
        <v/>
      </c>
      <c r="EB65" t="str">
        <f>""</f>
        <v/>
      </c>
      <c r="EC65" t="str">
        <f>""</f>
        <v/>
      </c>
      <c r="ED65" t="str">
        <f>""</f>
        <v/>
      </c>
      <c r="EE65" t="str">
        <f>""</f>
        <v/>
      </c>
      <c r="EF65" t="str">
        <f>""</f>
        <v/>
      </c>
      <c r="EG65" t="str">
        <f>""</f>
        <v/>
      </c>
      <c r="EH65" t="str">
        <f>""</f>
        <v/>
      </c>
      <c r="EI65" t="str">
        <f>""</f>
        <v/>
      </c>
      <c r="EJ65" t="str">
        <f>""</f>
        <v/>
      </c>
      <c r="EK65" t="str">
        <f>""</f>
        <v/>
      </c>
      <c r="EL65" t="str">
        <f>""</f>
        <v/>
      </c>
      <c r="EM65" t="str">
        <f>""</f>
        <v/>
      </c>
      <c r="EN65" t="str">
        <f>""</f>
        <v/>
      </c>
      <c r="EO65" t="str">
        <f>""</f>
        <v/>
      </c>
      <c r="EP65" t="str">
        <f>""</f>
        <v/>
      </c>
      <c r="EQ65" t="str">
        <f>""</f>
        <v/>
      </c>
      <c r="ER65" t="str">
        <f>""</f>
        <v/>
      </c>
      <c r="ES65" t="str">
        <f>""</f>
        <v/>
      </c>
      <c r="ET65" t="str">
        <f>""</f>
        <v/>
      </c>
      <c r="EU65" t="str">
        <f>""</f>
        <v/>
      </c>
      <c r="EV65" t="str">
        <f>""</f>
        <v/>
      </c>
      <c r="EW65" t="str">
        <f>""</f>
        <v/>
      </c>
      <c r="EX65" t="str">
        <f>""</f>
        <v/>
      </c>
      <c r="EY65" t="str">
        <f>""</f>
        <v/>
      </c>
      <c r="EZ65" t="str">
        <f>""</f>
        <v/>
      </c>
      <c r="FA65" t="str">
        <f>""</f>
        <v/>
      </c>
      <c r="FB65" t="str">
        <f>""</f>
        <v/>
      </c>
      <c r="FC65" t="str">
        <f>""</f>
        <v/>
      </c>
      <c r="FD65" t="str">
        <f>""</f>
        <v/>
      </c>
      <c r="FE65" t="str">
        <f>""</f>
        <v/>
      </c>
      <c r="FF65" t="str">
        <f>""</f>
        <v/>
      </c>
      <c r="FG65" t="str">
        <f>""</f>
        <v/>
      </c>
      <c r="FH65" t="str">
        <f>""</f>
        <v/>
      </c>
      <c r="FI65" t="str">
        <f>""</f>
        <v/>
      </c>
      <c r="FJ65" t="str">
        <f>""</f>
        <v/>
      </c>
      <c r="FK65" t="str">
        <f>""</f>
        <v/>
      </c>
      <c r="FL65" t="str">
        <f>""</f>
        <v/>
      </c>
      <c r="FM65" t="str">
        <f>""</f>
        <v/>
      </c>
      <c r="FN65" t="str">
        <f>""</f>
        <v/>
      </c>
      <c r="FO65" t="str">
        <f>""</f>
        <v/>
      </c>
      <c r="FP65" t="str">
        <f>""</f>
        <v/>
      </c>
      <c r="FQ65" t="str">
        <f>""</f>
        <v/>
      </c>
    </row>
    <row r="66" spans="1:173" x14ac:dyDescent="0.25">
      <c r="A66" t="str">
        <f>"Number of Periods"</f>
        <v>Number of Periods</v>
      </c>
      <c r="B66">
        <f>84</f>
        <v>84</v>
      </c>
      <c r="CL66" t="str">
        <f>""</f>
        <v/>
      </c>
      <c r="CM66" t="str">
        <f>""</f>
        <v/>
      </c>
      <c r="CN66" t="str">
        <f>""</f>
        <v/>
      </c>
      <c r="CO66" t="str">
        <f>""</f>
        <v/>
      </c>
      <c r="CP66" t="str">
        <f>""</f>
        <v/>
      </c>
      <c r="CQ66" t="str">
        <f>""</f>
        <v/>
      </c>
      <c r="CR66" t="str">
        <f>""</f>
        <v/>
      </c>
      <c r="CS66" t="str">
        <f>""</f>
        <v/>
      </c>
      <c r="CT66" t="str">
        <f>""</f>
        <v/>
      </c>
      <c r="CU66" t="str">
        <f>""</f>
        <v/>
      </c>
      <c r="CV66" t="str">
        <f>""</f>
        <v/>
      </c>
      <c r="CW66" t="str">
        <f>""</f>
        <v/>
      </c>
      <c r="CX66" t="str">
        <f>""</f>
        <v/>
      </c>
      <c r="CY66" t="str">
        <f>""</f>
        <v/>
      </c>
      <c r="CZ66" t="str">
        <f>""</f>
        <v/>
      </c>
      <c r="DA66" t="str">
        <f>""</f>
        <v/>
      </c>
      <c r="DB66" t="str">
        <f>""</f>
        <v/>
      </c>
      <c r="DC66" t="str">
        <f>""</f>
        <v/>
      </c>
      <c r="DD66" t="str">
        <f>""</f>
        <v/>
      </c>
      <c r="DE66" t="str">
        <f>""</f>
        <v/>
      </c>
      <c r="DF66" t="str">
        <f>""</f>
        <v/>
      </c>
      <c r="DG66" t="str">
        <f>""</f>
        <v/>
      </c>
      <c r="DH66" t="str">
        <f>""</f>
        <v/>
      </c>
      <c r="DI66" t="str">
        <f>""</f>
        <v/>
      </c>
      <c r="DJ66" t="str">
        <f>""</f>
        <v/>
      </c>
      <c r="DK66" t="str">
        <f>""</f>
        <v/>
      </c>
      <c r="DL66" t="str">
        <f>""</f>
        <v/>
      </c>
      <c r="DM66" t="str">
        <f>""</f>
        <v/>
      </c>
      <c r="DN66" t="str">
        <f>""</f>
        <v/>
      </c>
      <c r="DO66" t="str">
        <f>""</f>
        <v/>
      </c>
      <c r="DP66" t="str">
        <f>""</f>
        <v/>
      </c>
      <c r="DQ66" t="str">
        <f>""</f>
        <v/>
      </c>
      <c r="DR66" t="str">
        <f>""</f>
        <v/>
      </c>
      <c r="DS66" t="str">
        <f>""</f>
        <v/>
      </c>
      <c r="DT66" t="str">
        <f>""</f>
        <v/>
      </c>
      <c r="DU66" t="str">
        <f>""</f>
        <v/>
      </c>
      <c r="DV66" t="str">
        <f>""</f>
        <v/>
      </c>
      <c r="DW66" t="str">
        <f>""</f>
        <v/>
      </c>
      <c r="DX66" t="str">
        <f>""</f>
        <v/>
      </c>
      <c r="DY66" t="str">
        <f>""</f>
        <v/>
      </c>
      <c r="DZ66" t="str">
        <f>""</f>
        <v/>
      </c>
      <c r="EA66" t="str">
        <f>""</f>
        <v/>
      </c>
      <c r="EB66" t="str">
        <f>""</f>
        <v/>
      </c>
      <c r="EC66" t="str">
        <f>""</f>
        <v/>
      </c>
      <c r="ED66" t="str">
        <f>""</f>
        <v/>
      </c>
      <c r="EE66" t="str">
        <f>""</f>
        <v/>
      </c>
      <c r="EF66" t="str">
        <f>""</f>
        <v/>
      </c>
      <c r="EG66" t="str">
        <f>""</f>
        <v/>
      </c>
      <c r="EH66" t="str">
        <f>""</f>
        <v/>
      </c>
      <c r="EI66" t="str">
        <f>""</f>
        <v/>
      </c>
      <c r="EJ66" t="str">
        <f>""</f>
        <v/>
      </c>
      <c r="EK66" t="str">
        <f>""</f>
        <v/>
      </c>
      <c r="EL66" t="str">
        <f>""</f>
        <v/>
      </c>
      <c r="EM66" t="str">
        <f>""</f>
        <v/>
      </c>
      <c r="EN66" t="str">
        <f>""</f>
        <v/>
      </c>
      <c r="EO66" t="str">
        <f>""</f>
        <v/>
      </c>
      <c r="EP66" t="str">
        <f>""</f>
        <v/>
      </c>
      <c r="EQ66" t="str">
        <f>""</f>
        <v/>
      </c>
      <c r="ER66" t="str">
        <f>""</f>
        <v/>
      </c>
      <c r="ES66" t="str">
        <f>""</f>
        <v/>
      </c>
      <c r="ET66" t="str">
        <f>""</f>
        <v/>
      </c>
      <c r="EU66" t="str">
        <f>""</f>
        <v/>
      </c>
      <c r="EV66" t="str">
        <f>""</f>
        <v/>
      </c>
      <c r="EW66" t="str">
        <f>""</f>
        <v/>
      </c>
      <c r="EX66" t="str">
        <f>""</f>
        <v/>
      </c>
      <c r="EY66" t="str">
        <f>""</f>
        <v/>
      </c>
      <c r="EZ66" t="str">
        <f>""</f>
        <v/>
      </c>
      <c r="FA66" t="str">
        <f>""</f>
        <v/>
      </c>
      <c r="FB66" t="str">
        <f>""</f>
        <v/>
      </c>
      <c r="FC66" t="str">
        <f>""</f>
        <v/>
      </c>
      <c r="FD66" t="str">
        <f>""</f>
        <v/>
      </c>
      <c r="FE66" t="str">
        <f>""</f>
        <v/>
      </c>
      <c r="FF66" t="str">
        <f>""</f>
        <v/>
      </c>
      <c r="FG66" t="str">
        <f>""</f>
        <v/>
      </c>
      <c r="FH66" t="str">
        <f>""</f>
        <v/>
      </c>
      <c r="FI66" t="str">
        <f>""</f>
        <v/>
      </c>
      <c r="FJ66" t="str">
        <f>""</f>
        <v/>
      </c>
      <c r="FK66" t="str">
        <f>""</f>
        <v/>
      </c>
      <c r="FL66" t="str">
        <f>""</f>
        <v/>
      </c>
      <c r="FM66" t="str">
        <f>""</f>
        <v/>
      </c>
      <c r="FN66" t="str">
        <f>""</f>
        <v/>
      </c>
      <c r="FO66" t="str">
        <f>""</f>
        <v/>
      </c>
      <c r="FP66" t="str">
        <f>""</f>
        <v/>
      </c>
      <c r="FQ66" t="str">
        <f>""</f>
        <v/>
      </c>
    </row>
    <row r="67" spans="1:173" x14ac:dyDescent="0.25">
      <c r="A67" t="str">
        <f>"Start Date"</f>
        <v>Start Date</v>
      </c>
      <c r="B67" t="str">
        <f>CONCATENATE("-",$B$66,$B$65)</f>
        <v>-84CM</v>
      </c>
      <c r="C67" t="str">
        <f>CONCATENATE("-",$B$66,$C$65)</f>
        <v>-84AM</v>
      </c>
      <c r="CL67" t="str">
        <f>""</f>
        <v/>
      </c>
      <c r="CM67" t="str">
        <f>""</f>
        <v/>
      </c>
      <c r="CN67" t="str">
        <f>""</f>
        <v/>
      </c>
      <c r="CO67" t="str">
        <f>""</f>
        <v/>
      </c>
      <c r="CP67" t="str">
        <f>""</f>
        <v/>
      </c>
      <c r="CQ67" t="str">
        <f>""</f>
        <v/>
      </c>
      <c r="CR67" t="str">
        <f>""</f>
        <v/>
      </c>
      <c r="CS67" t="str">
        <f>""</f>
        <v/>
      </c>
      <c r="CT67" t="str">
        <f>""</f>
        <v/>
      </c>
      <c r="CU67" t="str">
        <f>""</f>
        <v/>
      </c>
      <c r="CV67" t="str">
        <f>""</f>
        <v/>
      </c>
      <c r="CW67" t="str">
        <f>""</f>
        <v/>
      </c>
      <c r="CX67" t="str">
        <f>""</f>
        <v/>
      </c>
      <c r="CY67" t="str">
        <f>""</f>
        <v/>
      </c>
      <c r="CZ67" t="str">
        <f>""</f>
        <v/>
      </c>
      <c r="DA67" t="str">
        <f>""</f>
        <v/>
      </c>
      <c r="DB67" t="str">
        <f>""</f>
        <v/>
      </c>
      <c r="DC67" t="str">
        <f>""</f>
        <v/>
      </c>
      <c r="DD67" t="str">
        <f>""</f>
        <v/>
      </c>
      <c r="DE67" t="str">
        <f>""</f>
        <v/>
      </c>
      <c r="DF67" t="str">
        <f>""</f>
        <v/>
      </c>
      <c r="DG67" t="str">
        <f>""</f>
        <v/>
      </c>
      <c r="DH67" t="str">
        <f>""</f>
        <v/>
      </c>
      <c r="DI67" t="str">
        <f>""</f>
        <v/>
      </c>
      <c r="DJ67" t="str">
        <f>""</f>
        <v/>
      </c>
      <c r="DK67" t="str">
        <f>""</f>
        <v/>
      </c>
      <c r="DL67" t="str">
        <f>""</f>
        <v/>
      </c>
      <c r="DM67" t="str">
        <f>""</f>
        <v/>
      </c>
      <c r="DN67" t="str">
        <f>""</f>
        <v/>
      </c>
      <c r="DO67" t="str">
        <f>""</f>
        <v/>
      </c>
      <c r="DP67" t="str">
        <f>""</f>
        <v/>
      </c>
      <c r="DQ67" t="str">
        <f>""</f>
        <v/>
      </c>
      <c r="DR67" t="str">
        <f>""</f>
        <v/>
      </c>
      <c r="DS67" t="str">
        <f>""</f>
        <v/>
      </c>
      <c r="DT67" t="str">
        <f>""</f>
        <v/>
      </c>
      <c r="DU67" t="str">
        <f>""</f>
        <v/>
      </c>
      <c r="DV67" t="str">
        <f>""</f>
        <v/>
      </c>
      <c r="DW67" t="str">
        <f>""</f>
        <v/>
      </c>
      <c r="DX67" t="str">
        <f>""</f>
        <v/>
      </c>
      <c r="DY67" t="str">
        <f>""</f>
        <v/>
      </c>
      <c r="DZ67" t="str">
        <f>""</f>
        <v/>
      </c>
      <c r="EA67" t="str">
        <f>""</f>
        <v/>
      </c>
      <c r="EB67" t="str">
        <f>""</f>
        <v/>
      </c>
      <c r="EC67" t="str">
        <f>""</f>
        <v/>
      </c>
      <c r="ED67" t="str">
        <f>""</f>
        <v/>
      </c>
      <c r="EE67" t="str">
        <f>""</f>
        <v/>
      </c>
      <c r="EF67" t="str">
        <f>""</f>
        <v/>
      </c>
      <c r="EG67" t="str">
        <f>""</f>
        <v/>
      </c>
      <c r="EH67" t="str">
        <f>""</f>
        <v/>
      </c>
      <c r="EI67" t="str">
        <f>""</f>
        <v/>
      </c>
      <c r="EJ67" t="str">
        <f>""</f>
        <v/>
      </c>
      <c r="EK67" t="str">
        <f>""</f>
        <v/>
      </c>
      <c r="EL67" t="str">
        <f>""</f>
        <v/>
      </c>
      <c r="EM67" t="str">
        <f>""</f>
        <v/>
      </c>
      <c r="EN67" t="str">
        <f>""</f>
        <v/>
      </c>
      <c r="EO67" t="str">
        <f>""</f>
        <v/>
      </c>
      <c r="EP67" t="str">
        <f>""</f>
        <v/>
      </c>
      <c r="EQ67" t="str">
        <f>""</f>
        <v/>
      </c>
      <c r="ER67" t="str">
        <f>""</f>
        <v/>
      </c>
      <c r="ES67" t="str">
        <f>""</f>
        <v/>
      </c>
      <c r="ET67" t="str">
        <f>""</f>
        <v/>
      </c>
      <c r="EU67" t="str">
        <f>""</f>
        <v/>
      </c>
      <c r="EV67" t="str">
        <f>""</f>
        <v/>
      </c>
      <c r="EW67" t="str">
        <f>""</f>
        <v/>
      </c>
      <c r="EX67" t="str">
        <f>""</f>
        <v/>
      </c>
      <c r="EY67" t="str">
        <f>""</f>
        <v/>
      </c>
      <c r="EZ67" t="str">
        <f>""</f>
        <v/>
      </c>
      <c r="FA67" t="str">
        <f>""</f>
        <v/>
      </c>
      <c r="FB67" t="str">
        <f>""</f>
        <v/>
      </c>
      <c r="FC67" t="str">
        <f>""</f>
        <v/>
      </c>
      <c r="FD67" t="str">
        <f>""</f>
        <v/>
      </c>
      <c r="FE67" t="str">
        <f>""</f>
        <v/>
      </c>
      <c r="FF67" t="str">
        <f>""</f>
        <v/>
      </c>
      <c r="FG67" t="str">
        <f>""</f>
        <v/>
      </c>
      <c r="FH67" t="str">
        <f>""</f>
        <v/>
      </c>
      <c r="FI67" t="str">
        <f>""</f>
        <v/>
      </c>
      <c r="FJ67" t="str">
        <f>""</f>
        <v/>
      </c>
      <c r="FK67" t="str">
        <f>""</f>
        <v/>
      </c>
      <c r="FL67" t="str">
        <f>""</f>
        <v/>
      </c>
      <c r="FM67" t="str">
        <f>""</f>
        <v/>
      </c>
      <c r="FN67" t="str">
        <f>""</f>
        <v/>
      </c>
      <c r="FO67" t="str">
        <f>""</f>
        <v/>
      </c>
      <c r="FP67" t="str">
        <f>""</f>
        <v/>
      </c>
      <c r="FQ67" t="str">
        <f>""</f>
        <v/>
      </c>
    </row>
    <row r="68" spans="1:173" x14ac:dyDescent="0.25">
      <c r="A68" t="str">
        <f>"End Date"</f>
        <v>End Date</v>
      </c>
      <c r="B68">
        <f ca="1">TODAY()</f>
        <v>45242</v>
      </c>
      <c r="CL68" t="str">
        <f>""</f>
        <v/>
      </c>
      <c r="CM68" t="str">
        <f>""</f>
        <v/>
      </c>
      <c r="CN68" t="str">
        <f>""</f>
        <v/>
      </c>
      <c r="CO68" t="str">
        <f>""</f>
        <v/>
      </c>
      <c r="CP68" t="str">
        <f>""</f>
        <v/>
      </c>
      <c r="CQ68" t="str">
        <f>""</f>
        <v/>
      </c>
      <c r="CR68" t="str">
        <f>""</f>
        <v/>
      </c>
      <c r="CS68" t="str">
        <f>""</f>
        <v/>
      </c>
      <c r="CT68" t="str">
        <f>""</f>
        <v/>
      </c>
      <c r="CU68" t="str">
        <f>""</f>
        <v/>
      </c>
      <c r="CV68" t="str">
        <f>""</f>
        <v/>
      </c>
      <c r="CW68" t="str">
        <f>""</f>
        <v/>
      </c>
      <c r="CX68" t="str">
        <f>""</f>
        <v/>
      </c>
      <c r="CY68" t="str">
        <f>""</f>
        <v/>
      </c>
      <c r="CZ68" t="str">
        <f>""</f>
        <v/>
      </c>
      <c r="DA68" t="str">
        <f>""</f>
        <v/>
      </c>
      <c r="DB68" t="str">
        <f>""</f>
        <v/>
      </c>
      <c r="DC68" t="str">
        <f>""</f>
        <v/>
      </c>
      <c r="DD68" t="str">
        <f>""</f>
        <v/>
      </c>
      <c r="DE68" t="str">
        <f>""</f>
        <v/>
      </c>
      <c r="DF68" t="str">
        <f>""</f>
        <v/>
      </c>
      <c r="DG68" t="str">
        <f>""</f>
        <v/>
      </c>
      <c r="DH68" t="str">
        <f>""</f>
        <v/>
      </c>
      <c r="DI68" t="str">
        <f>""</f>
        <v/>
      </c>
      <c r="DJ68" t="str">
        <f>""</f>
        <v/>
      </c>
      <c r="DK68" t="str">
        <f>""</f>
        <v/>
      </c>
      <c r="DL68" t="str">
        <f>""</f>
        <v/>
      </c>
      <c r="DM68" t="str">
        <f>""</f>
        <v/>
      </c>
      <c r="DN68" t="str">
        <f>""</f>
        <v/>
      </c>
      <c r="DO68" t="str">
        <f>""</f>
        <v/>
      </c>
      <c r="DP68" t="str">
        <f>""</f>
        <v/>
      </c>
      <c r="DQ68" t="str">
        <f>""</f>
        <v/>
      </c>
      <c r="DR68" t="str">
        <f>""</f>
        <v/>
      </c>
      <c r="DS68" t="str">
        <f>""</f>
        <v/>
      </c>
      <c r="DT68" t="str">
        <f>""</f>
        <v/>
      </c>
      <c r="DU68" t="str">
        <f>""</f>
        <v/>
      </c>
      <c r="DV68" t="str">
        <f>""</f>
        <v/>
      </c>
      <c r="DW68" t="str">
        <f>""</f>
        <v/>
      </c>
      <c r="DX68" t="str">
        <f>""</f>
        <v/>
      </c>
      <c r="DY68" t="str">
        <f>""</f>
        <v/>
      </c>
      <c r="DZ68" t="str">
        <f>""</f>
        <v/>
      </c>
      <c r="EA68" t="str">
        <f>""</f>
        <v/>
      </c>
      <c r="EB68" t="str">
        <f>""</f>
        <v/>
      </c>
      <c r="EC68" t="str">
        <f>""</f>
        <v/>
      </c>
      <c r="ED68" t="str">
        <f>""</f>
        <v/>
      </c>
      <c r="EE68" t="str">
        <f>""</f>
        <v/>
      </c>
      <c r="EF68" t="str">
        <f>""</f>
        <v/>
      </c>
      <c r="EG68" t="str">
        <f>""</f>
        <v/>
      </c>
      <c r="EH68" t="str">
        <f>""</f>
        <v/>
      </c>
      <c r="EI68" t="str">
        <f>""</f>
        <v/>
      </c>
      <c r="EJ68" t="str">
        <f>""</f>
        <v/>
      </c>
      <c r="EK68" t="str">
        <f>""</f>
        <v/>
      </c>
      <c r="EL68" t="str">
        <f>""</f>
        <v/>
      </c>
      <c r="EM68" t="str">
        <f>""</f>
        <v/>
      </c>
      <c r="EN68" t="str">
        <f>""</f>
        <v/>
      </c>
      <c r="EO68" t="str">
        <f>""</f>
        <v/>
      </c>
      <c r="EP68" t="str">
        <f>""</f>
        <v/>
      </c>
      <c r="EQ68" t="str">
        <f>""</f>
        <v/>
      </c>
      <c r="ER68" t="str">
        <f>""</f>
        <v/>
      </c>
      <c r="ES68" t="str">
        <f>""</f>
        <v/>
      </c>
      <c r="ET68" t="str">
        <f>""</f>
        <v/>
      </c>
      <c r="EU68" t="str">
        <f>""</f>
        <v/>
      </c>
      <c r="EV68" t="str">
        <f>""</f>
        <v/>
      </c>
      <c r="EW68" t="str">
        <f>""</f>
        <v/>
      </c>
      <c r="EX68" t="str">
        <f>""</f>
        <v/>
      </c>
      <c r="EY68" t="str">
        <f>""</f>
        <v/>
      </c>
      <c r="EZ68" t="str">
        <f>""</f>
        <v/>
      </c>
      <c r="FA68" t="str">
        <f>""</f>
        <v/>
      </c>
      <c r="FB68" t="str">
        <f>""</f>
        <v/>
      </c>
      <c r="FC68" t="str">
        <f>""</f>
        <v/>
      </c>
      <c r="FD68" t="str">
        <f>""</f>
        <v/>
      </c>
      <c r="FE68" t="str">
        <f>""</f>
        <v/>
      </c>
      <c r="FF68" t="str">
        <f>""</f>
        <v/>
      </c>
      <c r="FG68" t="str">
        <f>""</f>
        <v/>
      </c>
      <c r="FH68" t="str">
        <f>""</f>
        <v/>
      </c>
      <c r="FI68" t="str">
        <f>""</f>
        <v/>
      </c>
      <c r="FJ68" t="str">
        <f>""</f>
        <v/>
      </c>
      <c r="FK68" t="str">
        <f>""</f>
        <v/>
      </c>
      <c r="FL68" t="str">
        <f>""</f>
        <v/>
      </c>
      <c r="FM68" t="str">
        <f>""</f>
        <v/>
      </c>
      <c r="FN68" t="str">
        <f>""</f>
        <v/>
      </c>
      <c r="FO68" t="str">
        <f>""</f>
        <v/>
      </c>
      <c r="FP68" t="str">
        <f>""</f>
        <v/>
      </c>
      <c r="FQ68" t="str">
        <f>""</f>
        <v/>
      </c>
    </row>
    <row r="69" spans="1:173" x14ac:dyDescent="0.25">
      <c r="A69" t="str">
        <f>"HeaderStatus(BDP formula)"</f>
        <v>HeaderStatus(BDP formula)</v>
      </c>
      <c r="CL69" t="str">
        <f>""</f>
        <v/>
      </c>
      <c r="CM69" t="str">
        <f>""</f>
        <v/>
      </c>
      <c r="CN69" t="str">
        <f>""</f>
        <v/>
      </c>
      <c r="CO69" t="str">
        <f>""</f>
        <v/>
      </c>
      <c r="CP69" t="str">
        <f>""</f>
        <v/>
      </c>
      <c r="CQ69" t="str">
        <f>""</f>
        <v/>
      </c>
      <c r="CR69" t="str">
        <f>""</f>
        <v/>
      </c>
      <c r="CS69" t="str">
        <f>""</f>
        <v/>
      </c>
      <c r="CT69" t="str">
        <f>""</f>
        <v/>
      </c>
      <c r="CU69" t="str">
        <f>""</f>
        <v/>
      </c>
      <c r="CV69" t="str">
        <f>""</f>
        <v/>
      </c>
      <c r="CW69" t="str">
        <f>""</f>
        <v/>
      </c>
      <c r="CX69" t="str">
        <f>""</f>
        <v/>
      </c>
      <c r="CY69" t="str">
        <f>""</f>
        <v/>
      </c>
      <c r="CZ69" t="str">
        <f>""</f>
        <v/>
      </c>
      <c r="DA69" t="str">
        <f>""</f>
        <v/>
      </c>
      <c r="DB69" t="str">
        <f>""</f>
        <v/>
      </c>
      <c r="DC69" t="str">
        <f>""</f>
        <v/>
      </c>
      <c r="DD69" t="str">
        <f>""</f>
        <v/>
      </c>
      <c r="DE69" t="str">
        <f>""</f>
        <v/>
      </c>
      <c r="DF69" t="str">
        <f>""</f>
        <v/>
      </c>
      <c r="DG69" t="str">
        <f>""</f>
        <v/>
      </c>
      <c r="DH69" t="str">
        <f>""</f>
        <v/>
      </c>
      <c r="DI69" t="str">
        <f>""</f>
        <v/>
      </c>
      <c r="DJ69" t="str">
        <f>""</f>
        <v/>
      </c>
      <c r="DK69" t="str">
        <f>""</f>
        <v/>
      </c>
      <c r="DL69" t="str">
        <f>""</f>
        <v/>
      </c>
      <c r="DM69" t="str">
        <f>""</f>
        <v/>
      </c>
      <c r="DN69" t="str">
        <f>""</f>
        <v/>
      </c>
      <c r="DO69" t="str">
        <f>""</f>
        <v/>
      </c>
      <c r="DP69" t="str">
        <f>""</f>
        <v/>
      </c>
      <c r="DQ69" t="str">
        <f>""</f>
        <v/>
      </c>
      <c r="DR69" t="str">
        <f>""</f>
        <v/>
      </c>
      <c r="DS69" t="str">
        <f>""</f>
        <v/>
      </c>
      <c r="DT69" t="str">
        <f>""</f>
        <v/>
      </c>
      <c r="DU69" t="str">
        <f>""</f>
        <v/>
      </c>
      <c r="DV69" t="str">
        <f>""</f>
        <v/>
      </c>
      <c r="DW69" t="str">
        <f>""</f>
        <v/>
      </c>
      <c r="DX69" t="str">
        <f>""</f>
        <v/>
      </c>
      <c r="DY69" t="str">
        <f>""</f>
        <v/>
      </c>
      <c r="DZ69" t="str">
        <f>""</f>
        <v/>
      </c>
      <c r="EA69" t="str">
        <f>""</f>
        <v/>
      </c>
      <c r="EB69" t="str">
        <f>""</f>
        <v/>
      </c>
      <c r="EC69" t="str">
        <f>""</f>
        <v/>
      </c>
      <c r="ED69" t="str">
        <f>""</f>
        <v/>
      </c>
      <c r="EE69" t="str">
        <f>""</f>
        <v/>
      </c>
      <c r="EF69" t="str">
        <f>""</f>
        <v/>
      </c>
      <c r="EG69" t="str">
        <f>""</f>
        <v/>
      </c>
      <c r="EH69" t="str">
        <f>""</f>
        <v/>
      </c>
      <c r="EI69" t="str">
        <f>""</f>
        <v/>
      </c>
      <c r="EJ69" t="str">
        <f>""</f>
        <v/>
      </c>
      <c r="EK69" t="str">
        <f>""</f>
        <v/>
      </c>
      <c r="EL69" t="str">
        <f>""</f>
        <v/>
      </c>
      <c r="EM69" t="str">
        <f>""</f>
        <v/>
      </c>
      <c r="EN69" t="str">
        <f>""</f>
        <v/>
      </c>
      <c r="EO69" t="str">
        <f>""</f>
        <v/>
      </c>
      <c r="EP69" t="str">
        <f>""</f>
        <v/>
      </c>
      <c r="EQ69" t="str">
        <f>""</f>
        <v/>
      </c>
      <c r="ER69" t="str">
        <f>""</f>
        <v/>
      </c>
      <c r="ES69" t="str">
        <f>""</f>
        <v/>
      </c>
      <c r="ET69" t="str">
        <f>""</f>
        <v/>
      </c>
      <c r="EU69" t="str">
        <f>""</f>
        <v/>
      </c>
      <c r="EV69" t="str">
        <f>""</f>
        <v/>
      </c>
      <c r="EW69" t="str">
        <f>""</f>
        <v/>
      </c>
      <c r="EX69" t="str">
        <f>""</f>
        <v/>
      </c>
      <c r="EY69" t="str">
        <f>""</f>
        <v/>
      </c>
      <c r="EZ69" t="str">
        <f>""</f>
        <v/>
      </c>
      <c r="FA69" t="str">
        <f>""</f>
        <v/>
      </c>
      <c r="FB69" t="str">
        <f>""</f>
        <v/>
      </c>
      <c r="FC69" t="str">
        <f>""</f>
        <v/>
      </c>
      <c r="FD69" t="str">
        <f>""</f>
        <v/>
      </c>
      <c r="FE69" t="str">
        <f>""</f>
        <v/>
      </c>
      <c r="FF69" t="str">
        <f>""</f>
        <v/>
      </c>
      <c r="FG69" t="str">
        <f>""</f>
        <v/>
      </c>
      <c r="FH69" t="str">
        <f>""</f>
        <v/>
      </c>
      <c r="FI69" t="str">
        <f>""</f>
        <v/>
      </c>
      <c r="FJ69" t="str">
        <f>""</f>
        <v/>
      </c>
      <c r="FK69" t="str">
        <f>""</f>
        <v/>
      </c>
      <c r="FL69" t="str">
        <f>""</f>
        <v/>
      </c>
      <c r="FM69" t="str">
        <f>""</f>
        <v/>
      </c>
      <c r="FN69" t="str">
        <f>""</f>
        <v/>
      </c>
      <c r="FO69" t="str">
        <f>""</f>
        <v/>
      </c>
      <c r="FP69" t="str">
        <f>""</f>
        <v/>
      </c>
      <c r="FQ69" t="str">
        <f>""</f>
        <v/>
      </c>
    </row>
    <row r="70" spans="1:173" x14ac:dyDescent="0.25">
      <c r="CL70" t="str">
        <f>""</f>
        <v/>
      </c>
      <c r="CM70" t="str">
        <f>""</f>
        <v/>
      </c>
      <c r="CN70" t="str">
        <f>""</f>
        <v/>
      </c>
      <c r="CO70" t="str">
        <f>""</f>
        <v/>
      </c>
      <c r="CP70" t="str">
        <f>""</f>
        <v/>
      </c>
      <c r="CQ70" t="str">
        <f>""</f>
        <v/>
      </c>
      <c r="CR70" t="str">
        <f>""</f>
        <v/>
      </c>
      <c r="CS70" t="str">
        <f>""</f>
        <v/>
      </c>
      <c r="CT70" t="str">
        <f>""</f>
        <v/>
      </c>
      <c r="CU70" t="str">
        <f>""</f>
        <v/>
      </c>
      <c r="CV70" t="str">
        <f>""</f>
        <v/>
      </c>
      <c r="CW70" t="str">
        <f>""</f>
        <v/>
      </c>
      <c r="CX70" t="str">
        <f>""</f>
        <v/>
      </c>
      <c r="CY70" t="str">
        <f>""</f>
        <v/>
      </c>
      <c r="CZ70" t="str">
        <f>""</f>
        <v/>
      </c>
      <c r="DA70" t="str">
        <f>""</f>
        <v/>
      </c>
      <c r="DB70" t="str">
        <f>""</f>
        <v/>
      </c>
      <c r="DC70" t="str">
        <f>""</f>
        <v/>
      </c>
      <c r="DD70" t="str">
        <f>""</f>
        <v/>
      </c>
      <c r="DE70" t="str">
        <f>""</f>
        <v/>
      </c>
      <c r="DF70" t="str">
        <f>""</f>
        <v/>
      </c>
      <c r="DG70" t="str">
        <f>""</f>
        <v/>
      </c>
      <c r="DH70" t="str">
        <f>""</f>
        <v/>
      </c>
      <c r="DI70" t="str">
        <f>""</f>
        <v/>
      </c>
      <c r="DJ70" t="str">
        <f>""</f>
        <v/>
      </c>
      <c r="DK70" t="str">
        <f>""</f>
        <v/>
      </c>
      <c r="DL70" t="str">
        <f>""</f>
        <v/>
      </c>
      <c r="DM70" t="str">
        <f>""</f>
        <v/>
      </c>
      <c r="DN70" t="str">
        <f>""</f>
        <v/>
      </c>
      <c r="DO70" t="str">
        <f>""</f>
        <v/>
      </c>
      <c r="DP70" t="str">
        <f>""</f>
        <v/>
      </c>
      <c r="DQ70" t="str">
        <f>""</f>
        <v/>
      </c>
      <c r="DR70" t="str">
        <f>""</f>
        <v/>
      </c>
      <c r="DS70" t="str">
        <f>""</f>
        <v/>
      </c>
      <c r="DT70" t="str">
        <f>""</f>
        <v/>
      </c>
      <c r="DU70" t="str">
        <f>""</f>
        <v/>
      </c>
      <c r="DV70" t="str">
        <f>""</f>
        <v/>
      </c>
      <c r="DW70" t="str">
        <f>""</f>
        <v/>
      </c>
      <c r="DX70" t="str">
        <f>""</f>
        <v/>
      </c>
      <c r="DY70" t="str">
        <f>""</f>
        <v/>
      </c>
      <c r="DZ70" t="str">
        <f>""</f>
        <v/>
      </c>
      <c r="EA70" t="str">
        <f>""</f>
        <v/>
      </c>
      <c r="EB70" t="str">
        <f>""</f>
        <v/>
      </c>
      <c r="EC70" t="str">
        <f>""</f>
        <v/>
      </c>
      <c r="ED70" t="str">
        <f>""</f>
        <v/>
      </c>
      <c r="EE70" t="str">
        <f>""</f>
        <v/>
      </c>
      <c r="EF70" t="str">
        <f>""</f>
        <v/>
      </c>
      <c r="EG70" t="str">
        <f>""</f>
        <v/>
      </c>
      <c r="EH70" t="str">
        <f>""</f>
        <v/>
      </c>
      <c r="EI70" t="str">
        <f>""</f>
        <v/>
      </c>
      <c r="EJ70" t="str">
        <f>""</f>
        <v/>
      </c>
      <c r="EK70" t="str">
        <f>""</f>
        <v/>
      </c>
      <c r="EL70" t="str">
        <f>""</f>
        <v/>
      </c>
      <c r="EM70" t="str">
        <f>""</f>
        <v/>
      </c>
      <c r="EN70" t="str">
        <f>""</f>
        <v/>
      </c>
      <c r="EO70" t="str">
        <f>""</f>
        <v/>
      </c>
      <c r="EP70" t="str">
        <f>""</f>
        <v/>
      </c>
      <c r="EQ70" t="str">
        <f>""</f>
        <v/>
      </c>
      <c r="ER70" t="str">
        <f>""</f>
        <v/>
      </c>
      <c r="ES70" t="str">
        <f>""</f>
        <v/>
      </c>
      <c r="ET70" t="str">
        <f>""</f>
        <v/>
      </c>
      <c r="EU70" t="str">
        <f>""</f>
        <v/>
      </c>
      <c r="EV70" t="str">
        <f>""</f>
        <v/>
      </c>
      <c r="EW70" t="str">
        <f>""</f>
        <v/>
      </c>
      <c r="EX70" t="str">
        <f>""</f>
        <v/>
      </c>
      <c r="EY70" t="str">
        <f>""</f>
        <v/>
      </c>
      <c r="EZ70" t="str">
        <f>""</f>
        <v/>
      </c>
      <c r="FA70" t="str">
        <f>""</f>
        <v/>
      </c>
      <c r="FB70" t="str">
        <f>""</f>
        <v/>
      </c>
      <c r="FC70" t="str">
        <f>""</f>
        <v/>
      </c>
      <c r="FD70" t="str">
        <f>""</f>
        <v/>
      </c>
      <c r="FE70" t="str">
        <f>""</f>
        <v/>
      </c>
      <c r="FF70" t="str">
        <f>""</f>
        <v/>
      </c>
      <c r="FG70" t="str">
        <f>""</f>
        <v/>
      </c>
      <c r="FH70" t="str">
        <f>""</f>
        <v/>
      </c>
      <c r="FI70" t="str">
        <f>""</f>
        <v/>
      </c>
      <c r="FJ70" t="str">
        <f>""</f>
        <v/>
      </c>
      <c r="FK70" t="str">
        <f>""</f>
        <v/>
      </c>
      <c r="FL70" t="str">
        <f>""</f>
        <v/>
      </c>
      <c r="FM70" t="str">
        <f>""</f>
        <v/>
      </c>
      <c r="FN70" t="str">
        <f>""</f>
        <v/>
      </c>
      <c r="FO70" t="str">
        <f>""</f>
        <v/>
      </c>
      <c r="FP70" t="str">
        <f>""</f>
        <v/>
      </c>
      <c r="FQ70" t="str">
        <f>""</f>
        <v/>
      </c>
    </row>
    <row r="71" spans="1:173" x14ac:dyDescent="0.25">
      <c r="A71" t="str">
        <f>"Period Start"</f>
        <v>Period Start</v>
      </c>
      <c r="C71" t="str">
        <f>"PX391"</f>
        <v>PX391</v>
      </c>
      <c r="D71" t="str">
        <f>"START_DATE_OVERRIDE"</f>
        <v>START_DATE_OVERRIDE</v>
      </c>
      <c r="E71" t="str">
        <f t="shared" ref="E71:E76" si="9">"Dynamic"</f>
        <v>Dynamic</v>
      </c>
      <c r="F71" t="str">
        <f ca="1">CONCATENATE(YEAR( EOMONTH($B$68,(-1*(0+1)))+1 ), IF( MONTH(EOMONTH($B$68,(-1*(0+1)))+1) &lt; 10, "0", "" ), MONTH( EOMONTH($B$68,(-1*(0+1)))+1 ), IF( DAY(EOMONTH($B$68,(-1*(0+1)))+1) &lt; 10, "0", "" ), DAY( EOMONTH($B$68,(-1*(0+1)))+1 ), )</f>
        <v>20231101</v>
      </c>
      <c r="G71" t="str">
        <f ca="1">CONCATENATE(YEAR( EOMONTH($B$68,(-1*(1+1)))+1 ), IF( MONTH(EOMONTH($B$68,(-1*(1+1)))+1) &lt; 10, "0", "" ), MONTH( EOMONTH($B$68,(-1*(1+1)))+1 ), IF( DAY(EOMONTH($B$68,(-1*(1+1)))+1) &lt; 10, "0", "" ), DAY( EOMONTH($B$68,(-1*(1+1)))+1 ), )</f>
        <v>20231001</v>
      </c>
      <c r="H71" t="str">
        <f ca="1">CONCATENATE(YEAR( EOMONTH($B$68,(-1*(2+1)))+1 ), IF( MONTH(EOMONTH($B$68,(-1*(2+1)))+1) &lt; 10, "0", "" ), MONTH( EOMONTH($B$68,(-1*(2+1)))+1 ), IF( DAY(EOMONTH($B$68,(-1*(2+1)))+1) &lt; 10, "0", "" ), DAY( EOMONTH($B$68,(-1*(2+1)))+1 ), )</f>
        <v>20230901</v>
      </c>
      <c r="I71" t="str">
        <f ca="1">CONCATENATE(YEAR( EOMONTH($B$68,(-1*(3+1)))+1 ), IF( MONTH(EOMONTH($B$68,(-1*(3+1)))+1) &lt; 10, "0", "" ), MONTH( EOMONTH($B$68,(-1*(3+1)))+1 ), IF( DAY(EOMONTH($B$68,(-1*(3+1)))+1) &lt; 10, "0", "" ), DAY( EOMONTH($B$68,(-1*(3+1)))+1 ), )</f>
        <v>20230801</v>
      </c>
      <c r="J71" t="str">
        <f ca="1">CONCATENATE(YEAR( EOMONTH($B$68,(-1*(4+1)))+1 ), IF( MONTH(EOMONTH($B$68,(-1*(4+1)))+1) &lt; 10, "0", "" ), MONTH( EOMONTH($B$68,(-1*(4+1)))+1 ), IF( DAY(EOMONTH($B$68,(-1*(4+1)))+1) &lt; 10, "0", "" ), DAY( EOMONTH($B$68,(-1*(4+1)))+1 ), )</f>
        <v>20230701</v>
      </c>
      <c r="K71" t="str">
        <f ca="1">CONCATENATE(YEAR( EOMONTH($B$68,(-1*(5+1)))+1 ), IF( MONTH(EOMONTH($B$68,(-1*(5+1)))+1) &lt; 10, "0", "" ), MONTH( EOMONTH($B$68,(-1*(5+1)))+1 ), IF( DAY(EOMONTH($B$68,(-1*(5+1)))+1) &lt; 10, "0", "" ), DAY( EOMONTH($B$68,(-1*(5+1)))+1 ), )</f>
        <v>20230601</v>
      </c>
      <c r="L71" t="str">
        <f ca="1">CONCATENATE(YEAR( EOMONTH($B$68,(-1*(6+1)))+1 ), IF( MONTH(EOMONTH($B$68,(-1*(6+1)))+1) &lt; 10, "0", "" ), MONTH( EOMONTH($B$68,(-1*(6+1)))+1 ), IF( DAY(EOMONTH($B$68,(-1*(6+1)))+1) &lt; 10, "0", "" ), DAY( EOMONTH($B$68,(-1*(6+1)))+1 ), )</f>
        <v>20230501</v>
      </c>
      <c r="M71" t="str">
        <f ca="1">CONCATENATE(YEAR( EOMONTH($B$68,(-1*(7+1)))+1 ), IF( MONTH(EOMONTH($B$68,(-1*(7+1)))+1) &lt; 10, "0", "" ), MONTH( EOMONTH($B$68,(-1*(7+1)))+1 ), IF( DAY(EOMONTH($B$68,(-1*(7+1)))+1) &lt; 10, "0", "" ), DAY( EOMONTH($B$68,(-1*(7+1)))+1 ), )</f>
        <v>20230401</v>
      </c>
      <c r="N71" t="str">
        <f ca="1">CONCATENATE(YEAR( EOMONTH($B$68,(-1*(8+1)))+1 ), IF( MONTH(EOMONTH($B$68,(-1*(8+1)))+1) &lt; 10, "0", "" ), MONTH( EOMONTH($B$68,(-1*(8+1)))+1 ), IF( DAY(EOMONTH($B$68,(-1*(8+1)))+1) &lt; 10, "0", "" ), DAY( EOMONTH($B$68,(-1*(8+1)))+1 ), )</f>
        <v>20230301</v>
      </c>
      <c r="O71" t="str">
        <f ca="1">CONCATENATE(YEAR( EOMONTH($B$68,(-1*(9+1)))+1 ), IF( MONTH(EOMONTH($B$68,(-1*(9+1)))+1) &lt; 10, "0", "" ), MONTH( EOMONTH($B$68,(-1*(9+1)))+1 ), IF( DAY(EOMONTH($B$68,(-1*(9+1)))+1) &lt; 10, "0", "" ), DAY( EOMONTH($B$68,(-1*(9+1)))+1 ), )</f>
        <v>20230201</v>
      </c>
      <c r="P71" t="str">
        <f ca="1">CONCATENATE(YEAR( EOMONTH($B$68,(-1*(10+1)))+1 ), IF( MONTH(EOMONTH($B$68,(-1*(10+1)))+1) &lt; 10, "0", "" ), MONTH( EOMONTH($B$68,(-1*(10+1)))+1 ), IF( DAY(EOMONTH($B$68,(-1*(10+1)))+1) &lt; 10, "0", "" ), DAY( EOMONTH($B$68,(-1*(10+1)))+1 ), )</f>
        <v>20230101</v>
      </c>
      <c r="Q71" t="str">
        <f ca="1">CONCATENATE(YEAR( EOMONTH($B$68,(-1*(11+1)))+1 ), IF( MONTH(EOMONTH($B$68,(-1*(11+1)))+1) &lt; 10, "0", "" ), MONTH( EOMONTH($B$68,(-1*(11+1)))+1 ), IF( DAY(EOMONTH($B$68,(-1*(11+1)))+1) &lt; 10, "0", "" ), DAY( EOMONTH($B$68,(-1*(11+1)))+1 ), )</f>
        <v>20221201</v>
      </c>
      <c r="R71" t="str">
        <f ca="1">CONCATENATE(YEAR( EOMONTH($B$68,(-1*(12+1)))+1 ), IF( MONTH(EOMONTH($B$68,(-1*(12+1)))+1) &lt; 10, "0", "" ), MONTH( EOMONTH($B$68,(-1*(12+1)))+1 ), IF( DAY(EOMONTH($B$68,(-1*(12+1)))+1) &lt; 10, "0", "" ), DAY( EOMONTH($B$68,(-1*(12+1)))+1 ), )</f>
        <v>20221101</v>
      </c>
      <c r="S71" t="str">
        <f ca="1">CONCATENATE(YEAR( EOMONTH($B$68,(-1*(13+1)))+1 ), IF( MONTH(EOMONTH($B$68,(-1*(13+1)))+1) &lt; 10, "0", "" ), MONTH( EOMONTH($B$68,(-1*(13+1)))+1 ), IF( DAY(EOMONTH($B$68,(-1*(13+1)))+1) &lt; 10, "0", "" ), DAY( EOMONTH($B$68,(-1*(13+1)))+1 ), )</f>
        <v>20221001</v>
      </c>
      <c r="T71" t="str">
        <f ca="1">CONCATENATE(YEAR( EOMONTH($B$68,(-1*(14+1)))+1 ), IF( MONTH(EOMONTH($B$68,(-1*(14+1)))+1) &lt; 10, "0", "" ), MONTH( EOMONTH($B$68,(-1*(14+1)))+1 ), IF( DAY(EOMONTH($B$68,(-1*(14+1)))+1) &lt; 10, "0", "" ), DAY( EOMONTH($B$68,(-1*(14+1)))+1 ), )</f>
        <v>20220901</v>
      </c>
      <c r="U71" t="str">
        <f ca="1">CONCATENATE(YEAR( EOMONTH($B$68,(-1*(15+1)))+1 ), IF( MONTH(EOMONTH($B$68,(-1*(15+1)))+1) &lt; 10, "0", "" ), MONTH( EOMONTH($B$68,(-1*(15+1)))+1 ), IF( DAY(EOMONTH($B$68,(-1*(15+1)))+1) &lt; 10, "0", "" ), DAY( EOMONTH($B$68,(-1*(15+1)))+1 ), )</f>
        <v>20220801</v>
      </c>
      <c r="V71" t="str">
        <f ca="1">CONCATENATE(YEAR( EOMONTH($B$68,(-1*(16+1)))+1 ), IF( MONTH(EOMONTH($B$68,(-1*(16+1)))+1) &lt; 10, "0", "" ), MONTH( EOMONTH($B$68,(-1*(16+1)))+1 ), IF( DAY(EOMONTH($B$68,(-1*(16+1)))+1) &lt; 10, "0", "" ), DAY( EOMONTH($B$68,(-1*(16+1)))+1 ), )</f>
        <v>20220701</v>
      </c>
      <c r="W71" t="str">
        <f ca="1">CONCATENATE(YEAR( EOMONTH($B$68,(-1*(17+1)))+1 ), IF( MONTH(EOMONTH($B$68,(-1*(17+1)))+1) &lt; 10, "0", "" ), MONTH( EOMONTH($B$68,(-1*(17+1)))+1 ), IF( DAY(EOMONTH($B$68,(-1*(17+1)))+1) &lt; 10, "0", "" ), DAY( EOMONTH($B$68,(-1*(17+1)))+1 ), )</f>
        <v>20220601</v>
      </c>
      <c r="X71" t="str">
        <f ca="1">CONCATENATE(YEAR( EOMONTH($B$68,(-1*(18+1)))+1 ), IF( MONTH(EOMONTH($B$68,(-1*(18+1)))+1) &lt; 10, "0", "" ), MONTH( EOMONTH($B$68,(-1*(18+1)))+1 ), IF( DAY(EOMONTH($B$68,(-1*(18+1)))+1) &lt; 10, "0", "" ), DAY( EOMONTH($B$68,(-1*(18+1)))+1 ), )</f>
        <v>20220501</v>
      </c>
      <c r="Y71" t="str">
        <f ca="1">CONCATENATE(YEAR( EOMONTH($B$68,(-1*(19+1)))+1 ), IF( MONTH(EOMONTH($B$68,(-1*(19+1)))+1) &lt; 10, "0", "" ), MONTH( EOMONTH($B$68,(-1*(19+1)))+1 ), IF( DAY(EOMONTH($B$68,(-1*(19+1)))+1) &lt; 10, "0", "" ), DAY( EOMONTH($B$68,(-1*(19+1)))+1 ), )</f>
        <v>20220401</v>
      </c>
      <c r="Z71" t="str">
        <f ca="1">CONCATENATE(YEAR( EOMONTH($B$68,(-1*(20+1)))+1 ), IF( MONTH(EOMONTH($B$68,(-1*(20+1)))+1) &lt; 10, "0", "" ), MONTH( EOMONTH($B$68,(-1*(20+1)))+1 ), IF( DAY(EOMONTH($B$68,(-1*(20+1)))+1) &lt; 10, "0", "" ), DAY( EOMONTH($B$68,(-1*(20+1)))+1 ), )</f>
        <v>20220301</v>
      </c>
      <c r="AA71" t="str">
        <f ca="1">CONCATENATE(YEAR( EOMONTH($B$68,(-1*(21+1)))+1 ), IF( MONTH(EOMONTH($B$68,(-1*(21+1)))+1) &lt; 10, "0", "" ), MONTH( EOMONTH($B$68,(-1*(21+1)))+1 ), IF( DAY(EOMONTH($B$68,(-1*(21+1)))+1) &lt; 10, "0", "" ), DAY( EOMONTH($B$68,(-1*(21+1)))+1 ), )</f>
        <v>20220201</v>
      </c>
      <c r="AB71" t="str">
        <f ca="1">CONCATENATE(YEAR( EOMONTH($B$68,(-1*(22+1)))+1 ), IF( MONTH(EOMONTH($B$68,(-1*(22+1)))+1) &lt; 10, "0", "" ), MONTH( EOMONTH($B$68,(-1*(22+1)))+1 ), IF( DAY(EOMONTH($B$68,(-1*(22+1)))+1) &lt; 10, "0", "" ), DAY( EOMONTH($B$68,(-1*(22+1)))+1 ), )</f>
        <v>20220101</v>
      </c>
      <c r="AC71" t="str">
        <f ca="1">CONCATENATE(YEAR( EOMONTH($B$68,(-1*(23+1)))+1 ), IF( MONTH(EOMONTH($B$68,(-1*(23+1)))+1) &lt; 10, "0", "" ), MONTH( EOMONTH($B$68,(-1*(23+1)))+1 ), IF( DAY(EOMONTH($B$68,(-1*(23+1)))+1) &lt; 10, "0", "" ), DAY( EOMONTH($B$68,(-1*(23+1)))+1 ), )</f>
        <v>20211201</v>
      </c>
      <c r="AD71" t="str">
        <f ca="1">CONCATENATE(YEAR( EOMONTH($B$68,(-1*(24+1)))+1 ), IF( MONTH(EOMONTH($B$68,(-1*(24+1)))+1) &lt; 10, "0", "" ), MONTH( EOMONTH($B$68,(-1*(24+1)))+1 ), IF( DAY(EOMONTH($B$68,(-1*(24+1)))+1) &lt; 10, "0", "" ), DAY( EOMONTH($B$68,(-1*(24+1)))+1 ), )</f>
        <v>20211101</v>
      </c>
      <c r="AE71" t="str">
        <f ca="1">CONCATENATE(YEAR( EOMONTH($B$68,(-1*(25+1)))+1 ), IF( MONTH(EOMONTH($B$68,(-1*(25+1)))+1) &lt; 10, "0", "" ), MONTH( EOMONTH($B$68,(-1*(25+1)))+1 ), IF( DAY(EOMONTH($B$68,(-1*(25+1)))+1) &lt; 10, "0", "" ), DAY( EOMONTH($B$68,(-1*(25+1)))+1 ), )</f>
        <v>20211001</v>
      </c>
      <c r="AF71" t="str">
        <f ca="1">CONCATENATE(YEAR( EOMONTH($B$68,(-1*(26+1)))+1 ), IF( MONTH(EOMONTH($B$68,(-1*(26+1)))+1) &lt; 10, "0", "" ), MONTH( EOMONTH($B$68,(-1*(26+1)))+1 ), IF( DAY(EOMONTH($B$68,(-1*(26+1)))+1) &lt; 10, "0", "" ), DAY( EOMONTH($B$68,(-1*(26+1)))+1 ), )</f>
        <v>20210901</v>
      </c>
      <c r="AG71" t="str">
        <f ca="1">CONCATENATE(YEAR( EOMONTH($B$68,(-1*(27+1)))+1 ), IF( MONTH(EOMONTH($B$68,(-1*(27+1)))+1) &lt; 10, "0", "" ), MONTH( EOMONTH($B$68,(-1*(27+1)))+1 ), IF( DAY(EOMONTH($B$68,(-1*(27+1)))+1) &lt; 10, "0", "" ), DAY( EOMONTH($B$68,(-1*(27+1)))+1 ), )</f>
        <v>20210801</v>
      </c>
      <c r="AH71" t="str">
        <f ca="1">CONCATENATE(YEAR( EOMONTH($B$68,(-1*(28+1)))+1 ), IF( MONTH(EOMONTH($B$68,(-1*(28+1)))+1) &lt; 10, "0", "" ), MONTH( EOMONTH($B$68,(-1*(28+1)))+1 ), IF( DAY(EOMONTH($B$68,(-1*(28+1)))+1) &lt; 10, "0", "" ), DAY( EOMONTH($B$68,(-1*(28+1)))+1 ), )</f>
        <v>20210701</v>
      </c>
      <c r="AI71" t="str">
        <f ca="1">CONCATENATE(YEAR( EOMONTH($B$68,(-1*(29+1)))+1 ), IF( MONTH(EOMONTH($B$68,(-1*(29+1)))+1) &lt; 10, "0", "" ), MONTH( EOMONTH($B$68,(-1*(29+1)))+1 ), IF( DAY(EOMONTH($B$68,(-1*(29+1)))+1) &lt; 10, "0", "" ), DAY( EOMONTH($B$68,(-1*(29+1)))+1 ), )</f>
        <v>20210601</v>
      </c>
      <c r="AJ71" t="str">
        <f ca="1">CONCATENATE(YEAR( EOMONTH($B$68,(-1*(30+1)))+1 ), IF( MONTH(EOMONTH($B$68,(-1*(30+1)))+1) &lt; 10, "0", "" ), MONTH( EOMONTH($B$68,(-1*(30+1)))+1 ), IF( DAY(EOMONTH($B$68,(-1*(30+1)))+1) &lt; 10, "0", "" ), DAY( EOMONTH($B$68,(-1*(30+1)))+1 ), )</f>
        <v>20210501</v>
      </c>
      <c r="AK71" t="str">
        <f ca="1">CONCATENATE(YEAR( EOMONTH($B$68,(-1*(31+1)))+1 ), IF( MONTH(EOMONTH($B$68,(-1*(31+1)))+1) &lt; 10, "0", "" ), MONTH( EOMONTH($B$68,(-1*(31+1)))+1 ), IF( DAY(EOMONTH($B$68,(-1*(31+1)))+1) &lt; 10, "0", "" ), DAY( EOMONTH($B$68,(-1*(31+1)))+1 ), )</f>
        <v>20210401</v>
      </c>
      <c r="AL71" t="str">
        <f ca="1">CONCATENATE(YEAR( EOMONTH($B$68,(-1*(32+1)))+1 ), IF( MONTH(EOMONTH($B$68,(-1*(32+1)))+1) &lt; 10, "0", "" ), MONTH( EOMONTH($B$68,(-1*(32+1)))+1 ), IF( DAY(EOMONTH($B$68,(-1*(32+1)))+1) &lt; 10, "0", "" ), DAY( EOMONTH($B$68,(-1*(32+1)))+1 ), )</f>
        <v>20210301</v>
      </c>
      <c r="AM71" t="str">
        <f ca="1">CONCATENATE(YEAR( EOMONTH($B$68,(-1*(33+1)))+1 ), IF( MONTH(EOMONTH($B$68,(-1*(33+1)))+1) &lt; 10, "0", "" ), MONTH( EOMONTH($B$68,(-1*(33+1)))+1 ), IF( DAY(EOMONTH($B$68,(-1*(33+1)))+1) &lt; 10, "0", "" ), DAY( EOMONTH($B$68,(-1*(33+1)))+1 ), )</f>
        <v>20210201</v>
      </c>
      <c r="AN71" t="str">
        <f ca="1">CONCATENATE(YEAR( EOMONTH($B$68,(-1*(34+1)))+1 ), IF( MONTH(EOMONTH($B$68,(-1*(34+1)))+1) &lt; 10, "0", "" ), MONTH( EOMONTH($B$68,(-1*(34+1)))+1 ), IF( DAY(EOMONTH($B$68,(-1*(34+1)))+1) &lt; 10, "0", "" ), DAY( EOMONTH($B$68,(-1*(34+1)))+1 ), )</f>
        <v>20210101</v>
      </c>
      <c r="AO71" t="str">
        <f ca="1">CONCATENATE(YEAR( EOMONTH($B$68,(-1*(35+1)))+1 ), IF( MONTH(EOMONTH($B$68,(-1*(35+1)))+1) &lt; 10, "0", "" ), MONTH( EOMONTH($B$68,(-1*(35+1)))+1 ), IF( DAY(EOMONTH($B$68,(-1*(35+1)))+1) &lt; 10, "0", "" ), DAY( EOMONTH($B$68,(-1*(35+1)))+1 ), )</f>
        <v>20201201</v>
      </c>
      <c r="AP71" t="str">
        <f ca="1">CONCATENATE(YEAR( EOMONTH($B$68,(-1*(36+1)))+1 ), IF( MONTH(EOMONTH($B$68,(-1*(36+1)))+1) &lt; 10, "0", "" ), MONTH( EOMONTH($B$68,(-1*(36+1)))+1 ), IF( DAY(EOMONTH($B$68,(-1*(36+1)))+1) &lt; 10, "0", "" ), DAY( EOMONTH($B$68,(-1*(36+1)))+1 ), )</f>
        <v>20201101</v>
      </c>
      <c r="AQ71" t="str">
        <f ca="1">CONCATENATE(YEAR( EOMONTH($B$68,(-1*(37+1)))+1 ), IF( MONTH(EOMONTH($B$68,(-1*(37+1)))+1) &lt; 10, "0", "" ), MONTH( EOMONTH($B$68,(-1*(37+1)))+1 ), IF( DAY(EOMONTH($B$68,(-1*(37+1)))+1) &lt; 10, "0", "" ), DAY( EOMONTH($B$68,(-1*(37+1)))+1 ), )</f>
        <v>20201001</v>
      </c>
      <c r="AR71" t="str">
        <f ca="1">CONCATENATE(YEAR( EOMONTH($B$68,(-1*(38+1)))+1 ), IF( MONTH(EOMONTH($B$68,(-1*(38+1)))+1) &lt; 10, "0", "" ), MONTH( EOMONTH($B$68,(-1*(38+1)))+1 ), IF( DAY(EOMONTH($B$68,(-1*(38+1)))+1) &lt; 10, "0", "" ), DAY( EOMONTH($B$68,(-1*(38+1)))+1 ), )</f>
        <v>20200901</v>
      </c>
      <c r="AS71" t="str">
        <f ca="1">CONCATENATE(YEAR( EOMONTH($B$68,(-1*(39+1)))+1 ), IF( MONTH(EOMONTH($B$68,(-1*(39+1)))+1) &lt; 10, "0", "" ), MONTH( EOMONTH($B$68,(-1*(39+1)))+1 ), IF( DAY(EOMONTH($B$68,(-1*(39+1)))+1) &lt; 10, "0", "" ), DAY( EOMONTH($B$68,(-1*(39+1)))+1 ), )</f>
        <v>20200801</v>
      </c>
      <c r="AT71" t="str">
        <f ca="1">CONCATENATE(YEAR( EOMONTH($B$68,(-1*(40+1)))+1 ), IF( MONTH(EOMONTH($B$68,(-1*(40+1)))+1) &lt; 10, "0", "" ), MONTH( EOMONTH($B$68,(-1*(40+1)))+1 ), IF( DAY(EOMONTH($B$68,(-1*(40+1)))+1) &lt; 10, "0", "" ), DAY( EOMONTH($B$68,(-1*(40+1)))+1 ), )</f>
        <v>20200701</v>
      </c>
      <c r="AU71" t="str">
        <f ca="1">CONCATENATE(YEAR( EOMONTH($B$68,(-1*(41+1)))+1 ), IF( MONTH(EOMONTH($B$68,(-1*(41+1)))+1) &lt; 10, "0", "" ), MONTH( EOMONTH($B$68,(-1*(41+1)))+1 ), IF( DAY(EOMONTH($B$68,(-1*(41+1)))+1) &lt; 10, "0", "" ), DAY( EOMONTH($B$68,(-1*(41+1)))+1 ), )</f>
        <v>20200601</v>
      </c>
      <c r="AV71" t="str">
        <f ca="1">CONCATENATE(YEAR( EOMONTH($B$68,(-1*(42+1)))+1 ), IF( MONTH(EOMONTH($B$68,(-1*(42+1)))+1) &lt; 10, "0", "" ), MONTH( EOMONTH($B$68,(-1*(42+1)))+1 ), IF( DAY(EOMONTH($B$68,(-1*(42+1)))+1) &lt; 10, "0", "" ), DAY( EOMONTH($B$68,(-1*(42+1)))+1 ), )</f>
        <v>20200501</v>
      </c>
      <c r="AW71" t="str">
        <f ca="1">CONCATENATE(YEAR( EOMONTH($B$68,(-1*(43+1)))+1 ), IF( MONTH(EOMONTH($B$68,(-1*(43+1)))+1) &lt; 10, "0", "" ), MONTH( EOMONTH($B$68,(-1*(43+1)))+1 ), IF( DAY(EOMONTH($B$68,(-1*(43+1)))+1) &lt; 10, "0", "" ), DAY( EOMONTH($B$68,(-1*(43+1)))+1 ), )</f>
        <v>20200401</v>
      </c>
      <c r="AX71" t="str">
        <f ca="1">CONCATENATE(YEAR( EOMONTH($B$68,(-1*(44+1)))+1 ), IF( MONTH(EOMONTH($B$68,(-1*(44+1)))+1) &lt; 10, "0", "" ), MONTH( EOMONTH($B$68,(-1*(44+1)))+1 ), IF( DAY(EOMONTH($B$68,(-1*(44+1)))+1) &lt; 10, "0", "" ), DAY( EOMONTH($B$68,(-1*(44+1)))+1 ), )</f>
        <v>20200301</v>
      </c>
      <c r="AY71" t="str">
        <f ca="1">CONCATENATE(YEAR( EOMONTH($B$68,(-1*(45+1)))+1 ), IF( MONTH(EOMONTH($B$68,(-1*(45+1)))+1) &lt; 10, "0", "" ), MONTH( EOMONTH($B$68,(-1*(45+1)))+1 ), IF( DAY(EOMONTH($B$68,(-1*(45+1)))+1) &lt; 10, "0", "" ), DAY( EOMONTH($B$68,(-1*(45+1)))+1 ), )</f>
        <v>20200201</v>
      </c>
      <c r="AZ71" t="str">
        <f ca="1">CONCATENATE(YEAR( EOMONTH($B$68,(-1*(46+1)))+1 ), IF( MONTH(EOMONTH($B$68,(-1*(46+1)))+1) &lt; 10, "0", "" ), MONTH( EOMONTH($B$68,(-1*(46+1)))+1 ), IF( DAY(EOMONTH($B$68,(-1*(46+1)))+1) &lt; 10, "0", "" ), DAY( EOMONTH($B$68,(-1*(46+1)))+1 ), )</f>
        <v>20200101</v>
      </c>
      <c r="BA71" t="str">
        <f ca="1">CONCATENATE(YEAR( EOMONTH($B$68,(-1*(47+1)))+1 ), IF( MONTH(EOMONTH($B$68,(-1*(47+1)))+1) &lt; 10, "0", "" ), MONTH( EOMONTH($B$68,(-1*(47+1)))+1 ), IF( DAY(EOMONTH($B$68,(-1*(47+1)))+1) &lt; 10, "0", "" ), DAY( EOMONTH($B$68,(-1*(47+1)))+1 ), )</f>
        <v>20191201</v>
      </c>
      <c r="BB71" t="str">
        <f ca="1">CONCATENATE(YEAR( EOMONTH($B$68,(-1*(48+1)))+1 ), IF( MONTH(EOMONTH($B$68,(-1*(48+1)))+1) &lt; 10, "0", "" ), MONTH( EOMONTH($B$68,(-1*(48+1)))+1 ), IF( DAY(EOMONTH($B$68,(-1*(48+1)))+1) &lt; 10, "0", "" ), DAY( EOMONTH($B$68,(-1*(48+1)))+1 ), )</f>
        <v>20191101</v>
      </c>
      <c r="BC71" t="str">
        <f ca="1">CONCATENATE(YEAR( EOMONTH($B$68,(-1*(49+1)))+1 ), IF( MONTH(EOMONTH($B$68,(-1*(49+1)))+1) &lt; 10, "0", "" ), MONTH( EOMONTH($B$68,(-1*(49+1)))+1 ), IF( DAY(EOMONTH($B$68,(-1*(49+1)))+1) &lt; 10, "0", "" ), DAY( EOMONTH($B$68,(-1*(49+1)))+1 ), )</f>
        <v>20191001</v>
      </c>
      <c r="BD71" t="str">
        <f ca="1">CONCATENATE(YEAR( EOMONTH($B$68,(-1*(50+1)))+1 ), IF( MONTH(EOMONTH($B$68,(-1*(50+1)))+1) &lt; 10, "0", "" ), MONTH( EOMONTH($B$68,(-1*(50+1)))+1 ), IF( DAY(EOMONTH($B$68,(-1*(50+1)))+1) &lt; 10, "0", "" ), DAY( EOMONTH($B$68,(-1*(50+1)))+1 ), )</f>
        <v>20190901</v>
      </c>
      <c r="BE71" t="str">
        <f ca="1">CONCATENATE(YEAR( EOMONTH($B$68,(-1*(51+1)))+1 ), IF( MONTH(EOMONTH($B$68,(-1*(51+1)))+1) &lt; 10, "0", "" ), MONTH( EOMONTH($B$68,(-1*(51+1)))+1 ), IF( DAY(EOMONTH($B$68,(-1*(51+1)))+1) &lt; 10, "0", "" ), DAY( EOMONTH($B$68,(-1*(51+1)))+1 ), )</f>
        <v>20190801</v>
      </c>
      <c r="BF71" t="str">
        <f ca="1">CONCATENATE(YEAR( EOMONTH($B$68,(-1*(52+1)))+1 ), IF( MONTH(EOMONTH($B$68,(-1*(52+1)))+1) &lt; 10, "0", "" ), MONTH( EOMONTH($B$68,(-1*(52+1)))+1 ), IF( DAY(EOMONTH($B$68,(-1*(52+1)))+1) &lt; 10, "0", "" ), DAY( EOMONTH($B$68,(-1*(52+1)))+1 ), )</f>
        <v>20190701</v>
      </c>
      <c r="BG71" t="str">
        <f ca="1">CONCATENATE(YEAR( EOMONTH($B$68,(-1*(53+1)))+1 ), IF( MONTH(EOMONTH($B$68,(-1*(53+1)))+1) &lt; 10, "0", "" ), MONTH( EOMONTH($B$68,(-1*(53+1)))+1 ), IF( DAY(EOMONTH($B$68,(-1*(53+1)))+1) &lt; 10, "0", "" ), DAY( EOMONTH($B$68,(-1*(53+1)))+1 ), )</f>
        <v>20190601</v>
      </c>
      <c r="BH71" t="str">
        <f ca="1">CONCATENATE(YEAR( EOMONTH($B$68,(-1*(54+1)))+1 ), IF( MONTH(EOMONTH($B$68,(-1*(54+1)))+1) &lt; 10, "0", "" ), MONTH( EOMONTH($B$68,(-1*(54+1)))+1 ), IF( DAY(EOMONTH($B$68,(-1*(54+1)))+1) &lt; 10, "0", "" ), DAY( EOMONTH($B$68,(-1*(54+1)))+1 ), )</f>
        <v>20190501</v>
      </c>
      <c r="BI71" t="str">
        <f ca="1">CONCATENATE(YEAR( EOMONTH($B$68,(-1*(55+1)))+1 ), IF( MONTH(EOMONTH($B$68,(-1*(55+1)))+1) &lt; 10, "0", "" ), MONTH( EOMONTH($B$68,(-1*(55+1)))+1 ), IF( DAY(EOMONTH($B$68,(-1*(55+1)))+1) &lt; 10, "0", "" ), DAY( EOMONTH($B$68,(-1*(55+1)))+1 ), )</f>
        <v>20190401</v>
      </c>
      <c r="BJ71" t="str">
        <f ca="1">CONCATENATE(YEAR( EOMONTH($B$68,(-1*(56+1)))+1 ), IF( MONTH(EOMONTH($B$68,(-1*(56+1)))+1) &lt; 10, "0", "" ), MONTH( EOMONTH($B$68,(-1*(56+1)))+1 ), IF( DAY(EOMONTH($B$68,(-1*(56+1)))+1) &lt; 10, "0", "" ), DAY( EOMONTH($B$68,(-1*(56+1)))+1 ), )</f>
        <v>20190301</v>
      </c>
      <c r="BK71" t="str">
        <f ca="1">CONCATENATE(YEAR( EOMONTH($B$68,(-1*(57+1)))+1 ), IF( MONTH(EOMONTH($B$68,(-1*(57+1)))+1) &lt; 10, "0", "" ), MONTH( EOMONTH($B$68,(-1*(57+1)))+1 ), IF( DAY(EOMONTH($B$68,(-1*(57+1)))+1) &lt; 10, "0", "" ), DAY( EOMONTH($B$68,(-1*(57+1)))+1 ), )</f>
        <v>20190201</v>
      </c>
      <c r="BL71" t="str">
        <f ca="1">CONCATENATE(YEAR( EOMONTH($B$68,(-1*(58+1)))+1 ), IF( MONTH(EOMONTH($B$68,(-1*(58+1)))+1) &lt; 10, "0", "" ), MONTH( EOMONTH($B$68,(-1*(58+1)))+1 ), IF( DAY(EOMONTH($B$68,(-1*(58+1)))+1) &lt; 10, "0", "" ), DAY( EOMONTH($B$68,(-1*(58+1)))+1 ), )</f>
        <v>20190101</v>
      </c>
      <c r="BM71" t="str">
        <f ca="1">CONCATENATE(YEAR( EOMONTH($B$68,(-1*(59+1)))+1 ), IF( MONTH(EOMONTH($B$68,(-1*(59+1)))+1) &lt; 10, "0", "" ), MONTH( EOMONTH($B$68,(-1*(59+1)))+1 ), IF( DAY(EOMONTH($B$68,(-1*(59+1)))+1) &lt; 10, "0", "" ), DAY( EOMONTH($B$68,(-1*(59+1)))+1 ), )</f>
        <v>20181201</v>
      </c>
      <c r="BN71" t="str">
        <f ca="1">CONCATENATE(YEAR( EOMONTH($B$68,(-1*(60+1)))+1 ), IF( MONTH(EOMONTH($B$68,(-1*(60+1)))+1) &lt; 10, "0", "" ), MONTH( EOMONTH($B$68,(-1*(60+1)))+1 ), IF( DAY(EOMONTH($B$68,(-1*(60+1)))+1) &lt; 10, "0", "" ), DAY( EOMONTH($B$68,(-1*(60+1)))+1 ), )</f>
        <v>20181101</v>
      </c>
      <c r="BO71" t="str">
        <f ca="1">CONCATENATE(YEAR( EOMONTH($B$68,(-1*(61+1)))+1 ), IF( MONTH(EOMONTH($B$68,(-1*(61+1)))+1) &lt; 10, "0", "" ), MONTH( EOMONTH($B$68,(-1*(61+1)))+1 ), IF( DAY(EOMONTH($B$68,(-1*(61+1)))+1) &lt; 10, "0", "" ), DAY( EOMONTH($B$68,(-1*(61+1)))+1 ), )</f>
        <v>20181001</v>
      </c>
      <c r="BP71" t="str">
        <f ca="1">CONCATENATE(YEAR( EOMONTH($B$68,(-1*(62+1)))+1 ), IF( MONTH(EOMONTH($B$68,(-1*(62+1)))+1) &lt; 10, "0", "" ), MONTH( EOMONTH($B$68,(-1*(62+1)))+1 ), IF( DAY(EOMONTH($B$68,(-1*(62+1)))+1) &lt; 10, "0", "" ), DAY( EOMONTH($B$68,(-1*(62+1)))+1 ), )</f>
        <v>20180901</v>
      </c>
      <c r="BQ71" t="str">
        <f ca="1">CONCATENATE(YEAR( EOMONTH($B$68,(-1*(63+1)))+1 ), IF( MONTH(EOMONTH($B$68,(-1*(63+1)))+1) &lt; 10, "0", "" ), MONTH( EOMONTH($B$68,(-1*(63+1)))+1 ), IF( DAY(EOMONTH($B$68,(-1*(63+1)))+1) &lt; 10, "0", "" ), DAY( EOMONTH($B$68,(-1*(63+1)))+1 ), )</f>
        <v>20180801</v>
      </c>
      <c r="BR71" t="str">
        <f ca="1">CONCATENATE(YEAR( EOMONTH($B$68,(-1*(64+1)))+1 ), IF( MONTH(EOMONTH($B$68,(-1*(64+1)))+1) &lt; 10, "0", "" ), MONTH( EOMONTH($B$68,(-1*(64+1)))+1 ), IF( DAY(EOMONTH($B$68,(-1*(64+1)))+1) &lt; 10, "0", "" ), DAY( EOMONTH($B$68,(-1*(64+1)))+1 ), )</f>
        <v>20180701</v>
      </c>
      <c r="BS71" t="str">
        <f ca="1">CONCATENATE(YEAR( EOMONTH($B$68,(-1*(65+1)))+1 ), IF( MONTH(EOMONTH($B$68,(-1*(65+1)))+1) &lt; 10, "0", "" ), MONTH( EOMONTH($B$68,(-1*(65+1)))+1 ), IF( DAY(EOMONTH($B$68,(-1*(65+1)))+1) &lt; 10, "0", "" ), DAY( EOMONTH($B$68,(-1*(65+1)))+1 ), )</f>
        <v>20180601</v>
      </c>
      <c r="BT71" t="str">
        <f ca="1">CONCATENATE(YEAR( EOMONTH($B$68,(-1*(66+1)))+1 ), IF( MONTH(EOMONTH($B$68,(-1*(66+1)))+1) &lt; 10, "0", "" ), MONTH( EOMONTH($B$68,(-1*(66+1)))+1 ), IF( DAY(EOMONTH($B$68,(-1*(66+1)))+1) &lt; 10, "0", "" ), DAY( EOMONTH($B$68,(-1*(66+1)))+1 ), )</f>
        <v>20180501</v>
      </c>
      <c r="BU71" t="str">
        <f ca="1">CONCATENATE(YEAR( EOMONTH($B$68,(-1*(67+1)))+1 ), IF( MONTH(EOMONTH($B$68,(-1*(67+1)))+1) &lt; 10, "0", "" ), MONTH( EOMONTH($B$68,(-1*(67+1)))+1 ), IF( DAY(EOMONTH($B$68,(-1*(67+1)))+1) &lt; 10, "0", "" ), DAY( EOMONTH($B$68,(-1*(67+1)))+1 ), )</f>
        <v>20180401</v>
      </c>
      <c r="BV71" t="str">
        <f ca="1">CONCATENATE(YEAR( EOMONTH($B$68,(-1*(68+1)))+1 ), IF( MONTH(EOMONTH($B$68,(-1*(68+1)))+1) &lt; 10, "0", "" ), MONTH( EOMONTH($B$68,(-1*(68+1)))+1 ), IF( DAY(EOMONTH($B$68,(-1*(68+1)))+1) &lt; 10, "0", "" ), DAY( EOMONTH($B$68,(-1*(68+1)))+1 ), )</f>
        <v>20180301</v>
      </c>
      <c r="BW71" t="str">
        <f ca="1">CONCATENATE(YEAR( EOMONTH($B$68,(-1*(69+1)))+1 ), IF( MONTH(EOMONTH($B$68,(-1*(69+1)))+1) &lt; 10, "0", "" ), MONTH( EOMONTH($B$68,(-1*(69+1)))+1 ), IF( DAY(EOMONTH($B$68,(-1*(69+1)))+1) &lt; 10, "0", "" ), DAY( EOMONTH($B$68,(-1*(69+1)))+1 ), )</f>
        <v>20180201</v>
      </c>
      <c r="BX71" t="str">
        <f ca="1">CONCATENATE(YEAR( EOMONTH($B$68,(-1*(70+1)))+1 ), IF( MONTH(EOMONTH($B$68,(-1*(70+1)))+1) &lt; 10, "0", "" ), MONTH( EOMONTH($B$68,(-1*(70+1)))+1 ), IF( DAY(EOMONTH($B$68,(-1*(70+1)))+1) &lt; 10, "0", "" ), DAY( EOMONTH($B$68,(-1*(70+1)))+1 ), )</f>
        <v>20180101</v>
      </c>
      <c r="BY71" t="str">
        <f ca="1">CONCATENATE(YEAR( EOMONTH($B$68,(-1*(71+1)))+1 ), IF( MONTH(EOMONTH($B$68,(-1*(71+1)))+1) &lt; 10, "0", "" ), MONTH( EOMONTH($B$68,(-1*(71+1)))+1 ), IF( DAY(EOMONTH($B$68,(-1*(71+1)))+1) &lt; 10, "0", "" ), DAY( EOMONTH($B$68,(-1*(71+1)))+1 ), )</f>
        <v>20171201</v>
      </c>
      <c r="BZ71" t="str">
        <f ca="1">CONCATENATE(YEAR( EOMONTH($B$68,(-1*(72+1)))+1 ), IF( MONTH(EOMONTH($B$68,(-1*(72+1)))+1) &lt; 10, "0", "" ), MONTH( EOMONTH($B$68,(-1*(72+1)))+1 ), IF( DAY(EOMONTH($B$68,(-1*(72+1)))+1) &lt; 10, "0", "" ), DAY( EOMONTH($B$68,(-1*(72+1)))+1 ), )</f>
        <v>20171101</v>
      </c>
      <c r="CA71" t="str">
        <f ca="1">CONCATENATE(YEAR( EOMONTH($B$68,(-1*(73+1)))+1 ), IF( MONTH(EOMONTH($B$68,(-1*(73+1)))+1) &lt; 10, "0", "" ), MONTH( EOMONTH($B$68,(-1*(73+1)))+1 ), IF( DAY(EOMONTH($B$68,(-1*(73+1)))+1) &lt; 10, "0", "" ), DAY( EOMONTH($B$68,(-1*(73+1)))+1 ), )</f>
        <v>20171001</v>
      </c>
      <c r="CB71" t="str">
        <f ca="1">CONCATENATE(YEAR( EOMONTH($B$68,(-1*(74+1)))+1 ), IF( MONTH(EOMONTH($B$68,(-1*(74+1)))+1) &lt; 10, "0", "" ), MONTH( EOMONTH($B$68,(-1*(74+1)))+1 ), IF( DAY(EOMONTH($B$68,(-1*(74+1)))+1) &lt; 10, "0", "" ), DAY( EOMONTH($B$68,(-1*(74+1)))+1 ), )</f>
        <v>20170901</v>
      </c>
      <c r="CC71" t="str">
        <f ca="1">CONCATENATE(YEAR( EOMONTH($B$68,(-1*(75+1)))+1 ), IF( MONTH(EOMONTH($B$68,(-1*(75+1)))+1) &lt; 10, "0", "" ), MONTH( EOMONTH($B$68,(-1*(75+1)))+1 ), IF( DAY(EOMONTH($B$68,(-1*(75+1)))+1) &lt; 10, "0", "" ), DAY( EOMONTH($B$68,(-1*(75+1)))+1 ), )</f>
        <v>20170801</v>
      </c>
      <c r="CD71" t="str">
        <f ca="1">CONCATENATE(YEAR( EOMONTH($B$68,(-1*(76+1)))+1 ), IF( MONTH(EOMONTH($B$68,(-1*(76+1)))+1) &lt; 10, "0", "" ), MONTH( EOMONTH($B$68,(-1*(76+1)))+1 ), IF( DAY(EOMONTH($B$68,(-1*(76+1)))+1) &lt; 10, "0", "" ), DAY( EOMONTH($B$68,(-1*(76+1)))+1 ), )</f>
        <v>20170701</v>
      </c>
      <c r="CE71" t="str">
        <f ca="1">CONCATENATE(YEAR( EOMONTH($B$68,(-1*(77+1)))+1 ), IF( MONTH(EOMONTH($B$68,(-1*(77+1)))+1) &lt; 10, "0", "" ), MONTH( EOMONTH($B$68,(-1*(77+1)))+1 ), IF( DAY(EOMONTH($B$68,(-1*(77+1)))+1) &lt; 10, "0", "" ), DAY( EOMONTH($B$68,(-1*(77+1)))+1 ), )</f>
        <v>20170601</v>
      </c>
      <c r="CF71" t="str">
        <f ca="1">CONCATENATE(YEAR( EOMONTH($B$68,(-1*(78+1)))+1 ), IF( MONTH(EOMONTH($B$68,(-1*(78+1)))+1) &lt; 10, "0", "" ), MONTH( EOMONTH($B$68,(-1*(78+1)))+1 ), IF( DAY(EOMONTH($B$68,(-1*(78+1)))+1) &lt; 10, "0", "" ), DAY( EOMONTH($B$68,(-1*(78+1)))+1 ), )</f>
        <v>20170501</v>
      </c>
      <c r="CG71" t="str">
        <f ca="1">CONCATENATE(YEAR( EOMONTH($B$68,(-1*(79+1)))+1 ), IF( MONTH(EOMONTH($B$68,(-1*(79+1)))+1) &lt; 10, "0", "" ), MONTH( EOMONTH($B$68,(-1*(79+1)))+1 ), IF( DAY(EOMONTH($B$68,(-1*(79+1)))+1) &lt; 10, "0", "" ), DAY( EOMONTH($B$68,(-1*(79+1)))+1 ), )</f>
        <v>20170401</v>
      </c>
      <c r="CH71" t="str">
        <f ca="1">CONCATENATE(YEAR( EOMONTH($B$68,(-1*(80+1)))+1 ), IF( MONTH(EOMONTH($B$68,(-1*(80+1)))+1) &lt; 10, "0", "" ), MONTH( EOMONTH($B$68,(-1*(80+1)))+1 ), IF( DAY(EOMONTH($B$68,(-1*(80+1)))+1) &lt; 10, "0", "" ), DAY( EOMONTH($B$68,(-1*(80+1)))+1 ), )</f>
        <v>20170301</v>
      </c>
      <c r="CI71" t="str">
        <f ca="1">CONCATENATE(YEAR( EOMONTH($B$68,(-1*(81+1)))+1 ), IF( MONTH(EOMONTH($B$68,(-1*(81+1)))+1) &lt; 10, "0", "" ), MONTH( EOMONTH($B$68,(-1*(81+1)))+1 ), IF( DAY(EOMONTH($B$68,(-1*(81+1)))+1) &lt; 10, "0", "" ), DAY( EOMONTH($B$68,(-1*(81+1)))+1 ), )</f>
        <v>20170201</v>
      </c>
      <c r="CJ71" t="str">
        <f ca="1">CONCATENATE(YEAR( EOMONTH($B$68,(-1*(82+1)))+1 ), IF( MONTH(EOMONTH($B$68,(-1*(82+1)))+1) &lt; 10, "0", "" ), MONTH( EOMONTH($B$68,(-1*(82+1)))+1 ), IF( DAY(EOMONTH($B$68,(-1*(82+1)))+1) &lt; 10, "0", "" ), DAY( EOMONTH($B$68,(-1*(82+1)))+1 ), )</f>
        <v>20170101</v>
      </c>
      <c r="CK71" t="str">
        <f ca="1">CONCATENATE(YEAR( EOMONTH($B$68,(-1*(83+1)))+1 ), IF( MONTH(EOMONTH($B$68,(-1*(83+1)))+1) &lt; 10, "0", "" ), MONTH( EOMONTH($B$68,(-1*(83+1)))+1 ), IF( DAY(EOMONTH($B$68,(-1*(83+1)))+1) &lt; 10, "0", "" ), DAY( EOMONTH($B$68,(-1*(83+1)))+1 ), )</f>
        <v>20161201</v>
      </c>
      <c r="CL71" t="str">
        <f>""</f>
        <v/>
      </c>
      <c r="CM71" t="str">
        <f>""</f>
        <v/>
      </c>
      <c r="CN71" t="str">
        <f>""</f>
        <v/>
      </c>
      <c r="CO71" t="str">
        <f>""</f>
        <v/>
      </c>
      <c r="CP71" t="str">
        <f>""</f>
        <v/>
      </c>
      <c r="CQ71" t="str">
        <f>""</f>
        <v/>
      </c>
      <c r="CR71" t="str">
        <f>""</f>
        <v/>
      </c>
      <c r="CS71" t="str">
        <f>""</f>
        <v/>
      </c>
      <c r="CT71" t="str">
        <f>""</f>
        <v/>
      </c>
      <c r="CU71" t="str">
        <f>""</f>
        <v/>
      </c>
      <c r="CV71" t="str">
        <f>""</f>
        <v/>
      </c>
      <c r="CW71" t="str">
        <f>""</f>
        <v/>
      </c>
      <c r="CX71" t="str">
        <f>""</f>
        <v/>
      </c>
      <c r="CY71" t="str">
        <f>""</f>
        <v/>
      </c>
      <c r="CZ71" t="str">
        <f>""</f>
        <v/>
      </c>
      <c r="DA71" t="str">
        <f>""</f>
        <v/>
      </c>
      <c r="DB71" t="str">
        <f>""</f>
        <v/>
      </c>
      <c r="DC71" t="str">
        <f>""</f>
        <v/>
      </c>
      <c r="DD71" t="str">
        <f>""</f>
        <v/>
      </c>
      <c r="DE71" t="str">
        <f>""</f>
        <v/>
      </c>
      <c r="DF71" t="str">
        <f>""</f>
        <v/>
      </c>
      <c r="DG71" t="str">
        <f>""</f>
        <v/>
      </c>
      <c r="DH71" t="str">
        <f>""</f>
        <v/>
      </c>
      <c r="DI71" t="str">
        <f>""</f>
        <v/>
      </c>
      <c r="DJ71" t="str">
        <f>""</f>
        <v/>
      </c>
      <c r="DK71" t="str">
        <f>""</f>
        <v/>
      </c>
      <c r="DL71" t="str">
        <f>""</f>
        <v/>
      </c>
      <c r="DM71" t="str">
        <f>""</f>
        <v/>
      </c>
      <c r="DN71" t="str">
        <f>""</f>
        <v/>
      </c>
      <c r="DO71" t="str">
        <f>""</f>
        <v/>
      </c>
      <c r="DP71" t="str">
        <f>""</f>
        <v/>
      </c>
      <c r="DQ71" t="str">
        <f>""</f>
        <v/>
      </c>
      <c r="DR71" t="str">
        <f>""</f>
        <v/>
      </c>
      <c r="DS71" t="str">
        <f>""</f>
        <v/>
      </c>
      <c r="DT71" t="str">
        <f>""</f>
        <v/>
      </c>
      <c r="DU71" t="str">
        <f>""</f>
        <v/>
      </c>
      <c r="DV71" t="str">
        <f>""</f>
        <v/>
      </c>
      <c r="DW71" t="str">
        <f>""</f>
        <v/>
      </c>
      <c r="DX71" t="str">
        <f>""</f>
        <v/>
      </c>
      <c r="DY71" t="str">
        <f>""</f>
        <v/>
      </c>
      <c r="DZ71" t="str">
        <f>""</f>
        <v/>
      </c>
      <c r="EA71" t="str">
        <f>""</f>
        <v/>
      </c>
      <c r="EB71" t="str">
        <f>""</f>
        <v/>
      </c>
      <c r="EC71" t="str">
        <f>""</f>
        <v/>
      </c>
      <c r="ED71" t="str">
        <f>""</f>
        <v/>
      </c>
      <c r="EE71" t="str">
        <f>""</f>
        <v/>
      </c>
      <c r="EF71" t="str">
        <f>""</f>
        <v/>
      </c>
      <c r="EG71" t="str">
        <f>""</f>
        <v/>
      </c>
      <c r="EH71" t="str">
        <f>""</f>
        <v/>
      </c>
      <c r="EI71" t="str">
        <f>""</f>
        <v/>
      </c>
      <c r="EJ71" t="str">
        <f>""</f>
        <v/>
      </c>
      <c r="EK71" t="str">
        <f>""</f>
        <v/>
      </c>
      <c r="EL71" t="str">
        <f>""</f>
        <v/>
      </c>
      <c r="EM71" t="str">
        <f>""</f>
        <v/>
      </c>
      <c r="EN71" t="str">
        <f>""</f>
        <v/>
      </c>
      <c r="EO71" t="str">
        <f>""</f>
        <v/>
      </c>
      <c r="EP71" t="str">
        <f>""</f>
        <v/>
      </c>
      <c r="EQ71" t="str">
        <f>""</f>
        <v/>
      </c>
      <c r="ER71" t="str">
        <f>""</f>
        <v/>
      </c>
      <c r="ES71" t="str">
        <f>""</f>
        <v/>
      </c>
      <c r="ET71" t="str">
        <f>""</f>
        <v/>
      </c>
      <c r="EU71" t="str">
        <f>""</f>
        <v/>
      </c>
      <c r="EV71" t="str">
        <f>""</f>
        <v/>
      </c>
      <c r="EW71" t="str">
        <f>""</f>
        <v/>
      </c>
      <c r="EX71" t="str">
        <f>""</f>
        <v/>
      </c>
      <c r="EY71" t="str">
        <f>""</f>
        <v/>
      </c>
      <c r="EZ71" t="str">
        <f>""</f>
        <v/>
      </c>
      <c r="FA71" t="str">
        <f>""</f>
        <v/>
      </c>
      <c r="FB71" t="str">
        <f>""</f>
        <v/>
      </c>
      <c r="FC71" t="str">
        <f>""</f>
        <v/>
      </c>
      <c r="FD71" t="str">
        <f>""</f>
        <v/>
      </c>
      <c r="FE71" t="str">
        <f>""</f>
        <v/>
      </c>
      <c r="FF71" t="str">
        <f>""</f>
        <v/>
      </c>
      <c r="FG71" t="str">
        <f>""</f>
        <v/>
      </c>
      <c r="FH71" t="str">
        <f>""</f>
        <v/>
      </c>
      <c r="FI71" t="str">
        <f>""</f>
        <v/>
      </c>
      <c r="FJ71" t="str">
        <f>""</f>
        <v/>
      </c>
      <c r="FK71" t="str">
        <f>""</f>
        <v/>
      </c>
      <c r="FL71" t="str">
        <f>""</f>
        <v/>
      </c>
      <c r="FM71" t="str">
        <f>""</f>
        <v/>
      </c>
      <c r="FN71" t="str">
        <f>""</f>
        <v/>
      </c>
      <c r="FO71" t="str">
        <f>""</f>
        <v/>
      </c>
      <c r="FP71" t="str">
        <f>""</f>
        <v/>
      </c>
      <c r="FQ71" t="str">
        <f>""</f>
        <v/>
      </c>
    </row>
    <row r="72" spans="1:173" x14ac:dyDescent="0.25">
      <c r="A72" t="str">
        <f>"Period End"</f>
        <v>Period End</v>
      </c>
      <c r="C72" t="str">
        <f>"PX392"</f>
        <v>PX392</v>
      </c>
      <c r="D72" t="str">
        <f>"END_DATE_OVERRIDE"</f>
        <v>END_DATE_OVERRIDE</v>
      </c>
      <c r="E72" t="str">
        <f t="shared" si="9"/>
        <v>Dynamic</v>
      </c>
      <c r="F72" t="str">
        <f ca="1">CONCATENATE(YEAR( EOMONTH($B$68,(-1*0)) ), IF( MONTH(EOMONTH($B$68,(-1*0))) &lt; 10, "0", "" ), MONTH( EOMONTH($B$68,(-1*0)) ), IF( DAY(EOMONTH($B$68,(-1*0))) &lt; 10, "0", "" ), DAY( EOMONTH($B$68,(-1*0)) ), )</f>
        <v>20231130</v>
      </c>
      <c r="G72" t="str">
        <f ca="1">CONCATENATE(YEAR( EOMONTH($B$68,(-1*1)) ), IF( MONTH(EOMONTH($B$68,(-1*1))) &lt; 10, "0", "" ), MONTH( EOMONTH($B$68,(-1*1)) ), IF( DAY(EOMONTH($B$68,(-1*1))) &lt; 10, "0", "" ), DAY( EOMONTH($B$68,(-1*1)) ), )</f>
        <v>20231031</v>
      </c>
      <c r="H72" t="str">
        <f ca="1">CONCATENATE(YEAR( EOMONTH($B$68,(-1*2)) ), IF( MONTH(EOMONTH($B$68,(-1*2))) &lt; 10, "0", "" ), MONTH( EOMONTH($B$68,(-1*2)) ), IF( DAY(EOMONTH($B$68,(-1*2))) &lt; 10, "0", "" ), DAY( EOMONTH($B$68,(-1*2)) ), )</f>
        <v>20230930</v>
      </c>
      <c r="I72" t="str">
        <f ca="1">CONCATENATE(YEAR( EOMONTH($B$68,(-1*3)) ), IF( MONTH(EOMONTH($B$68,(-1*3))) &lt; 10, "0", "" ), MONTH( EOMONTH($B$68,(-1*3)) ), IF( DAY(EOMONTH($B$68,(-1*3))) &lt; 10, "0", "" ), DAY( EOMONTH($B$68,(-1*3)) ), )</f>
        <v>20230831</v>
      </c>
      <c r="J72" t="str">
        <f ca="1">CONCATENATE(YEAR( EOMONTH($B$68,(-1*4)) ), IF( MONTH(EOMONTH($B$68,(-1*4))) &lt; 10, "0", "" ), MONTH( EOMONTH($B$68,(-1*4)) ), IF( DAY(EOMONTH($B$68,(-1*4))) &lt; 10, "0", "" ), DAY( EOMONTH($B$68,(-1*4)) ), )</f>
        <v>20230731</v>
      </c>
      <c r="K72" t="str">
        <f ca="1">CONCATENATE(YEAR( EOMONTH($B$68,(-1*5)) ), IF( MONTH(EOMONTH($B$68,(-1*5))) &lt; 10, "0", "" ), MONTH( EOMONTH($B$68,(-1*5)) ), IF( DAY(EOMONTH($B$68,(-1*5))) &lt; 10, "0", "" ), DAY( EOMONTH($B$68,(-1*5)) ), )</f>
        <v>20230630</v>
      </c>
      <c r="L72" t="str">
        <f ca="1">CONCATENATE(YEAR( EOMONTH($B$68,(-1*6)) ), IF( MONTH(EOMONTH($B$68,(-1*6))) &lt; 10, "0", "" ), MONTH( EOMONTH($B$68,(-1*6)) ), IF( DAY(EOMONTH($B$68,(-1*6))) &lt; 10, "0", "" ), DAY( EOMONTH($B$68,(-1*6)) ), )</f>
        <v>20230531</v>
      </c>
      <c r="M72" t="str">
        <f ca="1">CONCATENATE(YEAR( EOMONTH($B$68,(-1*7)) ), IF( MONTH(EOMONTH($B$68,(-1*7))) &lt; 10, "0", "" ), MONTH( EOMONTH($B$68,(-1*7)) ), IF( DAY(EOMONTH($B$68,(-1*7))) &lt; 10, "0", "" ), DAY( EOMONTH($B$68,(-1*7)) ), )</f>
        <v>20230430</v>
      </c>
      <c r="N72" t="str">
        <f ca="1">CONCATENATE(YEAR( EOMONTH($B$68,(-1*8)) ), IF( MONTH(EOMONTH($B$68,(-1*8))) &lt; 10, "0", "" ), MONTH( EOMONTH($B$68,(-1*8)) ), IF( DAY(EOMONTH($B$68,(-1*8))) &lt; 10, "0", "" ), DAY( EOMONTH($B$68,(-1*8)) ), )</f>
        <v>20230331</v>
      </c>
      <c r="O72" t="str">
        <f ca="1">CONCATENATE(YEAR( EOMONTH($B$68,(-1*9)) ), IF( MONTH(EOMONTH($B$68,(-1*9))) &lt; 10, "0", "" ), MONTH( EOMONTH($B$68,(-1*9)) ), IF( DAY(EOMONTH($B$68,(-1*9))) &lt; 10, "0", "" ), DAY( EOMONTH($B$68,(-1*9)) ), )</f>
        <v>20230228</v>
      </c>
      <c r="P72" t="str">
        <f ca="1">CONCATENATE(YEAR( EOMONTH($B$68,(-1*10)) ), IF( MONTH(EOMONTH($B$68,(-1*10))) &lt; 10, "0", "" ), MONTH( EOMONTH($B$68,(-1*10)) ), IF( DAY(EOMONTH($B$68,(-1*10))) &lt; 10, "0", "" ), DAY( EOMONTH($B$68,(-1*10)) ), )</f>
        <v>20230131</v>
      </c>
      <c r="Q72" t="str">
        <f ca="1">CONCATENATE(YEAR( EOMONTH($B$68,(-1*11)) ), IF( MONTH(EOMONTH($B$68,(-1*11))) &lt; 10, "0", "" ), MONTH( EOMONTH($B$68,(-1*11)) ), IF( DAY(EOMONTH($B$68,(-1*11))) &lt; 10, "0", "" ), DAY( EOMONTH($B$68,(-1*11)) ), )</f>
        <v>20221231</v>
      </c>
      <c r="R72" t="str">
        <f ca="1">CONCATENATE(YEAR( EOMONTH($B$68,(-1*12)) ), IF( MONTH(EOMONTH($B$68,(-1*12))) &lt; 10, "0", "" ), MONTH( EOMONTH($B$68,(-1*12)) ), IF( DAY(EOMONTH($B$68,(-1*12))) &lt; 10, "0", "" ), DAY( EOMONTH($B$68,(-1*12)) ), )</f>
        <v>20221130</v>
      </c>
      <c r="S72" t="str">
        <f ca="1">CONCATENATE(YEAR( EOMONTH($B$68,(-1*13)) ), IF( MONTH(EOMONTH($B$68,(-1*13))) &lt; 10, "0", "" ), MONTH( EOMONTH($B$68,(-1*13)) ), IF( DAY(EOMONTH($B$68,(-1*13))) &lt; 10, "0", "" ), DAY( EOMONTH($B$68,(-1*13)) ), )</f>
        <v>20221031</v>
      </c>
      <c r="T72" t="str">
        <f ca="1">CONCATENATE(YEAR( EOMONTH($B$68,(-1*14)) ), IF( MONTH(EOMONTH($B$68,(-1*14))) &lt; 10, "0", "" ), MONTH( EOMONTH($B$68,(-1*14)) ), IF( DAY(EOMONTH($B$68,(-1*14))) &lt; 10, "0", "" ), DAY( EOMONTH($B$68,(-1*14)) ), )</f>
        <v>20220930</v>
      </c>
      <c r="U72" t="str">
        <f ca="1">CONCATENATE(YEAR( EOMONTH($B$68,(-1*15)) ), IF( MONTH(EOMONTH($B$68,(-1*15))) &lt; 10, "0", "" ), MONTH( EOMONTH($B$68,(-1*15)) ), IF( DAY(EOMONTH($B$68,(-1*15))) &lt; 10, "0", "" ), DAY( EOMONTH($B$68,(-1*15)) ), )</f>
        <v>20220831</v>
      </c>
      <c r="V72" t="str">
        <f ca="1">CONCATENATE(YEAR( EOMONTH($B$68,(-1*16)) ), IF( MONTH(EOMONTH($B$68,(-1*16))) &lt; 10, "0", "" ), MONTH( EOMONTH($B$68,(-1*16)) ), IF( DAY(EOMONTH($B$68,(-1*16))) &lt; 10, "0", "" ), DAY( EOMONTH($B$68,(-1*16)) ), )</f>
        <v>20220731</v>
      </c>
      <c r="W72" t="str">
        <f ca="1">CONCATENATE(YEAR( EOMONTH($B$68,(-1*17)) ), IF( MONTH(EOMONTH($B$68,(-1*17))) &lt; 10, "0", "" ), MONTH( EOMONTH($B$68,(-1*17)) ), IF( DAY(EOMONTH($B$68,(-1*17))) &lt; 10, "0", "" ), DAY( EOMONTH($B$68,(-1*17)) ), )</f>
        <v>20220630</v>
      </c>
      <c r="X72" t="str">
        <f ca="1">CONCATENATE(YEAR( EOMONTH($B$68,(-1*18)) ), IF( MONTH(EOMONTH($B$68,(-1*18))) &lt; 10, "0", "" ), MONTH( EOMONTH($B$68,(-1*18)) ), IF( DAY(EOMONTH($B$68,(-1*18))) &lt; 10, "0", "" ), DAY( EOMONTH($B$68,(-1*18)) ), )</f>
        <v>20220531</v>
      </c>
      <c r="Y72" t="str">
        <f ca="1">CONCATENATE(YEAR( EOMONTH($B$68,(-1*19)) ), IF( MONTH(EOMONTH($B$68,(-1*19))) &lt; 10, "0", "" ), MONTH( EOMONTH($B$68,(-1*19)) ), IF( DAY(EOMONTH($B$68,(-1*19))) &lt; 10, "0", "" ), DAY( EOMONTH($B$68,(-1*19)) ), )</f>
        <v>20220430</v>
      </c>
      <c r="Z72" t="str">
        <f ca="1">CONCATENATE(YEAR( EOMONTH($B$68,(-1*20)) ), IF( MONTH(EOMONTH($B$68,(-1*20))) &lt; 10, "0", "" ), MONTH( EOMONTH($B$68,(-1*20)) ), IF( DAY(EOMONTH($B$68,(-1*20))) &lt; 10, "0", "" ), DAY( EOMONTH($B$68,(-1*20)) ), )</f>
        <v>20220331</v>
      </c>
      <c r="AA72" t="str">
        <f ca="1">CONCATENATE(YEAR( EOMONTH($B$68,(-1*21)) ), IF( MONTH(EOMONTH($B$68,(-1*21))) &lt; 10, "0", "" ), MONTH( EOMONTH($B$68,(-1*21)) ), IF( DAY(EOMONTH($B$68,(-1*21))) &lt; 10, "0", "" ), DAY( EOMONTH($B$68,(-1*21)) ), )</f>
        <v>20220228</v>
      </c>
      <c r="AB72" t="str">
        <f ca="1">CONCATENATE(YEAR( EOMONTH($B$68,(-1*22)) ), IF( MONTH(EOMONTH($B$68,(-1*22))) &lt; 10, "0", "" ), MONTH( EOMONTH($B$68,(-1*22)) ), IF( DAY(EOMONTH($B$68,(-1*22))) &lt; 10, "0", "" ), DAY( EOMONTH($B$68,(-1*22)) ), )</f>
        <v>20220131</v>
      </c>
      <c r="AC72" t="str">
        <f ca="1">CONCATENATE(YEAR( EOMONTH($B$68,(-1*23)) ), IF( MONTH(EOMONTH($B$68,(-1*23))) &lt; 10, "0", "" ), MONTH( EOMONTH($B$68,(-1*23)) ), IF( DAY(EOMONTH($B$68,(-1*23))) &lt; 10, "0", "" ), DAY( EOMONTH($B$68,(-1*23)) ), )</f>
        <v>20211231</v>
      </c>
      <c r="AD72" t="str">
        <f ca="1">CONCATENATE(YEAR( EOMONTH($B$68,(-1*24)) ), IF( MONTH(EOMONTH($B$68,(-1*24))) &lt; 10, "0", "" ), MONTH( EOMONTH($B$68,(-1*24)) ), IF( DAY(EOMONTH($B$68,(-1*24))) &lt; 10, "0", "" ), DAY( EOMONTH($B$68,(-1*24)) ), )</f>
        <v>20211130</v>
      </c>
      <c r="AE72" t="str">
        <f ca="1">CONCATENATE(YEAR( EOMONTH($B$68,(-1*25)) ), IF( MONTH(EOMONTH($B$68,(-1*25))) &lt; 10, "0", "" ), MONTH( EOMONTH($B$68,(-1*25)) ), IF( DAY(EOMONTH($B$68,(-1*25))) &lt; 10, "0", "" ), DAY( EOMONTH($B$68,(-1*25)) ), )</f>
        <v>20211031</v>
      </c>
      <c r="AF72" t="str">
        <f ca="1">CONCATENATE(YEAR( EOMONTH($B$68,(-1*26)) ), IF( MONTH(EOMONTH($B$68,(-1*26))) &lt; 10, "0", "" ), MONTH( EOMONTH($B$68,(-1*26)) ), IF( DAY(EOMONTH($B$68,(-1*26))) &lt; 10, "0", "" ), DAY( EOMONTH($B$68,(-1*26)) ), )</f>
        <v>20210930</v>
      </c>
      <c r="AG72" t="str">
        <f ca="1">CONCATENATE(YEAR( EOMONTH($B$68,(-1*27)) ), IF( MONTH(EOMONTH($B$68,(-1*27))) &lt; 10, "0", "" ), MONTH( EOMONTH($B$68,(-1*27)) ), IF( DAY(EOMONTH($B$68,(-1*27))) &lt; 10, "0", "" ), DAY( EOMONTH($B$68,(-1*27)) ), )</f>
        <v>20210831</v>
      </c>
      <c r="AH72" t="str">
        <f ca="1">CONCATENATE(YEAR( EOMONTH($B$68,(-1*28)) ), IF( MONTH(EOMONTH($B$68,(-1*28))) &lt; 10, "0", "" ), MONTH( EOMONTH($B$68,(-1*28)) ), IF( DAY(EOMONTH($B$68,(-1*28))) &lt; 10, "0", "" ), DAY( EOMONTH($B$68,(-1*28)) ), )</f>
        <v>20210731</v>
      </c>
      <c r="AI72" t="str">
        <f ca="1">CONCATENATE(YEAR( EOMONTH($B$68,(-1*29)) ), IF( MONTH(EOMONTH($B$68,(-1*29))) &lt; 10, "0", "" ), MONTH( EOMONTH($B$68,(-1*29)) ), IF( DAY(EOMONTH($B$68,(-1*29))) &lt; 10, "0", "" ), DAY( EOMONTH($B$68,(-1*29)) ), )</f>
        <v>20210630</v>
      </c>
      <c r="AJ72" t="str">
        <f ca="1">CONCATENATE(YEAR( EOMONTH($B$68,(-1*30)) ), IF( MONTH(EOMONTH($B$68,(-1*30))) &lt; 10, "0", "" ), MONTH( EOMONTH($B$68,(-1*30)) ), IF( DAY(EOMONTH($B$68,(-1*30))) &lt; 10, "0", "" ), DAY( EOMONTH($B$68,(-1*30)) ), )</f>
        <v>20210531</v>
      </c>
      <c r="AK72" t="str">
        <f ca="1">CONCATENATE(YEAR( EOMONTH($B$68,(-1*31)) ), IF( MONTH(EOMONTH($B$68,(-1*31))) &lt; 10, "0", "" ), MONTH( EOMONTH($B$68,(-1*31)) ), IF( DAY(EOMONTH($B$68,(-1*31))) &lt; 10, "0", "" ), DAY( EOMONTH($B$68,(-1*31)) ), )</f>
        <v>20210430</v>
      </c>
      <c r="AL72" t="str">
        <f ca="1">CONCATENATE(YEAR( EOMONTH($B$68,(-1*32)) ), IF( MONTH(EOMONTH($B$68,(-1*32))) &lt; 10, "0", "" ), MONTH( EOMONTH($B$68,(-1*32)) ), IF( DAY(EOMONTH($B$68,(-1*32))) &lt; 10, "0", "" ), DAY( EOMONTH($B$68,(-1*32)) ), )</f>
        <v>20210331</v>
      </c>
      <c r="AM72" t="str">
        <f ca="1">CONCATENATE(YEAR( EOMONTH($B$68,(-1*33)) ), IF( MONTH(EOMONTH($B$68,(-1*33))) &lt; 10, "0", "" ), MONTH( EOMONTH($B$68,(-1*33)) ), IF( DAY(EOMONTH($B$68,(-1*33))) &lt; 10, "0", "" ), DAY( EOMONTH($B$68,(-1*33)) ), )</f>
        <v>20210228</v>
      </c>
      <c r="AN72" t="str">
        <f ca="1">CONCATENATE(YEAR( EOMONTH($B$68,(-1*34)) ), IF( MONTH(EOMONTH($B$68,(-1*34))) &lt; 10, "0", "" ), MONTH( EOMONTH($B$68,(-1*34)) ), IF( DAY(EOMONTH($B$68,(-1*34))) &lt; 10, "0", "" ), DAY( EOMONTH($B$68,(-1*34)) ), )</f>
        <v>20210131</v>
      </c>
      <c r="AO72" t="str">
        <f ca="1">CONCATENATE(YEAR( EOMONTH($B$68,(-1*35)) ), IF( MONTH(EOMONTH($B$68,(-1*35))) &lt; 10, "0", "" ), MONTH( EOMONTH($B$68,(-1*35)) ), IF( DAY(EOMONTH($B$68,(-1*35))) &lt; 10, "0", "" ), DAY( EOMONTH($B$68,(-1*35)) ), )</f>
        <v>20201231</v>
      </c>
      <c r="AP72" t="str">
        <f ca="1">CONCATENATE(YEAR( EOMONTH($B$68,(-1*36)) ), IF( MONTH(EOMONTH($B$68,(-1*36))) &lt; 10, "0", "" ), MONTH( EOMONTH($B$68,(-1*36)) ), IF( DAY(EOMONTH($B$68,(-1*36))) &lt; 10, "0", "" ), DAY( EOMONTH($B$68,(-1*36)) ), )</f>
        <v>20201130</v>
      </c>
      <c r="AQ72" t="str">
        <f ca="1">CONCATENATE(YEAR( EOMONTH($B$68,(-1*37)) ), IF( MONTH(EOMONTH($B$68,(-1*37))) &lt; 10, "0", "" ), MONTH( EOMONTH($B$68,(-1*37)) ), IF( DAY(EOMONTH($B$68,(-1*37))) &lt; 10, "0", "" ), DAY( EOMONTH($B$68,(-1*37)) ), )</f>
        <v>20201031</v>
      </c>
      <c r="AR72" t="str">
        <f ca="1">CONCATENATE(YEAR( EOMONTH($B$68,(-1*38)) ), IF( MONTH(EOMONTH($B$68,(-1*38))) &lt; 10, "0", "" ), MONTH( EOMONTH($B$68,(-1*38)) ), IF( DAY(EOMONTH($B$68,(-1*38))) &lt; 10, "0", "" ), DAY( EOMONTH($B$68,(-1*38)) ), )</f>
        <v>20200930</v>
      </c>
      <c r="AS72" t="str">
        <f ca="1">CONCATENATE(YEAR( EOMONTH($B$68,(-1*39)) ), IF( MONTH(EOMONTH($B$68,(-1*39))) &lt; 10, "0", "" ), MONTH( EOMONTH($B$68,(-1*39)) ), IF( DAY(EOMONTH($B$68,(-1*39))) &lt; 10, "0", "" ), DAY( EOMONTH($B$68,(-1*39)) ), )</f>
        <v>20200831</v>
      </c>
      <c r="AT72" t="str">
        <f ca="1">CONCATENATE(YEAR( EOMONTH($B$68,(-1*40)) ), IF( MONTH(EOMONTH($B$68,(-1*40))) &lt; 10, "0", "" ), MONTH( EOMONTH($B$68,(-1*40)) ), IF( DAY(EOMONTH($B$68,(-1*40))) &lt; 10, "0", "" ), DAY( EOMONTH($B$68,(-1*40)) ), )</f>
        <v>20200731</v>
      </c>
      <c r="AU72" t="str">
        <f ca="1">CONCATENATE(YEAR( EOMONTH($B$68,(-1*41)) ), IF( MONTH(EOMONTH($B$68,(-1*41))) &lt; 10, "0", "" ), MONTH( EOMONTH($B$68,(-1*41)) ), IF( DAY(EOMONTH($B$68,(-1*41))) &lt; 10, "0", "" ), DAY( EOMONTH($B$68,(-1*41)) ), )</f>
        <v>20200630</v>
      </c>
      <c r="AV72" t="str">
        <f ca="1">CONCATENATE(YEAR( EOMONTH($B$68,(-1*42)) ), IF( MONTH(EOMONTH($B$68,(-1*42))) &lt; 10, "0", "" ), MONTH( EOMONTH($B$68,(-1*42)) ), IF( DAY(EOMONTH($B$68,(-1*42))) &lt; 10, "0", "" ), DAY( EOMONTH($B$68,(-1*42)) ), )</f>
        <v>20200531</v>
      </c>
      <c r="AW72" t="str">
        <f ca="1">CONCATENATE(YEAR( EOMONTH($B$68,(-1*43)) ), IF( MONTH(EOMONTH($B$68,(-1*43))) &lt; 10, "0", "" ), MONTH( EOMONTH($B$68,(-1*43)) ), IF( DAY(EOMONTH($B$68,(-1*43))) &lt; 10, "0", "" ), DAY( EOMONTH($B$68,(-1*43)) ), )</f>
        <v>20200430</v>
      </c>
      <c r="AX72" t="str">
        <f ca="1">CONCATENATE(YEAR( EOMONTH($B$68,(-1*44)) ), IF( MONTH(EOMONTH($B$68,(-1*44))) &lt; 10, "0", "" ), MONTH( EOMONTH($B$68,(-1*44)) ), IF( DAY(EOMONTH($B$68,(-1*44))) &lt; 10, "0", "" ), DAY( EOMONTH($B$68,(-1*44)) ), )</f>
        <v>20200331</v>
      </c>
      <c r="AY72" t="str">
        <f ca="1">CONCATENATE(YEAR( EOMONTH($B$68,(-1*45)) ), IF( MONTH(EOMONTH($B$68,(-1*45))) &lt; 10, "0", "" ), MONTH( EOMONTH($B$68,(-1*45)) ), IF( DAY(EOMONTH($B$68,(-1*45))) &lt; 10, "0", "" ), DAY( EOMONTH($B$68,(-1*45)) ), )</f>
        <v>20200229</v>
      </c>
      <c r="AZ72" t="str">
        <f ca="1">CONCATENATE(YEAR( EOMONTH($B$68,(-1*46)) ), IF( MONTH(EOMONTH($B$68,(-1*46))) &lt; 10, "0", "" ), MONTH( EOMONTH($B$68,(-1*46)) ), IF( DAY(EOMONTH($B$68,(-1*46))) &lt; 10, "0", "" ), DAY( EOMONTH($B$68,(-1*46)) ), )</f>
        <v>20200131</v>
      </c>
      <c r="BA72" t="str">
        <f ca="1">CONCATENATE(YEAR( EOMONTH($B$68,(-1*47)) ), IF( MONTH(EOMONTH($B$68,(-1*47))) &lt; 10, "0", "" ), MONTH( EOMONTH($B$68,(-1*47)) ), IF( DAY(EOMONTH($B$68,(-1*47))) &lt; 10, "0", "" ), DAY( EOMONTH($B$68,(-1*47)) ), )</f>
        <v>20191231</v>
      </c>
      <c r="BB72" t="str">
        <f ca="1">CONCATENATE(YEAR( EOMONTH($B$68,(-1*48)) ), IF( MONTH(EOMONTH($B$68,(-1*48))) &lt; 10, "0", "" ), MONTH( EOMONTH($B$68,(-1*48)) ), IF( DAY(EOMONTH($B$68,(-1*48))) &lt; 10, "0", "" ), DAY( EOMONTH($B$68,(-1*48)) ), )</f>
        <v>20191130</v>
      </c>
      <c r="BC72" t="str">
        <f ca="1">CONCATENATE(YEAR( EOMONTH($B$68,(-1*49)) ), IF( MONTH(EOMONTH($B$68,(-1*49))) &lt; 10, "0", "" ), MONTH( EOMONTH($B$68,(-1*49)) ), IF( DAY(EOMONTH($B$68,(-1*49))) &lt; 10, "0", "" ), DAY( EOMONTH($B$68,(-1*49)) ), )</f>
        <v>20191031</v>
      </c>
      <c r="BD72" t="str">
        <f ca="1">CONCATENATE(YEAR( EOMONTH($B$68,(-1*50)) ), IF( MONTH(EOMONTH($B$68,(-1*50))) &lt; 10, "0", "" ), MONTH( EOMONTH($B$68,(-1*50)) ), IF( DAY(EOMONTH($B$68,(-1*50))) &lt; 10, "0", "" ), DAY( EOMONTH($B$68,(-1*50)) ), )</f>
        <v>20190930</v>
      </c>
      <c r="BE72" t="str">
        <f ca="1">CONCATENATE(YEAR( EOMONTH($B$68,(-1*51)) ), IF( MONTH(EOMONTH($B$68,(-1*51))) &lt; 10, "0", "" ), MONTH( EOMONTH($B$68,(-1*51)) ), IF( DAY(EOMONTH($B$68,(-1*51))) &lt; 10, "0", "" ), DAY( EOMONTH($B$68,(-1*51)) ), )</f>
        <v>20190831</v>
      </c>
      <c r="BF72" t="str">
        <f ca="1">CONCATENATE(YEAR( EOMONTH($B$68,(-1*52)) ), IF( MONTH(EOMONTH($B$68,(-1*52))) &lt; 10, "0", "" ), MONTH( EOMONTH($B$68,(-1*52)) ), IF( DAY(EOMONTH($B$68,(-1*52))) &lt; 10, "0", "" ), DAY( EOMONTH($B$68,(-1*52)) ), )</f>
        <v>20190731</v>
      </c>
      <c r="BG72" t="str">
        <f ca="1">CONCATENATE(YEAR( EOMONTH($B$68,(-1*53)) ), IF( MONTH(EOMONTH($B$68,(-1*53))) &lt; 10, "0", "" ), MONTH( EOMONTH($B$68,(-1*53)) ), IF( DAY(EOMONTH($B$68,(-1*53))) &lt; 10, "0", "" ), DAY( EOMONTH($B$68,(-1*53)) ), )</f>
        <v>20190630</v>
      </c>
      <c r="BH72" t="str">
        <f ca="1">CONCATENATE(YEAR( EOMONTH($B$68,(-1*54)) ), IF( MONTH(EOMONTH($B$68,(-1*54))) &lt; 10, "0", "" ), MONTH( EOMONTH($B$68,(-1*54)) ), IF( DAY(EOMONTH($B$68,(-1*54))) &lt; 10, "0", "" ), DAY( EOMONTH($B$68,(-1*54)) ), )</f>
        <v>20190531</v>
      </c>
      <c r="BI72" t="str">
        <f ca="1">CONCATENATE(YEAR( EOMONTH($B$68,(-1*55)) ), IF( MONTH(EOMONTH($B$68,(-1*55))) &lt; 10, "0", "" ), MONTH( EOMONTH($B$68,(-1*55)) ), IF( DAY(EOMONTH($B$68,(-1*55))) &lt; 10, "0", "" ), DAY( EOMONTH($B$68,(-1*55)) ), )</f>
        <v>20190430</v>
      </c>
      <c r="BJ72" t="str">
        <f ca="1">CONCATENATE(YEAR( EOMONTH($B$68,(-1*56)) ), IF( MONTH(EOMONTH($B$68,(-1*56))) &lt; 10, "0", "" ), MONTH( EOMONTH($B$68,(-1*56)) ), IF( DAY(EOMONTH($B$68,(-1*56))) &lt; 10, "0", "" ), DAY( EOMONTH($B$68,(-1*56)) ), )</f>
        <v>20190331</v>
      </c>
      <c r="BK72" t="str">
        <f ca="1">CONCATENATE(YEAR( EOMONTH($B$68,(-1*57)) ), IF( MONTH(EOMONTH($B$68,(-1*57))) &lt; 10, "0", "" ), MONTH( EOMONTH($B$68,(-1*57)) ), IF( DAY(EOMONTH($B$68,(-1*57))) &lt; 10, "0", "" ), DAY( EOMONTH($B$68,(-1*57)) ), )</f>
        <v>20190228</v>
      </c>
      <c r="BL72" t="str">
        <f ca="1">CONCATENATE(YEAR( EOMONTH($B$68,(-1*58)) ), IF( MONTH(EOMONTH($B$68,(-1*58))) &lt; 10, "0", "" ), MONTH( EOMONTH($B$68,(-1*58)) ), IF( DAY(EOMONTH($B$68,(-1*58))) &lt; 10, "0", "" ), DAY( EOMONTH($B$68,(-1*58)) ), )</f>
        <v>20190131</v>
      </c>
      <c r="BM72" t="str">
        <f ca="1">CONCATENATE(YEAR( EOMONTH($B$68,(-1*59)) ), IF( MONTH(EOMONTH($B$68,(-1*59))) &lt; 10, "0", "" ), MONTH( EOMONTH($B$68,(-1*59)) ), IF( DAY(EOMONTH($B$68,(-1*59))) &lt; 10, "0", "" ), DAY( EOMONTH($B$68,(-1*59)) ), )</f>
        <v>20181231</v>
      </c>
      <c r="BN72" t="str">
        <f ca="1">CONCATENATE(YEAR( EOMONTH($B$68,(-1*60)) ), IF( MONTH(EOMONTH($B$68,(-1*60))) &lt; 10, "0", "" ), MONTH( EOMONTH($B$68,(-1*60)) ), IF( DAY(EOMONTH($B$68,(-1*60))) &lt; 10, "0", "" ), DAY( EOMONTH($B$68,(-1*60)) ), )</f>
        <v>20181130</v>
      </c>
      <c r="BO72" t="str">
        <f ca="1">CONCATENATE(YEAR( EOMONTH($B$68,(-1*61)) ), IF( MONTH(EOMONTH($B$68,(-1*61))) &lt; 10, "0", "" ), MONTH( EOMONTH($B$68,(-1*61)) ), IF( DAY(EOMONTH($B$68,(-1*61))) &lt; 10, "0", "" ), DAY( EOMONTH($B$68,(-1*61)) ), )</f>
        <v>20181031</v>
      </c>
      <c r="BP72" t="str">
        <f ca="1">CONCATENATE(YEAR( EOMONTH($B$68,(-1*62)) ), IF( MONTH(EOMONTH($B$68,(-1*62))) &lt; 10, "0", "" ), MONTH( EOMONTH($B$68,(-1*62)) ), IF( DAY(EOMONTH($B$68,(-1*62))) &lt; 10, "0", "" ), DAY( EOMONTH($B$68,(-1*62)) ), )</f>
        <v>20180930</v>
      </c>
      <c r="BQ72" t="str">
        <f ca="1">CONCATENATE(YEAR( EOMONTH($B$68,(-1*63)) ), IF( MONTH(EOMONTH($B$68,(-1*63))) &lt; 10, "0", "" ), MONTH( EOMONTH($B$68,(-1*63)) ), IF( DAY(EOMONTH($B$68,(-1*63))) &lt; 10, "0", "" ), DAY( EOMONTH($B$68,(-1*63)) ), )</f>
        <v>20180831</v>
      </c>
      <c r="BR72" t="str">
        <f ca="1">CONCATENATE(YEAR( EOMONTH($B$68,(-1*64)) ), IF( MONTH(EOMONTH($B$68,(-1*64))) &lt; 10, "0", "" ), MONTH( EOMONTH($B$68,(-1*64)) ), IF( DAY(EOMONTH($B$68,(-1*64))) &lt; 10, "0", "" ), DAY( EOMONTH($B$68,(-1*64)) ), )</f>
        <v>20180731</v>
      </c>
      <c r="BS72" t="str">
        <f ca="1">CONCATENATE(YEAR( EOMONTH($B$68,(-1*65)) ), IF( MONTH(EOMONTH($B$68,(-1*65))) &lt; 10, "0", "" ), MONTH( EOMONTH($B$68,(-1*65)) ), IF( DAY(EOMONTH($B$68,(-1*65))) &lt; 10, "0", "" ), DAY( EOMONTH($B$68,(-1*65)) ), )</f>
        <v>20180630</v>
      </c>
      <c r="BT72" t="str">
        <f ca="1">CONCATENATE(YEAR( EOMONTH($B$68,(-1*66)) ), IF( MONTH(EOMONTH($B$68,(-1*66))) &lt; 10, "0", "" ), MONTH( EOMONTH($B$68,(-1*66)) ), IF( DAY(EOMONTH($B$68,(-1*66))) &lt; 10, "0", "" ), DAY( EOMONTH($B$68,(-1*66)) ), )</f>
        <v>20180531</v>
      </c>
      <c r="BU72" t="str">
        <f ca="1">CONCATENATE(YEAR( EOMONTH($B$68,(-1*67)) ), IF( MONTH(EOMONTH($B$68,(-1*67))) &lt; 10, "0", "" ), MONTH( EOMONTH($B$68,(-1*67)) ), IF( DAY(EOMONTH($B$68,(-1*67))) &lt; 10, "0", "" ), DAY( EOMONTH($B$68,(-1*67)) ), )</f>
        <v>20180430</v>
      </c>
      <c r="BV72" t="str">
        <f ca="1">CONCATENATE(YEAR( EOMONTH($B$68,(-1*68)) ), IF( MONTH(EOMONTH($B$68,(-1*68))) &lt; 10, "0", "" ), MONTH( EOMONTH($B$68,(-1*68)) ), IF( DAY(EOMONTH($B$68,(-1*68))) &lt; 10, "0", "" ), DAY( EOMONTH($B$68,(-1*68)) ), )</f>
        <v>20180331</v>
      </c>
      <c r="BW72" t="str">
        <f ca="1">CONCATENATE(YEAR( EOMONTH($B$68,(-1*69)) ), IF( MONTH(EOMONTH($B$68,(-1*69))) &lt; 10, "0", "" ), MONTH( EOMONTH($B$68,(-1*69)) ), IF( DAY(EOMONTH($B$68,(-1*69))) &lt; 10, "0", "" ), DAY( EOMONTH($B$68,(-1*69)) ), )</f>
        <v>20180228</v>
      </c>
      <c r="BX72" t="str">
        <f ca="1">CONCATENATE(YEAR( EOMONTH($B$68,(-1*70)) ), IF( MONTH(EOMONTH($B$68,(-1*70))) &lt; 10, "0", "" ), MONTH( EOMONTH($B$68,(-1*70)) ), IF( DAY(EOMONTH($B$68,(-1*70))) &lt; 10, "0", "" ), DAY( EOMONTH($B$68,(-1*70)) ), )</f>
        <v>20180131</v>
      </c>
      <c r="BY72" t="str">
        <f ca="1">CONCATENATE(YEAR( EOMONTH($B$68,(-1*71)) ), IF( MONTH(EOMONTH($B$68,(-1*71))) &lt; 10, "0", "" ), MONTH( EOMONTH($B$68,(-1*71)) ), IF( DAY(EOMONTH($B$68,(-1*71))) &lt; 10, "0", "" ), DAY( EOMONTH($B$68,(-1*71)) ), )</f>
        <v>20171231</v>
      </c>
      <c r="BZ72" t="str">
        <f ca="1">CONCATENATE(YEAR( EOMONTH($B$68,(-1*72)) ), IF( MONTH(EOMONTH($B$68,(-1*72))) &lt; 10, "0", "" ), MONTH( EOMONTH($B$68,(-1*72)) ), IF( DAY(EOMONTH($B$68,(-1*72))) &lt; 10, "0", "" ), DAY( EOMONTH($B$68,(-1*72)) ), )</f>
        <v>20171130</v>
      </c>
      <c r="CA72" t="str">
        <f ca="1">CONCATENATE(YEAR( EOMONTH($B$68,(-1*73)) ), IF( MONTH(EOMONTH($B$68,(-1*73))) &lt; 10, "0", "" ), MONTH( EOMONTH($B$68,(-1*73)) ), IF( DAY(EOMONTH($B$68,(-1*73))) &lt; 10, "0", "" ), DAY( EOMONTH($B$68,(-1*73)) ), )</f>
        <v>20171031</v>
      </c>
      <c r="CB72" t="str">
        <f ca="1">CONCATENATE(YEAR( EOMONTH($B$68,(-1*74)) ), IF( MONTH(EOMONTH($B$68,(-1*74))) &lt; 10, "0", "" ), MONTH( EOMONTH($B$68,(-1*74)) ), IF( DAY(EOMONTH($B$68,(-1*74))) &lt; 10, "0", "" ), DAY( EOMONTH($B$68,(-1*74)) ), )</f>
        <v>20170930</v>
      </c>
      <c r="CC72" t="str">
        <f ca="1">CONCATENATE(YEAR( EOMONTH($B$68,(-1*75)) ), IF( MONTH(EOMONTH($B$68,(-1*75))) &lt; 10, "0", "" ), MONTH( EOMONTH($B$68,(-1*75)) ), IF( DAY(EOMONTH($B$68,(-1*75))) &lt; 10, "0", "" ), DAY( EOMONTH($B$68,(-1*75)) ), )</f>
        <v>20170831</v>
      </c>
      <c r="CD72" t="str">
        <f ca="1">CONCATENATE(YEAR( EOMONTH($B$68,(-1*76)) ), IF( MONTH(EOMONTH($B$68,(-1*76))) &lt; 10, "0", "" ), MONTH( EOMONTH($B$68,(-1*76)) ), IF( DAY(EOMONTH($B$68,(-1*76))) &lt; 10, "0", "" ), DAY( EOMONTH($B$68,(-1*76)) ), )</f>
        <v>20170731</v>
      </c>
      <c r="CE72" t="str">
        <f ca="1">CONCATENATE(YEAR( EOMONTH($B$68,(-1*77)) ), IF( MONTH(EOMONTH($B$68,(-1*77))) &lt; 10, "0", "" ), MONTH( EOMONTH($B$68,(-1*77)) ), IF( DAY(EOMONTH($B$68,(-1*77))) &lt; 10, "0", "" ), DAY( EOMONTH($B$68,(-1*77)) ), )</f>
        <v>20170630</v>
      </c>
      <c r="CF72" t="str">
        <f ca="1">CONCATENATE(YEAR( EOMONTH($B$68,(-1*78)) ), IF( MONTH(EOMONTH($B$68,(-1*78))) &lt; 10, "0", "" ), MONTH( EOMONTH($B$68,(-1*78)) ), IF( DAY(EOMONTH($B$68,(-1*78))) &lt; 10, "0", "" ), DAY( EOMONTH($B$68,(-1*78)) ), )</f>
        <v>20170531</v>
      </c>
      <c r="CG72" t="str">
        <f ca="1">CONCATENATE(YEAR( EOMONTH($B$68,(-1*79)) ), IF( MONTH(EOMONTH($B$68,(-1*79))) &lt; 10, "0", "" ), MONTH( EOMONTH($B$68,(-1*79)) ), IF( DAY(EOMONTH($B$68,(-1*79))) &lt; 10, "0", "" ), DAY( EOMONTH($B$68,(-1*79)) ), )</f>
        <v>20170430</v>
      </c>
      <c r="CH72" t="str">
        <f ca="1">CONCATENATE(YEAR( EOMONTH($B$68,(-1*80)) ), IF( MONTH(EOMONTH($B$68,(-1*80))) &lt; 10, "0", "" ), MONTH( EOMONTH($B$68,(-1*80)) ), IF( DAY(EOMONTH($B$68,(-1*80))) &lt; 10, "0", "" ), DAY( EOMONTH($B$68,(-1*80)) ), )</f>
        <v>20170331</v>
      </c>
      <c r="CI72" t="str">
        <f ca="1">CONCATENATE(YEAR( EOMONTH($B$68,(-1*81)) ), IF( MONTH(EOMONTH($B$68,(-1*81))) &lt; 10, "0", "" ), MONTH( EOMONTH($B$68,(-1*81)) ), IF( DAY(EOMONTH($B$68,(-1*81))) &lt; 10, "0", "" ), DAY( EOMONTH($B$68,(-1*81)) ), )</f>
        <v>20170228</v>
      </c>
      <c r="CJ72" t="str">
        <f ca="1">CONCATENATE(YEAR( EOMONTH($B$68,(-1*82)) ), IF( MONTH(EOMONTH($B$68,(-1*82))) &lt; 10, "0", "" ), MONTH( EOMONTH($B$68,(-1*82)) ), IF( DAY(EOMONTH($B$68,(-1*82))) &lt; 10, "0", "" ), DAY( EOMONTH($B$68,(-1*82)) ), )</f>
        <v>20170131</v>
      </c>
      <c r="CK72" t="str">
        <f ca="1">CONCATENATE(YEAR( EOMONTH($B$68,(-1*83)) ), IF( MONTH(EOMONTH($B$68,(-1*83))) &lt; 10, "0", "" ), MONTH( EOMONTH($B$68,(-1*83)) ), IF( DAY(EOMONTH($B$68,(-1*83))) &lt; 10, "0", "" ), DAY( EOMONTH($B$68,(-1*83)) ), )</f>
        <v>20161231</v>
      </c>
      <c r="CL72" t="str">
        <f>""</f>
        <v/>
      </c>
      <c r="CM72" t="str">
        <f>""</f>
        <v/>
      </c>
      <c r="CN72" t="str">
        <f>""</f>
        <v/>
      </c>
      <c r="CO72" t="str">
        <f>""</f>
        <v/>
      </c>
      <c r="CP72" t="str">
        <f>""</f>
        <v/>
      </c>
      <c r="CQ72" t="str">
        <f>""</f>
        <v/>
      </c>
      <c r="CR72" t="str">
        <f>""</f>
        <v/>
      </c>
      <c r="CS72" t="str">
        <f>""</f>
        <v/>
      </c>
      <c r="CT72" t="str">
        <f>""</f>
        <v/>
      </c>
      <c r="CU72" t="str">
        <f>""</f>
        <v/>
      </c>
      <c r="CV72" t="str">
        <f>""</f>
        <v/>
      </c>
      <c r="CW72" t="str">
        <f>""</f>
        <v/>
      </c>
      <c r="CX72" t="str">
        <f>""</f>
        <v/>
      </c>
      <c r="CY72" t="str">
        <f>""</f>
        <v/>
      </c>
      <c r="CZ72" t="str">
        <f>""</f>
        <v/>
      </c>
      <c r="DA72" t="str">
        <f>""</f>
        <v/>
      </c>
      <c r="DB72" t="str">
        <f>""</f>
        <v/>
      </c>
      <c r="DC72" t="str">
        <f>""</f>
        <v/>
      </c>
      <c r="DD72" t="str">
        <f>""</f>
        <v/>
      </c>
      <c r="DE72" t="str">
        <f>""</f>
        <v/>
      </c>
      <c r="DF72" t="str">
        <f>""</f>
        <v/>
      </c>
      <c r="DG72" t="str">
        <f>""</f>
        <v/>
      </c>
      <c r="DH72" t="str">
        <f>""</f>
        <v/>
      </c>
      <c r="DI72" t="str">
        <f>""</f>
        <v/>
      </c>
      <c r="DJ72" t="str">
        <f>""</f>
        <v/>
      </c>
      <c r="DK72" t="str">
        <f>""</f>
        <v/>
      </c>
      <c r="DL72" t="str">
        <f>""</f>
        <v/>
      </c>
      <c r="DM72" t="str">
        <f>""</f>
        <v/>
      </c>
      <c r="DN72" t="str">
        <f>""</f>
        <v/>
      </c>
      <c r="DO72" t="str">
        <f>""</f>
        <v/>
      </c>
      <c r="DP72" t="str">
        <f>""</f>
        <v/>
      </c>
      <c r="DQ72" t="str">
        <f>""</f>
        <v/>
      </c>
      <c r="DR72" t="str">
        <f>""</f>
        <v/>
      </c>
      <c r="DS72" t="str">
        <f>""</f>
        <v/>
      </c>
      <c r="DT72" t="str">
        <f>""</f>
        <v/>
      </c>
      <c r="DU72" t="str">
        <f>""</f>
        <v/>
      </c>
      <c r="DV72" t="str">
        <f>""</f>
        <v/>
      </c>
      <c r="DW72" t="str">
        <f>""</f>
        <v/>
      </c>
      <c r="DX72" t="str">
        <f>""</f>
        <v/>
      </c>
      <c r="DY72" t="str">
        <f>""</f>
        <v/>
      </c>
      <c r="DZ72" t="str">
        <f>""</f>
        <v/>
      </c>
      <c r="EA72" t="str">
        <f>""</f>
        <v/>
      </c>
      <c r="EB72" t="str">
        <f>""</f>
        <v/>
      </c>
      <c r="EC72" t="str">
        <f>""</f>
        <v/>
      </c>
      <c r="ED72" t="str">
        <f>""</f>
        <v/>
      </c>
      <c r="EE72" t="str">
        <f>""</f>
        <v/>
      </c>
      <c r="EF72" t="str">
        <f>""</f>
        <v/>
      </c>
      <c r="EG72" t="str">
        <f>""</f>
        <v/>
      </c>
      <c r="EH72" t="str">
        <f>""</f>
        <v/>
      </c>
      <c r="EI72" t="str">
        <f>""</f>
        <v/>
      </c>
      <c r="EJ72" t="str">
        <f>""</f>
        <v/>
      </c>
      <c r="EK72" t="str">
        <f>""</f>
        <v/>
      </c>
      <c r="EL72" t="str">
        <f>""</f>
        <v/>
      </c>
      <c r="EM72" t="str">
        <f>""</f>
        <v/>
      </c>
      <c r="EN72" t="str">
        <f>""</f>
        <v/>
      </c>
      <c r="EO72" t="str">
        <f>""</f>
        <v/>
      </c>
      <c r="EP72" t="str">
        <f>""</f>
        <v/>
      </c>
      <c r="EQ72" t="str">
        <f>""</f>
        <v/>
      </c>
      <c r="ER72" t="str">
        <f>""</f>
        <v/>
      </c>
      <c r="ES72" t="str">
        <f>""</f>
        <v/>
      </c>
      <c r="ET72" t="str">
        <f>""</f>
        <v/>
      </c>
      <c r="EU72" t="str">
        <f>""</f>
        <v/>
      </c>
      <c r="EV72" t="str">
        <f>""</f>
        <v/>
      </c>
      <c r="EW72" t="str">
        <f>""</f>
        <v/>
      </c>
      <c r="EX72" t="str">
        <f>""</f>
        <v/>
      </c>
      <c r="EY72" t="str">
        <f>""</f>
        <v/>
      </c>
      <c r="EZ72" t="str">
        <f>""</f>
        <v/>
      </c>
      <c r="FA72" t="str">
        <f>""</f>
        <v/>
      </c>
      <c r="FB72" t="str">
        <f>""</f>
        <v/>
      </c>
      <c r="FC72" t="str">
        <f>""</f>
        <v/>
      </c>
      <c r="FD72" t="str">
        <f>""</f>
        <v/>
      </c>
      <c r="FE72" t="str">
        <f>""</f>
        <v/>
      </c>
      <c r="FF72" t="str">
        <f>""</f>
        <v/>
      </c>
      <c r="FG72" t="str">
        <f>""</f>
        <v/>
      </c>
      <c r="FH72" t="str">
        <f>""</f>
        <v/>
      </c>
      <c r="FI72" t="str">
        <f>""</f>
        <v/>
      </c>
      <c r="FJ72" t="str">
        <f>""</f>
        <v/>
      </c>
      <c r="FK72" t="str">
        <f>""</f>
        <v/>
      </c>
      <c r="FL72" t="str">
        <f>""</f>
        <v/>
      </c>
      <c r="FM72" t="str">
        <f>""</f>
        <v/>
      </c>
      <c r="FN72" t="str">
        <f>""</f>
        <v/>
      </c>
      <c r="FO72" t="str">
        <f>""</f>
        <v/>
      </c>
      <c r="FP72" t="str">
        <f>""</f>
        <v/>
      </c>
      <c r="FQ72" t="str">
        <f>""</f>
        <v/>
      </c>
    </row>
    <row r="73" spans="1:173" x14ac:dyDescent="0.25">
      <c r="B73" t="str">
        <f>"CNIFSCTT Index"</f>
        <v>CNIFSCTT Index</v>
      </c>
      <c r="C73" t="str">
        <f>"PX385"</f>
        <v>PX385</v>
      </c>
      <c r="D73" t="str">
        <f>"INTERVAL_SUM"</f>
        <v>INTERVAL_SUM</v>
      </c>
      <c r="E73" t="str">
        <f t="shared" si="9"/>
        <v>Dynamic</v>
      </c>
      <c r="F73" t="str">
        <f ca="1">_xll.BDP($B$73,$C$73,CONCATENATE("PX391=", $F$71), CONCATENATE("PX392=",$F$72), CONCATENATE("DS004=",$B$64), "Fill=B")</f>
        <v/>
      </c>
      <c r="G73" t="str">
        <f ca="1">_xll.BDP($B$73,$C$73,CONCATENATE("PX391=", $G$71), CONCATENATE("PX392=",$G$72), CONCATENATE("DS004=",$B$64), "Fill=B")</f>
        <v/>
      </c>
      <c r="H73">
        <f ca="1">_xll.BDP($B$73,$C$73,CONCATENATE("PX391=", $H$71), CONCATENATE("PX392=",$H$72), CONCATENATE("DS004=",$B$64), "Fill=B")</f>
        <v>2365</v>
      </c>
      <c r="I73">
        <f ca="1">_xll.BDP($B$73,$C$73,CONCATENATE("PX391=", $I$71), CONCATENATE("PX392=",$I$72), CONCATENATE("DS004=",$B$64), "Fill=B")</f>
        <v>2396</v>
      </c>
      <c r="J73">
        <f ca="1">_xll.BDP($B$73,$C$73,CONCATENATE("PX391=", $J$71), CONCATENATE("PX392=",$J$72), CONCATENATE("DS004=",$B$64), "Fill=B")</f>
        <v>2367</v>
      </c>
      <c r="K73">
        <f ca="1">_xll.BDP($B$73,$C$73,CONCATENATE("PX391=", $K$71), CONCATENATE("PX392=",$K$72), CONCATENATE("DS004=",$B$64), "Fill=B")</f>
        <v>2370</v>
      </c>
      <c r="L73">
        <f ca="1">_xll.BDP($B$73,$C$73,CONCATENATE("PX391=", $L$71), CONCATENATE("PX392=",$L$72), CONCATENATE("DS004=",$B$64), "Fill=B")</f>
        <v>2328</v>
      </c>
      <c r="M73">
        <f ca="1">_xll.BDP($B$73,$C$73,CONCATENATE("PX391=", $M$71), CONCATENATE("PX392=",$M$72), CONCATENATE("DS004=",$B$64), "Fill=B")</f>
        <v>2240</v>
      </c>
      <c r="N73">
        <f ca="1">_xll.BDP($B$73,$C$73,CONCATENATE("PX391=", $N$71), CONCATENATE("PX392=",$N$72), CONCATENATE("DS004=",$B$64), "Fill=B")</f>
        <v>2243</v>
      </c>
      <c r="O73" t="str">
        <f ca="1">_xll.BDP($B$73,$C$73,CONCATENATE("PX391=", $O$71), CONCATENATE("PX392=",$O$72), CONCATENATE("DS004=",$B$64), "Fill=B")</f>
        <v/>
      </c>
      <c r="P73" t="str">
        <f ca="1">_xll.BDP($B$73,$C$73,CONCATENATE("PX391=", $P$71), CONCATENATE("PX392=",$P$72), CONCATENATE("DS004=",$B$64), "Fill=B")</f>
        <v/>
      </c>
      <c r="Q73">
        <f ca="1">_xll.BDP($B$73,$C$73,CONCATENATE("PX391=", $Q$71), CONCATENATE("PX392=",$Q$72), CONCATENATE("DS004=",$B$64), "Fill=B")</f>
        <v>2226</v>
      </c>
      <c r="R73">
        <f ca="1">_xll.BDP($B$73,$C$73,CONCATENATE("PX391=", $R$71), CONCATENATE("PX392=",$R$72), CONCATENATE("DS004=",$B$64), "Fill=B")</f>
        <v>2271</v>
      </c>
      <c r="S73">
        <f ca="1">_xll.BDP($B$73,$C$73,CONCATENATE("PX391=", $S$71), CONCATENATE("PX392=",$S$72), CONCATENATE("DS004=",$B$64), "Fill=B")</f>
        <v>2237</v>
      </c>
      <c r="T73">
        <f ca="1">_xll.BDP($B$73,$C$73,CONCATENATE("PX391=", $T$71), CONCATENATE("PX392=",$T$72), CONCATENATE("DS004=",$B$64), "Fill=B")</f>
        <v>2192</v>
      </c>
      <c r="U73">
        <f ca="1">_xll.BDP($B$73,$C$73,CONCATENATE("PX391=", $U$71), CONCATENATE("PX392=",$U$72), CONCATENATE("DS004=",$B$64), "Fill=B")</f>
        <v>2258</v>
      </c>
      <c r="V73">
        <f ca="1">_xll.BDP($B$73,$C$73,CONCATENATE("PX391=", $V$71), CONCATENATE("PX392=",$V$72), CONCATENATE("DS004=",$B$64), "Fill=B")</f>
        <v>2325</v>
      </c>
      <c r="W73">
        <f ca="1">_xll.BDP($B$73,$C$73,CONCATENATE("PX391=", $W$71), CONCATENATE("PX392=",$W$72), CONCATENATE("DS004=",$B$64), "Fill=B")</f>
        <v>2271</v>
      </c>
      <c r="X73">
        <f ca="1">_xll.BDP($B$73,$C$73,CONCATENATE("PX391=", $X$71), CONCATENATE("PX392=",$X$72), CONCATENATE("DS004=",$B$64), "Fill=B")</f>
        <v>2228</v>
      </c>
      <c r="Y73">
        <f ca="1">_xll.BDP($B$73,$C$73,CONCATENATE("PX391=", $Y$71), CONCATENATE("PX392=",$Y$72), CONCATENATE("DS004=",$B$64), "Fill=B")</f>
        <v>2081</v>
      </c>
      <c r="Z73">
        <f ca="1">_xll.BDP($B$73,$C$73,CONCATENATE("PX391=", $Z$71), CONCATENATE("PX392=",$Z$72), CONCATENATE("DS004=",$B$64), "Fill=B")</f>
        <v>2098</v>
      </c>
      <c r="AA73">
        <f ca="1">_xll.BDP($B$73,$C$73,CONCATENATE("PX391=", $AA$71), CONCATENATE("PX392=",$AA$72), CONCATENATE("DS004=",$B$64), "Fill=B")</f>
        <v>1727</v>
      </c>
      <c r="AB73">
        <f ca="1">_xll.BDP($B$73,$C$73,CONCATENATE("PX391=", $AB$71), CONCATENATE("PX392=",$AB$72), CONCATENATE("DS004=",$B$64), "Fill=B")</f>
        <v>2158</v>
      </c>
      <c r="AC73">
        <f ca="1">_xll.BDP($B$73,$C$73,CONCATENATE("PX391=", $AC$71), CONCATENATE("PX392=",$AC$72), CONCATENATE("DS004=",$B$64), "Fill=B")</f>
        <v>2019</v>
      </c>
      <c r="AD73">
        <f ca="1">_xll.BDP($B$73,$C$73,CONCATENATE("PX391=", $AD$71), CONCATENATE("PX392=",$AD$72), CONCATENATE("DS004=",$B$64), "Fill=B")</f>
        <v>2113</v>
      </c>
      <c r="AE73">
        <f ca="1">_xll.BDP($B$73,$C$73,CONCATENATE("PX391=", $AE$71), CONCATENATE("PX392=",$AE$72), CONCATENATE("DS004=",$B$64), "Fill=B")</f>
        <v>2164</v>
      </c>
      <c r="AF73">
        <f ca="1">_xll.BDP($B$73,$C$73,CONCATENATE("PX391=", $AF$71), CONCATENATE("PX392=",$AF$72), CONCATENATE("DS004=",$B$64), "Fill=B")</f>
        <v>2145</v>
      </c>
      <c r="AG73">
        <f ca="1">_xll.BDP($B$73,$C$73,CONCATENATE("PX391=", $AG$71), CONCATENATE("PX392=",$AG$72), CONCATENATE("DS004=",$B$64), "Fill=B")</f>
        <v>2195</v>
      </c>
      <c r="AH73">
        <f ca="1">_xll.BDP($B$73,$C$73,CONCATENATE("PX391=", $AH$71), CONCATENATE("PX392=",$AH$72), CONCATENATE("DS004=",$B$64), "Fill=B")</f>
        <v>2099</v>
      </c>
      <c r="AI73">
        <f ca="1">_xll.BDP($B$73,$C$73,CONCATENATE("PX391=", $AI$71), CONCATENATE("PX392=",$AI$72), CONCATENATE("DS004=",$B$64), "Fill=B")</f>
        <v>2136</v>
      </c>
      <c r="AJ73">
        <f ca="1">_xll.BDP($B$73,$C$73,CONCATENATE("PX391=", $AJ$71), CONCATENATE("PX392=",$AJ$72), CONCATENATE("DS004=",$B$64), "Fill=B")</f>
        <v>2146</v>
      </c>
      <c r="AK73">
        <f ca="1">_xll.BDP($B$73,$C$73,CONCATENATE("PX391=", $AK$71), CONCATENATE("PX392=",$AK$72), CONCATENATE("DS004=",$B$64), "Fill=B")</f>
        <v>2077</v>
      </c>
      <c r="AL73">
        <f ca="1">_xll.BDP($B$73,$C$73,CONCATENATE("PX391=", $AL$71), CONCATENATE("PX392=",$AL$72), CONCATENATE("DS004=",$B$64), "Fill=B")</f>
        <v>2065</v>
      </c>
      <c r="AM73">
        <f ca="1">_xll.BDP($B$73,$C$73,CONCATENATE("PX391=", $AM$71), CONCATENATE("PX392=",$AM$72), CONCATENATE("DS004=",$B$64), "Fill=B")</f>
        <v>1659</v>
      </c>
      <c r="AN73">
        <f ca="1">_xll.BDP($B$73,$C$73,CONCATENATE("PX391=", $AN$71), CONCATENATE("PX392=",$AN$72), CONCATENATE("DS004=",$B$64), "Fill=B")</f>
        <v>2115</v>
      </c>
      <c r="AO73">
        <f ca="1">_xll.BDP($B$73,$C$73,CONCATENATE("PX391=", $AO$71), CONCATENATE("PX392=",$AO$72), CONCATENATE("DS004=",$B$64), "Fill=B")</f>
        <v>2011</v>
      </c>
      <c r="AP73">
        <f ca="1">_xll.BDP($B$73,$C$73,CONCATENATE("PX391=", $AP$71), CONCATENATE("PX392=",$AP$72), CONCATENATE("DS004=",$B$64), "Fill=B")</f>
        <v>2125</v>
      </c>
      <c r="AQ73">
        <f ca="1">_xll.BDP($B$73,$C$73,CONCATENATE("PX391=", $AQ$71), CONCATENATE("PX392=",$AQ$72), CONCATENATE("DS004=",$B$64), "Fill=B")</f>
        <v>2172</v>
      </c>
      <c r="AR73">
        <f ca="1">_xll.BDP($B$73,$C$73,CONCATENATE("PX391=", $AR$71), CONCATENATE("PX392=",$AR$72), CONCATENATE("DS004=",$B$64), "Fill=B")</f>
        <v>2159</v>
      </c>
      <c r="AS73">
        <f ca="1">_xll.BDP($B$73,$C$73,CONCATENATE("PX391=", $AS$71), CONCATENATE("PX392=",$AS$72), CONCATENATE("DS004=",$B$64), "Fill=B")</f>
        <v>2137</v>
      </c>
      <c r="AT73">
        <f ca="1">_xll.BDP($B$73,$C$73,CONCATENATE("PX391=", $AT$71), CONCATENATE("PX392=",$AT$72), CONCATENATE("DS004=",$B$64), "Fill=B")</f>
        <v>2124</v>
      </c>
      <c r="AU73">
        <f ca="1">_xll.BDP($B$73,$C$73,CONCATENATE("PX391=", $AU$71), CONCATENATE("PX392=",$AU$72), CONCATENATE("DS004=",$B$64), "Fill=B")</f>
        <v>2009</v>
      </c>
      <c r="AV73">
        <f ca="1">_xll.BDP($B$73,$C$73,CONCATENATE("PX391=", $AV$71), CONCATENATE("PX392=",$AV$72), CONCATENATE("DS004=",$B$64), "Fill=B")</f>
        <v>1927</v>
      </c>
      <c r="AW73">
        <f ca="1">_xll.BDP($B$73,$C$73,CONCATENATE("PX391=", $AW$71), CONCATENATE("PX392=",$AW$72), CONCATENATE("DS004=",$B$64), "Fill=B")</f>
        <v>1825</v>
      </c>
      <c r="AX73">
        <f ca="1">_xll.BDP($B$73,$C$73,CONCATENATE("PX391=", $AX$71), CONCATENATE("PX392=",$AX$72), CONCATENATE("DS004=",$B$64), "Fill=B")</f>
        <v>1816</v>
      </c>
      <c r="AY73">
        <f ca="1">_xll.BDP($B$73,$C$73,CONCATENATE("PX391=", $AY$71), CONCATENATE("PX392=",$AY$72), CONCATENATE("DS004=",$B$64), "Fill=B")</f>
        <v>1238</v>
      </c>
      <c r="AZ73">
        <f ca="1">_xll.BDP($B$73,$C$73,CONCATENATE("PX391=", $AZ$71), CONCATENATE("PX392=",$AZ$72), CONCATENATE("DS004=",$B$64), "Fill=B")</f>
        <v>1880</v>
      </c>
      <c r="BA73">
        <f ca="1">_xll.BDP($B$73,$C$73,CONCATENATE("PX391=", $BA$71), CONCATENATE("PX392=",$BA$72), CONCATENATE("DS004=",$B$64), "Fill=B")</f>
        <v>1883</v>
      </c>
      <c r="BB73">
        <f ca="1">_xll.BDP($B$73,$C$73,CONCATENATE("PX391=", $BB$71), CONCATENATE("PX392=",$BB$72), CONCATENATE("DS004=",$B$64), "Fill=B")</f>
        <v>1952</v>
      </c>
      <c r="BC73">
        <f ca="1">_xll.BDP($B$73,$C$73,CONCATENATE("PX391=", $BC$71), CONCATENATE("PX392=",$BC$72), CONCATENATE("DS004=",$B$64), "Fill=B")</f>
        <v>1958</v>
      </c>
      <c r="BD73">
        <f ca="1">_xll.BDP($B$73,$C$73,CONCATENATE("PX391=", $BD$71), CONCATENATE("PX392=",$BD$72), CONCATENATE("DS004=",$B$64), "Fill=B")</f>
        <v>2021</v>
      </c>
      <c r="BE73">
        <f ca="1">_xll.BDP($B$73,$C$73,CONCATENATE("PX391=", $BE$71), CONCATENATE("PX392=",$BE$72), CONCATENATE("DS004=",$B$64), "Fill=B")</f>
        <v>2004</v>
      </c>
      <c r="BF73">
        <f ca="1">_xll.BDP($B$73,$C$73,CONCATENATE("PX391=", $BF$71), CONCATENATE("PX392=",$BF$72), CONCATENATE("DS004=",$B$64), "Fill=B")</f>
        <v>2016</v>
      </c>
      <c r="BG73">
        <f ca="1">_xll.BDP($B$73,$C$73,CONCATENATE("PX391=", $BG$71), CONCATENATE("PX392=",$BG$72), CONCATENATE("DS004=",$B$64), "Fill=B")</f>
        <v>1971</v>
      </c>
      <c r="BH73">
        <f ca="1">_xll.BDP($B$73,$C$73,CONCATENATE("PX391=", $BH$71), CONCATENATE("PX392=",$BH$72), CONCATENATE("DS004=",$B$64), "Fill=B")</f>
        <v>1984</v>
      </c>
      <c r="BI73">
        <f ca="1">_xll.BDP($B$73,$C$73,CONCATENATE("PX391=", $BI$71), CONCATENATE("PX392=",$BI$72), CONCATENATE("DS004=",$B$64), "Fill=B")</f>
        <v>1924</v>
      </c>
      <c r="BJ73">
        <f ca="1">_xll.BDP($B$73,$C$73,CONCATENATE("PX391=", $BJ$71), CONCATENATE("PX392=",$BJ$72), CONCATENATE("DS004=",$B$64), "Fill=B")</f>
        <v>1910</v>
      </c>
      <c r="BK73">
        <f ca="1">_xll.BDP($B$73,$C$73,CONCATENATE("PX391=", $BK$71), CONCATENATE("PX392=",$BK$72), CONCATENATE("DS004=",$B$64), "Fill=B")</f>
        <v>1495</v>
      </c>
      <c r="BL73">
        <f ca="1">_xll.BDP($B$73,$C$73,CONCATENATE("PX391=", $BL$71), CONCATENATE("PX392=",$BL$72), CONCATENATE("DS004=",$B$64), "Fill=B")</f>
        <v>1973</v>
      </c>
      <c r="BM73">
        <f ca="1">_xll.BDP($B$73,$C$73,CONCATENATE("PX391=", $BM$71), CONCATENATE("PX392=",$BM$72), CONCATENATE("DS004=",$B$64), "Fill=B")</f>
        <v>1809</v>
      </c>
      <c r="BN73">
        <f ca="1">_xll.BDP($B$73,$C$73,CONCATENATE("PX391=", $BN$71), CONCATENATE("PX392=",$BN$72), CONCATENATE("DS004=",$B$64), "Fill=B")</f>
        <v>1882</v>
      </c>
      <c r="BO73">
        <f ca="1">_xll.BDP($B$73,$C$73,CONCATENATE("PX391=", $BO$71), CONCATENATE("PX392=",$BO$72), CONCATENATE("DS004=",$B$64), "Fill=B")</f>
        <v>1883</v>
      </c>
      <c r="BP73">
        <f ca="1">_xll.BDP($B$73,$C$73,CONCATENATE("PX391=", $BP$71), CONCATENATE("PX392=",$BP$72), CONCATENATE("DS004=",$B$64), "Fill=B")</f>
        <v>1928</v>
      </c>
      <c r="BQ73">
        <f ca="1">_xll.BDP($B$73,$C$73,CONCATENATE("PX391=", $BQ$71), CONCATENATE("PX392=",$BQ$72), CONCATENATE("DS004=",$B$64), "Fill=B")</f>
        <v>1920</v>
      </c>
      <c r="BR73">
        <f ca="1">_xll.BDP($B$73,$C$73,CONCATENATE("PX391=", $BR$71), CONCATENATE("PX392=",$BR$72), CONCATENATE("DS004=",$B$64), "Fill=B")</f>
        <v>1891</v>
      </c>
      <c r="BS73">
        <f ca="1">_xll.BDP($B$73,$C$73,CONCATENATE("PX391=", $BS$71), CONCATENATE("PX392=",$BS$72), CONCATENATE("DS004=",$B$64), "Fill=B")</f>
        <v>1882</v>
      </c>
      <c r="BT73">
        <f ca="1">_xll.BDP($B$73,$C$73,CONCATENATE("PX391=", $BT$71), CONCATENATE("PX392=",$BT$72), CONCATENATE("DS004=",$B$64), "Fill=B")</f>
        <v>1902</v>
      </c>
      <c r="BU73">
        <f ca="1">_xll.BDP($B$73,$C$73,CONCATENATE("PX391=", $BU$71), CONCATENATE("PX392=",$BU$72), CONCATENATE("DS004=",$B$64), "Fill=B")</f>
        <v>1836</v>
      </c>
      <c r="BV73">
        <f ca="1">_xll.BDP($B$73,$C$73,CONCATENATE("PX391=", $BV$71), CONCATENATE("PX392=",$BV$72), CONCATENATE("DS004=",$B$64), "Fill=B")</f>
        <v>1756</v>
      </c>
      <c r="BW73">
        <f ca="1">_xll.BDP($B$73,$C$73,CONCATENATE("PX391=", $BW$71), CONCATENATE("PX392=",$BW$72), CONCATENATE("DS004=",$B$64), "Fill=B")</f>
        <v>1499</v>
      </c>
      <c r="BX73">
        <f ca="1">_xll.BDP($B$73,$C$73,CONCATENATE("PX391=", $BX$71), CONCATENATE("PX392=",$BX$72), CONCATENATE("DS004=",$B$64), "Fill=B")</f>
        <v>1843</v>
      </c>
      <c r="BY73">
        <f ca="1">_xll.BDP($B$73,$C$73,CONCATENATE("PX391=", $BY$71), CONCATENATE("PX392=",$BY$72), CONCATENATE("DS004=",$B$64), "Fill=B")</f>
        <v>1721</v>
      </c>
      <c r="BZ73">
        <f ca="1">_xll.BDP($B$73,$C$73,CONCATENATE("PX391=", $BZ$71), CONCATENATE("PX392=",$BZ$72), CONCATENATE("DS004=",$B$64), "Fill=B")</f>
        <v>1784</v>
      </c>
      <c r="CA73">
        <f ca="1">_xll.BDP($B$73,$C$73,CONCATENATE("PX391=", $CA$71), CONCATENATE("PX392=",$CA$72), CONCATENATE("DS004=",$B$64), "Fill=B")</f>
        <v>1778</v>
      </c>
      <c r="CB73">
        <f ca="1">_xll.BDP($B$73,$C$73,CONCATENATE("PX391=", $CB$71), CONCATENATE("PX392=",$CB$72), CONCATENATE("DS004=",$B$64), "Fill=B")</f>
        <v>1831</v>
      </c>
      <c r="CC73">
        <f ca="1">_xll.BDP($B$73,$C$73,CONCATENATE("PX391=", $CC$71), CONCATENATE("PX392=",$CC$72), CONCATENATE("DS004=",$B$64), "Fill=B")</f>
        <v>1829</v>
      </c>
      <c r="CD73">
        <f ca="1">_xll.BDP($B$73,$C$73,CONCATENATE("PX391=", $CD$71), CONCATENATE("PX392=",$CD$72), CONCATENATE("DS004=",$B$64), "Fill=B")</f>
        <v>1844</v>
      </c>
      <c r="CE73">
        <f ca="1">_xll.BDP($B$73,$C$73,CONCATENATE("PX391=", $CE$71), CONCATENATE("PX392=",$CE$72), CONCATENATE("DS004=",$B$64), "Fill=B")</f>
        <v>1788</v>
      </c>
      <c r="CF73">
        <f ca="1">_xll.BDP($B$73,$C$73,CONCATENATE("PX391=", $CF$71), CONCATENATE("PX392=",$CF$72), CONCATENATE("DS004=",$B$64), "Fill=B")</f>
        <v>1810</v>
      </c>
      <c r="CG73">
        <f ca="1">_xll.BDP($B$73,$C$73,CONCATENATE("PX391=", $CG$71), CONCATENATE("PX392=",$CG$72), CONCATENATE("DS004=",$B$64), "Fill=B")</f>
        <v>1735</v>
      </c>
      <c r="CH73">
        <f ca="1">_xll.BDP($B$73,$C$73,CONCATENATE("PX391=", $CH$71), CONCATENATE("PX392=",$CH$72), CONCATENATE("DS004=",$B$64), "Fill=B")</f>
        <v>1725</v>
      </c>
      <c r="CI73">
        <f ca="1">_xll.BDP($B$73,$C$73,CONCATENATE("PX391=", $CI$71), CONCATENATE("PX392=",$CI$72), CONCATENATE("DS004=",$B$64), "Fill=B")</f>
        <v>1368</v>
      </c>
      <c r="CJ73">
        <f ca="1">_xll.BDP($B$73,$C$73,CONCATENATE("PX391=", $CJ$71), CONCATENATE("PX392=",$CJ$72), CONCATENATE("DS004=",$B$64), "Fill=B")</f>
        <v>1678</v>
      </c>
      <c r="CK73">
        <f ca="1">_xll.BDP($B$73,$C$73,CONCATENATE("PX391=", $CK$71), CONCATENATE("PX392=",$CK$72), CONCATENATE("DS004=",$B$64), "Fill=B")</f>
        <v>1674</v>
      </c>
      <c r="CL73" t="str">
        <f>""</f>
        <v/>
      </c>
      <c r="CM73" t="str">
        <f>""</f>
        <v/>
      </c>
      <c r="CN73" t="str">
        <f>""</f>
        <v/>
      </c>
      <c r="CO73" t="str">
        <f>""</f>
        <v/>
      </c>
      <c r="CP73" t="str">
        <f>""</f>
        <v/>
      </c>
      <c r="CQ73" t="str">
        <f>""</f>
        <v/>
      </c>
      <c r="CR73" t="str">
        <f>""</f>
        <v/>
      </c>
      <c r="CS73" t="str">
        <f>""</f>
        <v/>
      </c>
      <c r="CT73" t="str">
        <f>""</f>
        <v/>
      </c>
      <c r="CU73" t="str">
        <f>""</f>
        <v/>
      </c>
      <c r="CV73" t="str">
        <f>""</f>
        <v/>
      </c>
      <c r="CW73" t="str">
        <f>""</f>
        <v/>
      </c>
      <c r="CX73" t="str">
        <f>""</f>
        <v/>
      </c>
      <c r="CY73" t="str">
        <f>""</f>
        <v/>
      </c>
      <c r="CZ73" t="str">
        <f>""</f>
        <v/>
      </c>
      <c r="DA73" t="str">
        <f>""</f>
        <v/>
      </c>
      <c r="DB73" t="str">
        <f>""</f>
        <v/>
      </c>
      <c r="DC73" t="str">
        <f>""</f>
        <v/>
      </c>
      <c r="DD73" t="str">
        <f>""</f>
        <v/>
      </c>
      <c r="DE73" t="str">
        <f>""</f>
        <v/>
      </c>
      <c r="DF73" t="str">
        <f>""</f>
        <v/>
      </c>
      <c r="DG73" t="str">
        <f>""</f>
        <v/>
      </c>
      <c r="DH73" t="str">
        <f>""</f>
        <v/>
      </c>
      <c r="DI73" t="str">
        <f>""</f>
        <v/>
      </c>
      <c r="DJ73" t="str">
        <f>""</f>
        <v/>
      </c>
      <c r="DK73" t="str">
        <f>""</f>
        <v/>
      </c>
      <c r="DL73" t="str">
        <f>""</f>
        <v/>
      </c>
      <c r="DM73" t="str">
        <f>""</f>
        <v/>
      </c>
      <c r="DN73" t="str">
        <f>""</f>
        <v/>
      </c>
      <c r="DO73" t="str">
        <f>""</f>
        <v/>
      </c>
      <c r="DP73" t="str">
        <f>""</f>
        <v/>
      </c>
      <c r="DQ73" t="str">
        <f>""</f>
        <v/>
      </c>
      <c r="DR73" t="str">
        <f>""</f>
        <v/>
      </c>
      <c r="DS73" t="str">
        <f>""</f>
        <v/>
      </c>
      <c r="DT73" t="str">
        <f>""</f>
        <v/>
      </c>
      <c r="DU73" t="str">
        <f>""</f>
        <v/>
      </c>
      <c r="DV73" t="str">
        <f>""</f>
        <v/>
      </c>
      <c r="DW73" t="str">
        <f>""</f>
        <v/>
      </c>
      <c r="DX73" t="str">
        <f>""</f>
        <v/>
      </c>
      <c r="DY73" t="str">
        <f>""</f>
        <v/>
      </c>
      <c r="DZ73" t="str">
        <f>""</f>
        <v/>
      </c>
      <c r="EA73" t="str">
        <f>""</f>
        <v/>
      </c>
      <c r="EB73" t="str">
        <f>""</f>
        <v/>
      </c>
      <c r="EC73" t="str">
        <f>""</f>
        <v/>
      </c>
      <c r="ED73" t="str">
        <f>""</f>
        <v/>
      </c>
      <c r="EE73" t="str">
        <f>""</f>
        <v/>
      </c>
      <c r="EF73" t="str">
        <f>""</f>
        <v/>
      </c>
      <c r="EG73" t="str">
        <f>""</f>
        <v/>
      </c>
      <c r="EH73" t="str">
        <f>""</f>
        <v/>
      </c>
      <c r="EI73" t="str">
        <f>""</f>
        <v/>
      </c>
      <c r="EJ73" t="str">
        <f>""</f>
        <v/>
      </c>
      <c r="EK73" t="str">
        <f>""</f>
        <v/>
      </c>
      <c r="EL73" t="str">
        <f>""</f>
        <v/>
      </c>
      <c r="EM73" t="str">
        <f>""</f>
        <v/>
      </c>
      <c r="EN73" t="str">
        <f>""</f>
        <v/>
      </c>
      <c r="EO73" t="str">
        <f>""</f>
        <v/>
      </c>
      <c r="EP73" t="str">
        <f>""</f>
        <v/>
      </c>
      <c r="EQ73" t="str">
        <f>""</f>
        <v/>
      </c>
      <c r="ER73" t="str">
        <f>""</f>
        <v/>
      </c>
      <c r="ES73" t="str">
        <f>""</f>
        <v/>
      </c>
      <c r="ET73" t="str">
        <f>""</f>
        <v/>
      </c>
      <c r="EU73" t="str">
        <f>""</f>
        <v/>
      </c>
      <c r="EV73" t="str">
        <f>""</f>
        <v/>
      </c>
      <c r="EW73" t="str">
        <f>""</f>
        <v/>
      </c>
      <c r="EX73" t="str">
        <f>""</f>
        <v/>
      </c>
      <c r="EY73" t="str">
        <f>""</f>
        <v/>
      </c>
      <c r="EZ73" t="str">
        <f>""</f>
        <v/>
      </c>
      <c r="FA73" t="str">
        <f>""</f>
        <v/>
      </c>
      <c r="FB73" t="str">
        <f>""</f>
        <v/>
      </c>
      <c r="FC73" t="str">
        <f>""</f>
        <v/>
      </c>
      <c r="FD73" t="str">
        <f>""</f>
        <v/>
      </c>
      <c r="FE73" t="str">
        <f>""</f>
        <v/>
      </c>
      <c r="FF73" t="str">
        <f>""</f>
        <v/>
      </c>
      <c r="FG73" t="str">
        <f>""</f>
        <v/>
      </c>
      <c r="FH73" t="str">
        <f>""</f>
        <v/>
      </c>
      <c r="FI73" t="str">
        <f>""</f>
        <v/>
      </c>
      <c r="FJ73" t="str">
        <f>""</f>
        <v/>
      </c>
      <c r="FK73" t="str">
        <f>""</f>
        <v/>
      </c>
      <c r="FL73" t="str">
        <f>""</f>
        <v/>
      </c>
      <c r="FM73" t="str">
        <f>""</f>
        <v/>
      </c>
      <c r="FN73" t="str">
        <f>""</f>
        <v/>
      </c>
      <c r="FO73" t="str">
        <f>""</f>
        <v/>
      </c>
      <c r="FP73" t="str">
        <f>""</f>
        <v/>
      </c>
      <c r="FQ73" t="str">
        <f>""</f>
        <v/>
      </c>
    </row>
    <row r="74" spans="1:173" x14ac:dyDescent="0.25">
      <c r="B74" t="str">
        <f>"CNIFSCSH Index"</f>
        <v>CNIFSCSH Index</v>
      </c>
      <c r="C74" t="str">
        <f>"PX385"</f>
        <v>PX385</v>
      </c>
      <c r="D74" t="str">
        <f>"INTERVAL_SUM"</f>
        <v>INTERVAL_SUM</v>
      </c>
      <c r="E74" t="str">
        <f t="shared" si="9"/>
        <v>Dynamic</v>
      </c>
      <c r="F74" t="str">
        <f ca="1">_xll.BDP($B$74,$C$74,CONCATENATE("PX391=", $F$71), CONCATENATE("PX392=",$F$72), CONCATENATE("DS004=",$B$64), "Fill=B")</f>
        <v/>
      </c>
      <c r="G74" t="str">
        <f ca="1">_xll.BDP($B$74,$C$74,CONCATENATE("PX391=", $G$71), CONCATENATE("PX392=",$G$72), CONCATENATE("DS004=",$B$64), "Fill=B")</f>
        <v/>
      </c>
      <c r="H74">
        <f ca="1">_xll.BDP($B$74,$C$74,CONCATENATE("PX391=", $H$71), CONCATENATE("PX392=",$H$72), CONCATENATE("DS004=",$B$64), "Fill=B")</f>
        <v>405</v>
      </c>
      <c r="I74">
        <f ca="1">_xll.BDP($B$74,$C$74,CONCATENATE("PX391=", $I$71), CONCATENATE("PX392=",$I$72), CONCATENATE("DS004=",$B$64), "Fill=B")</f>
        <v>420</v>
      </c>
      <c r="J74">
        <f ca="1">_xll.BDP($B$74,$C$74,CONCATENATE("PX391=", $J$71), CONCATENATE("PX392=",$J$72), CONCATENATE("DS004=",$B$64), "Fill=B")</f>
        <v>420</v>
      </c>
      <c r="K74">
        <f ca="1">_xll.BDP($B$74,$C$74,CONCATENATE("PX391=", $K$71), CONCATENATE("PX392=",$K$72), CONCATENATE("DS004=",$B$64), "Fill=B")</f>
        <v>415</v>
      </c>
      <c r="L74">
        <f ca="1">_xll.BDP($B$74,$C$74,CONCATENATE("PX391=", $L$71), CONCATENATE("PX392=",$L$72), CONCATENATE("DS004=",$B$64), "Fill=B")</f>
        <v>410</v>
      </c>
      <c r="M74">
        <f ca="1">_xll.BDP($B$74,$C$74,CONCATENATE("PX391=", $M$71), CONCATENATE("PX392=",$M$72), CONCATENATE("DS004=",$B$64), "Fill=B")</f>
        <v>401</v>
      </c>
      <c r="N74">
        <f ca="1">_xll.BDP($B$74,$C$74,CONCATENATE("PX391=", $N$71), CONCATENATE("PX392=",$N$72), CONCATENATE("DS004=",$B$64), "Fill=B")</f>
        <v>402</v>
      </c>
      <c r="O74" t="str">
        <f ca="1">_xll.BDP($B$74,$C$74,CONCATENATE("PX391=", $O$71), CONCATENATE("PX392=",$O$72), CONCATENATE("DS004=",$B$64), "Fill=B")</f>
        <v/>
      </c>
      <c r="P74" t="str">
        <f ca="1">_xll.BDP($B$74,$C$74,CONCATENATE("PX391=", $P$71), CONCATENATE("PX392=",$P$72), CONCATENATE("DS004=",$B$64), "Fill=B")</f>
        <v/>
      </c>
      <c r="Q74">
        <f ca="1">_xll.BDP($B$74,$C$74,CONCATENATE("PX391=", $Q$71), CONCATENATE("PX392=",$Q$72), CONCATENATE("DS004=",$B$64), "Fill=B")</f>
        <v>411</v>
      </c>
      <c r="R74">
        <f ca="1">_xll.BDP($B$74,$C$74,CONCATENATE("PX391=", $R$71), CONCATENATE("PX392=",$R$72), CONCATENATE("DS004=",$B$64), "Fill=B")</f>
        <v>411</v>
      </c>
      <c r="S74">
        <f ca="1">_xll.BDP($B$74,$C$74,CONCATENATE("PX391=", $S$71), CONCATENATE("PX392=",$S$72), CONCATENATE("DS004=",$B$64), "Fill=B")</f>
        <v>419</v>
      </c>
      <c r="T74">
        <f ca="1">_xll.BDP($B$74,$C$74,CONCATENATE("PX391=", $T$71), CONCATENATE("PX392=",$T$72), CONCATENATE("DS004=",$B$64), "Fill=B")</f>
        <v>387</v>
      </c>
      <c r="U74">
        <f ca="1">_xll.BDP($B$74,$C$74,CONCATENATE("PX391=", $U$71), CONCATENATE("PX392=",$U$72), CONCATENATE("DS004=",$B$64), "Fill=B")</f>
        <v>417</v>
      </c>
      <c r="V74">
        <f ca="1">_xll.BDP($B$74,$C$74,CONCATENATE("PX391=", $V$71), CONCATENATE("PX392=",$V$72), CONCATENATE("DS004=",$B$64), "Fill=B")</f>
        <v>430</v>
      </c>
      <c r="W74">
        <f ca="1">_xll.BDP($B$74,$C$74,CONCATENATE("PX391=", $W$71), CONCATENATE("PX392=",$W$72), CONCATENATE("DS004=",$B$64), "Fill=B")</f>
        <v>379</v>
      </c>
      <c r="X74">
        <f ca="1">_xll.BDP($B$74,$C$74,CONCATENATE("PX391=", $X$71), CONCATENATE("PX392=",$X$72), CONCATENATE("DS004=",$B$64), "Fill=B")</f>
        <v>340</v>
      </c>
      <c r="Y74">
        <f ca="1">_xll.BDP($B$74,$C$74,CONCATENATE("PX391=", $Y$71), CONCATENATE("PX392=",$Y$72), CONCATENATE("DS004=",$B$64), "Fill=B")</f>
        <v>308</v>
      </c>
      <c r="Z74">
        <f ca="1">_xll.BDP($B$74,$C$74,CONCATENATE("PX391=", $Z$71), CONCATENATE("PX392=",$Z$72), CONCATENATE("DS004=",$B$64), "Fill=B")</f>
        <v>410</v>
      </c>
      <c r="AA74">
        <f ca="1">_xll.BDP($B$74,$C$74,CONCATENATE("PX391=", $AA$71), CONCATENATE("PX392=",$AA$72), CONCATENATE("DS004=",$B$64), "Fill=B")</f>
        <v>381</v>
      </c>
      <c r="AB74">
        <f ca="1">_xll.BDP($B$74,$C$74,CONCATENATE("PX391=", $AB$71), CONCATENATE("PX392=",$AB$72), CONCATENATE("DS004=",$B$64), "Fill=B")</f>
        <v>435</v>
      </c>
      <c r="AC74">
        <f ca="1">_xll.BDP($B$74,$C$74,CONCATENATE("PX391=", $AC$71), CONCATENATE("PX392=",$AC$72), CONCATENATE("DS004=",$B$64), "Fill=B")</f>
        <v>398</v>
      </c>
      <c r="AD74">
        <f ca="1">_xll.BDP($B$74,$C$74,CONCATENATE("PX391=", $AD$71), CONCATENATE("PX392=",$AD$72), CONCATENATE("DS004=",$B$64), "Fill=B")</f>
        <v>406</v>
      </c>
      <c r="AE74">
        <f ca="1">_xll.BDP($B$74,$C$74,CONCATENATE("PX391=", $AE$71), CONCATENATE("PX392=",$AE$72), CONCATENATE("DS004=",$B$64), "Fill=B")</f>
        <v>419</v>
      </c>
      <c r="AF74">
        <f ca="1">_xll.BDP($B$74,$C$74,CONCATENATE("PX391=", $AF$71), CONCATENATE("PX392=",$AF$72), CONCATENATE("DS004=",$B$64), "Fill=B")</f>
        <v>383</v>
      </c>
      <c r="AG74">
        <f ca="1">_xll.BDP($B$74,$C$74,CONCATENATE("PX391=", $AG$71), CONCATENATE("PX392=",$AG$72), CONCATENATE("DS004=",$B$64), "Fill=B")</f>
        <v>432</v>
      </c>
      <c r="AH74">
        <f ca="1">_xll.BDP($B$74,$C$74,CONCATENATE("PX391=", $AH$71), CONCATENATE("PX392=",$AH$72), CONCATENATE("DS004=",$B$64), "Fill=B")</f>
        <v>370</v>
      </c>
      <c r="AI74">
        <f ca="1">_xll.BDP($B$74,$C$74,CONCATENATE("PX391=", $AI$71), CONCATENATE("PX392=",$AI$72), CONCATENATE("DS004=",$B$64), "Fill=B")</f>
        <v>409</v>
      </c>
      <c r="AJ74">
        <f ca="1">_xll.BDP($B$74,$C$74,CONCATENATE("PX391=", $AJ$71), CONCATENATE("PX392=",$AJ$72), CONCATENATE("DS004=",$B$64), "Fill=B")</f>
        <v>379</v>
      </c>
      <c r="AK74">
        <f ca="1">_xll.BDP($B$74,$C$74,CONCATENATE("PX391=", $AK$71), CONCATENATE("PX392=",$AK$72), CONCATENATE("DS004=",$B$64), "Fill=B")</f>
        <v>372</v>
      </c>
      <c r="AL74">
        <f ca="1">_xll.BDP($B$74,$C$74,CONCATENATE("PX391=", $AL$71), CONCATENATE("PX392=",$AL$72), CONCATENATE("DS004=",$B$64), "Fill=B")</f>
        <v>390</v>
      </c>
      <c r="AM74">
        <f ca="1">_xll.BDP($B$74,$C$74,CONCATENATE("PX391=", $AM$71), CONCATENATE("PX392=",$AM$72), CONCATENATE("DS004=",$B$64), "Fill=B")</f>
        <v>341</v>
      </c>
      <c r="AN74">
        <f ca="1">_xll.BDP($B$74,$C$74,CONCATENATE("PX391=", $AN$71), CONCATENATE("PX392=",$AN$72), CONCATENATE("DS004=",$B$64), "Fill=B")</f>
        <v>404</v>
      </c>
      <c r="AO74">
        <f ca="1">_xll.BDP($B$74,$C$74,CONCATENATE("PX391=", $AO$71), CONCATENATE("PX392=",$AO$72), CONCATENATE("DS004=",$B$64), "Fill=B")</f>
        <v>364</v>
      </c>
      <c r="AP74">
        <f ca="1">_xll.BDP($B$74,$C$74,CONCATENATE("PX391=", $AP$71), CONCATENATE("PX392=",$AP$72), CONCATENATE("DS004=",$B$64), "Fill=B")</f>
        <v>401</v>
      </c>
      <c r="AQ74">
        <f ca="1">_xll.BDP($B$74,$C$74,CONCATENATE("PX391=", $AQ$71), CONCATENATE("PX392=",$AQ$72), CONCATENATE("DS004=",$B$64), "Fill=B")</f>
        <v>420</v>
      </c>
      <c r="AR74">
        <f ca="1">_xll.BDP($B$74,$C$74,CONCATENATE("PX391=", $AR$71), CONCATENATE("PX392=",$AR$72), CONCATENATE("DS004=",$B$64), "Fill=B")</f>
        <v>385</v>
      </c>
      <c r="AS74">
        <f ca="1">_xll.BDP($B$74,$C$74,CONCATENATE("PX391=", $AS$71), CONCATENATE("PX392=",$AS$72), CONCATENATE("DS004=",$B$64), "Fill=B")</f>
        <v>384</v>
      </c>
      <c r="AT74">
        <f ca="1">_xll.BDP($B$74,$C$74,CONCATENATE("PX391=", $AT$71), CONCATENATE("PX392=",$AT$72), CONCATENATE("DS004=",$B$64), "Fill=B")</f>
        <v>390</v>
      </c>
      <c r="AU74">
        <f ca="1">_xll.BDP($B$74,$C$74,CONCATENATE("PX391=", $AU$71), CONCATENATE("PX392=",$AU$72), CONCATENATE("DS004=",$B$64), "Fill=B")</f>
        <v>360</v>
      </c>
      <c r="AV74">
        <f ca="1">_xll.BDP($B$74,$C$74,CONCATENATE("PX391=", $AV$71), CONCATENATE("PX392=",$AV$72), CONCATENATE("DS004=",$B$64), "Fill=B")</f>
        <v>362</v>
      </c>
      <c r="AW74">
        <f ca="1">_xll.BDP($B$74,$C$74,CONCATENATE("PX391=", $AW$71), CONCATENATE("PX392=",$AW$72), CONCATENATE("DS004=",$B$64), "Fill=B")</f>
        <v>351</v>
      </c>
      <c r="AX74">
        <f ca="1">_xll.BDP($B$74,$C$74,CONCATENATE("PX391=", $AX$71), CONCATENATE("PX392=",$AX$72), CONCATENATE("DS004=",$B$64), "Fill=B")</f>
        <v>343</v>
      </c>
      <c r="AY74">
        <f ca="1">_xll.BDP($B$74,$C$74,CONCATENATE("PX391=", $AY$71), CONCATENATE("PX392=",$AY$72), CONCATENATE("DS004=",$B$64), "Fill=B")</f>
        <v>230</v>
      </c>
      <c r="AZ74">
        <f ca="1">_xll.BDP($B$74,$C$74,CONCATENATE("PX391=", $AZ$71), CONCATENATE("PX392=",$AZ$72), CONCATENATE("DS004=",$B$64), "Fill=B")</f>
        <v>360</v>
      </c>
      <c r="BA74">
        <f ca="1">_xll.BDP($B$74,$C$74,CONCATENATE("PX391=", $BA$71), CONCATENATE("PX392=",$BA$72), CONCATENATE("DS004=",$B$64), "Fill=B")</f>
        <v>327</v>
      </c>
      <c r="BB74">
        <f ca="1">_xll.BDP($B$74,$C$74,CONCATENATE("PX391=", $BB$71), CONCATENATE("PX392=",$BB$72), CONCATENATE("DS004=",$B$64), "Fill=B")</f>
        <v>355</v>
      </c>
      <c r="BC74">
        <f ca="1">_xll.BDP($B$74,$C$74,CONCATENATE("PX391=", $BC$71), CONCATENATE("PX392=",$BC$72), CONCATENATE("DS004=",$B$64), "Fill=B")</f>
        <v>363</v>
      </c>
      <c r="BD74">
        <f ca="1">_xll.BDP($B$74,$C$74,CONCATENATE("PX391=", $BD$71), CONCATENATE("PX392=",$BD$72), CONCATENATE("DS004=",$B$64), "Fill=B")</f>
        <v>371</v>
      </c>
      <c r="BE74">
        <f ca="1">_xll.BDP($B$74,$C$74,CONCATENATE("PX391=", $BE$71), CONCATENATE("PX392=",$BE$72), CONCATENATE("DS004=",$B$64), "Fill=B")</f>
        <v>376</v>
      </c>
      <c r="BF74">
        <f ca="1">_xll.BDP($B$74,$C$74,CONCATENATE("PX391=", $BF$71), CONCATENATE("PX392=",$BF$72), CONCATENATE("DS004=",$B$64), "Fill=B")</f>
        <v>385</v>
      </c>
      <c r="BG74">
        <f ca="1">_xll.BDP($B$74,$C$74,CONCATENATE("PX391=", $BG$71), CONCATENATE("PX392=",$BG$72), CONCATENATE("DS004=",$B$64), "Fill=B")</f>
        <v>376</v>
      </c>
      <c r="BH74">
        <f ca="1">_xll.BDP($B$74,$C$74,CONCATENATE("PX391=", $BH$71), CONCATENATE("PX392=",$BH$72), CONCATENATE("DS004=",$B$64), "Fill=B")</f>
        <v>376</v>
      </c>
      <c r="BI74">
        <f ca="1">_xll.BDP($B$74,$C$74,CONCATENATE("PX391=", $BI$71), CONCATENATE("PX392=",$BI$72), CONCATENATE("DS004=",$B$64), "Fill=B")</f>
        <v>361</v>
      </c>
      <c r="BJ74">
        <f ca="1">_xll.BDP($B$74,$C$74,CONCATENATE("PX391=", $BJ$71), CONCATENATE("PX392=",$BJ$72), CONCATENATE("DS004=",$B$64), "Fill=B")</f>
        <v>381</v>
      </c>
      <c r="BK74">
        <f ca="1">_xll.BDP($B$74,$C$74,CONCATENATE("PX391=", $BK$71), CONCATENATE("PX392=",$BK$72), CONCATENATE("DS004=",$B$64), "Fill=B")</f>
        <v>286</v>
      </c>
      <c r="BL74">
        <f ca="1">_xll.BDP($B$74,$C$74,CONCATENATE("PX391=", $BL$71), CONCATENATE("PX392=",$BL$72), CONCATENATE("DS004=",$B$64), "Fill=B")</f>
        <v>375</v>
      </c>
      <c r="BM74">
        <f ca="1">_xll.BDP($B$74,$C$74,CONCATENATE("PX391=", $BM$71), CONCATENATE("PX392=",$BM$72), CONCATENATE("DS004=",$B$64), "Fill=B")</f>
        <v>358</v>
      </c>
      <c r="BN74">
        <f ca="1">_xll.BDP($B$74,$C$74,CONCATENATE("PX391=", $BN$71), CONCATENATE("PX392=",$BN$72), CONCATENATE("DS004=",$B$64), "Fill=B")</f>
        <v>350</v>
      </c>
      <c r="BO74">
        <f ca="1">_xll.BDP($B$74,$C$74,CONCATENATE("PX391=", $BO$71), CONCATENATE("PX392=",$BO$72), CONCATENATE("DS004=",$B$64), "Fill=B")</f>
        <v>353</v>
      </c>
      <c r="BP74">
        <f ca="1">_xll.BDP($B$74,$C$74,CONCATENATE("PX391=", $BP$71), CONCATENATE("PX392=",$BP$72), CONCATENATE("DS004=",$B$64), "Fill=B")</f>
        <v>381</v>
      </c>
      <c r="BQ74">
        <f ca="1">_xll.BDP($B$74,$C$74,CONCATENATE("PX391=", $BQ$71), CONCATENATE("PX392=",$BQ$72), CONCATENATE("DS004=",$B$64), "Fill=B")</f>
        <v>347</v>
      </c>
      <c r="BR74">
        <f ca="1">_xll.BDP($B$74,$C$74,CONCATENATE("PX391=", $BR$71), CONCATENATE("PX392=",$BR$72), CONCATENATE("DS004=",$B$64), "Fill=B")</f>
        <v>355</v>
      </c>
      <c r="BS74">
        <f ca="1">_xll.BDP($B$74,$C$74,CONCATENATE("PX391=", $BS$71), CONCATENATE("PX392=",$BS$72), CONCATENATE("DS004=",$B$64), "Fill=B")</f>
        <v>360</v>
      </c>
      <c r="BT74">
        <f ca="1">_xll.BDP($B$74,$C$74,CONCATENATE("PX391=", $BT$71), CONCATENATE("PX392=",$BT$72), CONCATENATE("DS004=",$B$64), "Fill=B")</f>
        <v>362</v>
      </c>
      <c r="BU74">
        <f ca="1">_xll.BDP($B$74,$C$74,CONCATENATE("PX391=", $BU$71), CONCATENATE("PX392=",$BU$72), CONCATENATE("DS004=",$B$64), "Fill=B")</f>
        <v>352</v>
      </c>
      <c r="BV74">
        <f ca="1">_xll.BDP($B$74,$C$74,CONCATENATE("PX391=", $BV$71), CONCATENATE("PX392=",$BV$72), CONCATENATE("DS004=",$B$64), "Fill=B")</f>
        <v>338</v>
      </c>
      <c r="BW74">
        <f ca="1">_xll.BDP($B$74,$C$74,CONCATENATE("PX391=", $BW$71), CONCATENATE("PX392=",$BW$72), CONCATENATE("DS004=",$B$64), "Fill=B")</f>
        <v>293</v>
      </c>
      <c r="BX74">
        <f ca="1">_xll.BDP($B$74,$C$74,CONCATENATE("PX391=", $BX$71), CONCATENATE("PX392=",$BX$72), CONCATENATE("DS004=",$B$64), "Fill=B")</f>
        <v>339</v>
      </c>
      <c r="BY74">
        <f ca="1">_xll.BDP($B$74,$C$74,CONCATENATE("PX391=", $BY$71), CONCATENATE("PX392=",$BY$72), CONCATENATE("DS004=",$B$64), "Fill=B")</f>
        <v>336</v>
      </c>
      <c r="BZ74">
        <f ca="1">_xll.BDP($B$74,$C$74,CONCATENATE("PX391=", $BZ$71), CONCATENATE("PX392=",$BZ$72), CONCATENATE("DS004=",$B$64), "Fill=B")</f>
        <v>355</v>
      </c>
      <c r="CA74">
        <f ca="1">_xll.BDP($B$74,$C$74,CONCATENATE("PX391=", $CA$71), CONCATENATE("PX392=",$CA$72), CONCATENATE("DS004=",$B$64), "Fill=B")</f>
        <v>340</v>
      </c>
      <c r="CB74">
        <f ca="1">_xll.BDP($B$74,$C$74,CONCATENATE("PX391=", $CB$71), CONCATENATE("PX392=",$CB$72), CONCATENATE("DS004=",$B$64), "Fill=B")</f>
        <v>338</v>
      </c>
      <c r="CC74">
        <f ca="1">_xll.BDP($B$74,$C$74,CONCATENATE("PX391=", $CC$71), CONCATENATE("PX392=",$CC$72), CONCATENATE("DS004=",$B$64), "Fill=B")</f>
        <v>345</v>
      </c>
      <c r="CD74">
        <f ca="1">_xll.BDP($B$74,$C$74,CONCATENATE("PX391=", $CD$71), CONCATENATE("PX392=",$CD$72), CONCATENATE("DS004=",$B$64), "Fill=B")</f>
        <v>350</v>
      </c>
      <c r="CE74">
        <f ca="1">_xll.BDP($B$74,$C$74,CONCATENATE("PX391=", $CE$71), CONCATENATE("PX392=",$CE$72), CONCATENATE("DS004=",$B$64), "Fill=B")</f>
        <v>340</v>
      </c>
      <c r="CF74">
        <f ca="1">_xll.BDP($B$74,$C$74,CONCATENATE("PX391=", $CF$71), CONCATENATE("PX392=",$CF$72), CONCATENATE("DS004=",$B$64), "Fill=B")</f>
        <v>350</v>
      </c>
      <c r="CG74">
        <f ca="1">_xll.BDP($B$74,$C$74,CONCATENATE("PX391=", $CG$71), CONCATENATE("PX392=",$CG$72), CONCATENATE("DS004=",$B$64), "Fill=B")</f>
        <v>323</v>
      </c>
      <c r="CH74">
        <f ca="1">_xll.BDP($B$74,$C$74,CONCATENATE("PX391=", $CH$71), CONCATENATE("PX392=",$CH$72), CONCATENATE("DS004=",$B$64), "Fill=B")</f>
        <v>340</v>
      </c>
      <c r="CI74">
        <f ca="1">_xll.BDP($B$74,$C$74,CONCATENATE("PX391=", $CI$71), CONCATENATE("PX392=",$CI$72), CONCATENATE("DS004=",$B$64), "Fill=B")</f>
        <v>262</v>
      </c>
      <c r="CJ74">
        <f ca="1">_xll.BDP($B$74,$C$74,CONCATENATE("PX391=", $CJ$71), CONCATENATE("PX392=",$CJ$72), CONCATENATE("DS004=",$B$64), "Fill=B")</f>
        <v>328</v>
      </c>
      <c r="CK74">
        <f ca="1">_xll.BDP($B$74,$C$74,CONCATENATE("PX391=", $CK$71), CONCATENATE("PX392=",$CK$72), CONCATENATE("DS004=",$B$64), "Fill=B")</f>
        <v>314</v>
      </c>
      <c r="CL74" t="str">
        <f>""</f>
        <v/>
      </c>
      <c r="CM74" t="str">
        <f>""</f>
        <v/>
      </c>
      <c r="CN74" t="str">
        <f>""</f>
        <v/>
      </c>
      <c r="CO74" t="str">
        <f>""</f>
        <v/>
      </c>
      <c r="CP74" t="str">
        <f>""</f>
        <v/>
      </c>
      <c r="CQ74" t="str">
        <f>""</f>
        <v/>
      </c>
      <c r="CR74" t="str">
        <f>""</f>
        <v/>
      </c>
      <c r="CS74" t="str">
        <f>""</f>
        <v/>
      </c>
      <c r="CT74" t="str">
        <f>""</f>
        <v/>
      </c>
      <c r="CU74" t="str">
        <f>""</f>
        <v/>
      </c>
      <c r="CV74" t="str">
        <f>""</f>
        <v/>
      </c>
      <c r="CW74" t="str">
        <f>""</f>
        <v/>
      </c>
      <c r="CX74" t="str">
        <f>""</f>
        <v/>
      </c>
      <c r="CY74" t="str">
        <f>""</f>
        <v/>
      </c>
      <c r="CZ74" t="str">
        <f>""</f>
        <v/>
      </c>
      <c r="DA74" t="str">
        <f>""</f>
        <v/>
      </c>
      <c r="DB74" t="str">
        <f>""</f>
        <v/>
      </c>
      <c r="DC74" t="str">
        <f>""</f>
        <v/>
      </c>
      <c r="DD74" t="str">
        <f>""</f>
        <v/>
      </c>
      <c r="DE74" t="str">
        <f>""</f>
        <v/>
      </c>
      <c r="DF74" t="str">
        <f>""</f>
        <v/>
      </c>
      <c r="DG74" t="str">
        <f>""</f>
        <v/>
      </c>
      <c r="DH74" t="str">
        <f>""</f>
        <v/>
      </c>
      <c r="DI74" t="str">
        <f>""</f>
        <v/>
      </c>
      <c r="DJ74" t="str">
        <f>""</f>
        <v/>
      </c>
      <c r="DK74" t="str">
        <f>""</f>
        <v/>
      </c>
      <c r="DL74" t="str">
        <f>""</f>
        <v/>
      </c>
      <c r="DM74" t="str">
        <f>""</f>
        <v/>
      </c>
      <c r="DN74" t="str">
        <f>""</f>
        <v/>
      </c>
      <c r="DO74" t="str">
        <f>""</f>
        <v/>
      </c>
      <c r="DP74" t="str">
        <f>""</f>
        <v/>
      </c>
      <c r="DQ74" t="str">
        <f>""</f>
        <v/>
      </c>
      <c r="DR74" t="str">
        <f>""</f>
        <v/>
      </c>
      <c r="DS74" t="str">
        <f>""</f>
        <v/>
      </c>
      <c r="DT74" t="str">
        <f>""</f>
        <v/>
      </c>
      <c r="DU74" t="str">
        <f>""</f>
        <v/>
      </c>
      <c r="DV74" t="str">
        <f>""</f>
        <v/>
      </c>
      <c r="DW74" t="str">
        <f>""</f>
        <v/>
      </c>
      <c r="DX74" t="str">
        <f>""</f>
        <v/>
      </c>
      <c r="DY74" t="str">
        <f>""</f>
        <v/>
      </c>
      <c r="DZ74" t="str">
        <f>""</f>
        <v/>
      </c>
      <c r="EA74" t="str">
        <f>""</f>
        <v/>
      </c>
      <c r="EB74" t="str">
        <f>""</f>
        <v/>
      </c>
      <c r="EC74" t="str">
        <f>""</f>
        <v/>
      </c>
      <c r="ED74" t="str">
        <f>""</f>
        <v/>
      </c>
      <c r="EE74" t="str">
        <f>""</f>
        <v/>
      </c>
      <c r="EF74" t="str">
        <f>""</f>
        <v/>
      </c>
      <c r="EG74" t="str">
        <f>""</f>
        <v/>
      </c>
      <c r="EH74" t="str">
        <f>""</f>
        <v/>
      </c>
      <c r="EI74" t="str">
        <f>""</f>
        <v/>
      </c>
      <c r="EJ74" t="str">
        <f>""</f>
        <v/>
      </c>
      <c r="EK74" t="str">
        <f>""</f>
        <v/>
      </c>
      <c r="EL74" t="str">
        <f>""</f>
        <v/>
      </c>
      <c r="EM74" t="str">
        <f>""</f>
        <v/>
      </c>
      <c r="EN74" t="str">
        <f>""</f>
        <v/>
      </c>
      <c r="EO74" t="str">
        <f>""</f>
        <v/>
      </c>
      <c r="EP74" t="str">
        <f>""</f>
        <v/>
      </c>
      <c r="EQ74" t="str">
        <f>""</f>
        <v/>
      </c>
      <c r="ER74" t="str">
        <f>""</f>
        <v/>
      </c>
      <c r="ES74" t="str">
        <f>""</f>
        <v/>
      </c>
      <c r="ET74" t="str">
        <f>""</f>
        <v/>
      </c>
      <c r="EU74" t="str">
        <f>""</f>
        <v/>
      </c>
      <c r="EV74" t="str">
        <f>""</f>
        <v/>
      </c>
      <c r="EW74" t="str">
        <f>""</f>
        <v/>
      </c>
      <c r="EX74" t="str">
        <f>""</f>
        <v/>
      </c>
      <c r="EY74" t="str">
        <f>""</f>
        <v/>
      </c>
      <c r="EZ74" t="str">
        <f>""</f>
        <v/>
      </c>
      <c r="FA74" t="str">
        <f>""</f>
        <v/>
      </c>
      <c r="FB74" t="str">
        <f>""</f>
        <v/>
      </c>
      <c r="FC74" t="str">
        <f>""</f>
        <v/>
      </c>
      <c r="FD74" t="str">
        <f>""</f>
        <v/>
      </c>
      <c r="FE74" t="str">
        <f>""</f>
        <v/>
      </c>
      <c r="FF74" t="str">
        <f>""</f>
        <v/>
      </c>
      <c r="FG74" t="str">
        <f>""</f>
        <v/>
      </c>
      <c r="FH74" t="str">
        <f>""</f>
        <v/>
      </c>
      <c r="FI74" t="str">
        <f>""</f>
        <v/>
      </c>
      <c r="FJ74" t="str">
        <f>""</f>
        <v/>
      </c>
      <c r="FK74" t="str">
        <f>""</f>
        <v/>
      </c>
      <c r="FL74" t="str">
        <f>""</f>
        <v/>
      </c>
      <c r="FM74" t="str">
        <f>""</f>
        <v/>
      </c>
      <c r="FN74" t="str">
        <f>""</f>
        <v/>
      </c>
      <c r="FO74" t="str">
        <f>""</f>
        <v/>
      </c>
      <c r="FP74" t="str">
        <f>""</f>
        <v/>
      </c>
      <c r="FQ74" t="str">
        <f>""</f>
        <v/>
      </c>
    </row>
    <row r="75" spans="1:173" x14ac:dyDescent="0.25">
      <c r="B75" t="str">
        <f>"CNIFSCSZ Index"</f>
        <v>CNIFSCSZ Index</v>
      </c>
      <c r="C75" t="str">
        <f>"PX385"</f>
        <v>PX385</v>
      </c>
      <c r="D75" t="str">
        <f>"INTERVAL_SUM"</f>
        <v>INTERVAL_SUM</v>
      </c>
      <c r="E75" t="str">
        <f t="shared" si="9"/>
        <v>Dynamic</v>
      </c>
      <c r="F75" t="str">
        <f ca="1">_xll.BDP($B$75,$C$75,CONCATENATE("PX391=", $F$71), CONCATENATE("PX392=",$F$72), CONCATENATE("DS004=",$B$64), "Fill=B")</f>
        <v/>
      </c>
      <c r="G75" t="str">
        <f ca="1">_xll.BDP($B$75,$C$75,CONCATENATE("PX391=", $G$71), CONCATENATE("PX392=",$G$72), CONCATENATE("DS004=",$B$64), "Fill=B")</f>
        <v/>
      </c>
      <c r="H75">
        <f ca="1">_xll.BDP($B$75,$C$75,CONCATENATE("PX391=", $H$71), CONCATENATE("PX392=",$H$72), CONCATENATE("DS004=",$B$64), "Fill=B")</f>
        <v>263</v>
      </c>
      <c r="I75">
        <f ca="1">_xll.BDP($B$75,$C$75,CONCATENATE("PX391=", $I$71), CONCATENATE("PX392=",$I$72), CONCATENATE("DS004=",$B$64), "Fill=B")</f>
        <v>275</v>
      </c>
      <c r="J75">
        <f ca="1">_xll.BDP($B$75,$C$75,CONCATENATE("PX391=", $J$71), CONCATENATE("PX392=",$J$72), CONCATENATE("DS004=",$B$64), "Fill=B")</f>
        <v>282</v>
      </c>
      <c r="K75">
        <f ca="1">_xll.BDP($B$75,$C$75,CONCATENATE("PX391=", $K$71), CONCATENATE("PX392=",$K$72), CONCATENATE("DS004=",$B$64), "Fill=B")</f>
        <v>262</v>
      </c>
      <c r="L75">
        <f ca="1">_xll.BDP($B$75,$C$75,CONCATENATE("PX391=", $L$71), CONCATENATE("PX392=",$L$72), CONCATENATE("DS004=",$B$64), "Fill=B")</f>
        <v>248</v>
      </c>
      <c r="M75">
        <f ca="1">_xll.BDP($B$75,$C$75,CONCATENATE("PX391=", $M$71), CONCATENATE("PX392=",$M$72), CONCATENATE("DS004=",$B$64), "Fill=B")</f>
        <v>226</v>
      </c>
      <c r="N75">
        <f ca="1">_xll.BDP($B$75,$C$75,CONCATENATE("PX391=", $N$71), CONCATENATE("PX392=",$N$72), CONCATENATE("DS004=",$B$64), "Fill=B")</f>
        <v>226</v>
      </c>
      <c r="O75" t="str">
        <f ca="1">_xll.BDP($B$75,$C$75,CONCATENATE("PX391=", $O$71), CONCATENATE("PX392=",$O$72), CONCATENATE("DS004=",$B$64), "Fill=B")</f>
        <v/>
      </c>
      <c r="P75" t="str">
        <f ca="1">_xll.BDP($B$75,$C$75,CONCATENATE("PX391=", $P$71), CONCATENATE("PX392=",$P$72), CONCATENATE("DS004=",$B$64), "Fill=B")</f>
        <v/>
      </c>
      <c r="Q75">
        <f ca="1">_xll.BDP($B$75,$C$75,CONCATENATE("PX391=", $Q$71), CONCATENATE("PX392=",$Q$72), CONCATENATE("DS004=",$B$64), "Fill=B")</f>
        <v>320</v>
      </c>
      <c r="R75">
        <f ca="1">_xll.BDP($B$75,$C$75,CONCATENATE("PX391=", $R$71), CONCATENATE("PX392=",$R$72), CONCATENATE("DS004=",$B$64), "Fill=B")</f>
        <v>266</v>
      </c>
      <c r="S75">
        <f ca="1">_xll.BDP($B$75,$C$75,CONCATENATE("PX391=", $S$71), CONCATENATE("PX392=",$S$72), CONCATENATE("DS004=",$B$64), "Fill=B")</f>
        <v>224</v>
      </c>
      <c r="T75">
        <f ca="1">_xll.BDP($B$75,$C$75,CONCATENATE("PX391=", $T$71), CONCATENATE("PX392=",$T$72), CONCATENATE("DS004=",$B$64), "Fill=B")</f>
        <v>243</v>
      </c>
      <c r="U75">
        <f ca="1">_xll.BDP($B$75,$C$75,CONCATENATE("PX391=", $U$71), CONCATENATE("PX392=",$U$72), CONCATENATE("DS004=",$B$64), "Fill=B")</f>
        <v>249</v>
      </c>
      <c r="V75">
        <f ca="1">_xll.BDP($B$75,$C$75,CONCATENATE("PX391=", $V$71), CONCATENATE("PX392=",$V$72), CONCATENATE("DS004=",$B$64), "Fill=B")</f>
        <v>262</v>
      </c>
      <c r="W75">
        <f ca="1">_xll.BDP($B$75,$C$75,CONCATENATE("PX391=", $W$71), CONCATENATE("PX392=",$W$72), CONCATENATE("DS004=",$B$64), "Fill=B")</f>
        <v>262</v>
      </c>
      <c r="X75">
        <f ca="1">_xll.BDP($B$75,$C$75,CONCATENATE("PX391=", $X$71), CONCATENATE("PX392=",$X$72), CONCATENATE("DS004=",$B$64), "Fill=B")</f>
        <v>268</v>
      </c>
      <c r="Y75">
        <f ca="1">_xll.BDP($B$75,$C$75,CONCATENATE("PX391=", $Y$71), CONCATENATE("PX392=",$Y$72), CONCATENATE("DS004=",$B$64), "Fill=B")</f>
        <v>261</v>
      </c>
      <c r="Z75">
        <f ca="1">_xll.BDP($B$75,$C$75,CONCATENATE("PX391=", $Z$71), CONCATENATE("PX392=",$Z$72), CONCATENATE("DS004=",$B$64), "Fill=B")</f>
        <v>221</v>
      </c>
      <c r="AA75">
        <f ca="1">_xll.BDP($B$75,$C$75,CONCATENATE("PX391=", $AA$71), CONCATENATE("PX392=",$AA$72), CONCATENATE("DS004=",$B$64), "Fill=B")</f>
        <v>182</v>
      </c>
      <c r="AB75">
        <f ca="1">_xll.BDP($B$75,$C$75,CONCATENATE("PX391=", $AB$71), CONCATENATE("PX392=",$AB$72), CONCATENATE("DS004=",$B$64), "Fill=B")</f>
        <v>246</v>
      </c>
      <c r="AC75">
        <f ca="1">_xll.BDP($B$75,$C$75,CONCATENATE("PX391=", $AC$71), CONCATENATE("PX392=",$AC$72), CONCATENATE("DS004=",$B$64), "Fill=B")</f>
        <v>253</v>
      </c>
      <c r="AD75">
        <f ca="1">_xll.BDP($B$75,$C$75,CONCATENATE("PX391=", $AD$71), CONCATENATE("PX392=",$AD$72), CONCATENATE("DS004=",$B$64), "Fill=B")</f>
        <v>245</v>
      </c>
      <c r="AE75">
        <f ca="1">_xll.BDP($B$75,$C$75,CONCATENATE("PX391=", $AE$71), CONCATENATE("PX392=",$AE$72), CONCATENATE("DS004=",$B$64), "Fill=B")</f>
        <v>237</v>
      </c>
      <c r="AF75">
        <f ca="1">_xll.BDP($B$75,$C$75,CONCATENATE("PX391=", $AF$71), CONCATENATE("PX392=",$AF$72), CONCATENATE("DS004=",$B$64), "Fill=B")</f>
        <v>272</v>
      </c>
      <c r="AG75">
        <f ca="1">_xll.BDP($B$75,$C$75,CONCATENATE("PX391=", $AG$71), CONCATENATE("PX392=",$AG$72), CONCATENATE("DS004=",$B$64), "Fill=B")</f>
        <v>254</v>
      </c>
      <c r="AH75">
        <f ca="1">_xll.BDP($B$75,$C$75,CONCATENATE("PX391=", $AH$71), CONCATENATE("PX392=",$AH$72), CONCATENATE("DS004=",$B$64), "Fill=B")</f>
        <v>238</v>
      </c>
      <c r="AI75">
        <f ca="1">_xll.BDP($B$75,$C$75,CONCATENATE("PX391=", $AI$71), CONCATENATE("PX392=",$AI$72), CONCATENATE("DS004=",$B$64), "Fill=B")</f>
        <v>185</v>
      </c>
      <c r="AJ75">
        <f ca="1">_xll.BDP($B$75,$C$75,CONCATENATE("PX391=", $AJ$71), CONCATENATE("PX392=",$AJ$72), CONCATENATE("DS004=",$B$64), "Fill=B")</f>
        <v>234</v>
      </c>
      <c r="AK75">
        <f ca="1">_xll.BDP($B$75,$C$75,CONCATENATE("PX391=", $AK$71), CONCATENATE("PX392=",$AK$72), CONCATENATE("DS004=",$B$64), "Fill=B")</f>
        <v>236</v>
      </c>
      <c r="AL75">
        <f ca="1">_xll.BDP($B$75,$C$75,CONCATENATE("PX391=", $AL$71), CONCATENATE("PX392=",$AL$72), CONCATENATE("DS004=",$B$64), "Fill=B")</f>
        <v>241</v>
      </c>
      <c r="AM75">
        <f ca="1">_xll.BDP($B$75,$C$75,CONCATENATE("PX391=", $AM$71), CONCATENATE("PX392=",$AM$72), CONCATENATE("DS004=",$B$64), "Fill=B")</f>
        <v>210</v>
      </c>
      <c r="AN75">
        <f ca="1">_xll.BDP($B$75,$C$75,CONCATENATE("PX391=", $AN$71), CONCATENATE("PX392=",$AN$72), CONCATENATE("DS004=",$B$64), "Fill=B")</f>
        <v>271</v>
      </c>
      <c r="AO75">
        <f ca="1">_xll.BDP($B$75,$C$75,CONCATENATE("PX391=", $AO$71), CONCATENATE("PX392=",$AO$72), CONCATENATE("DS004=",$B$64), "Fill=B")</f>
        <v>257</v>
      </c>
      <c r="AP75">
        <f ca="1">_xll.BDP($B$75,$C$75,CONCATENATE("PX391=", $AP$71), CONCATENATE("PX392=",$AP$72), CONCATENATE("DS004=",$B$64), "Fill=B")</f>
        <v>248</v>
      </c>
      <c r="AQ75">
        <f ca="1">_xll.BDP($B$75,$C$75,CONCATENATE("PX391=", $AQ$71), CONCATENATE("PX392=",$AQ$72), CONCATENATE("DS004=",$B$64), "Fill=B")</f>
        <v>258</v>
      </c>
      <c r="AR75">
        <f ca="1">_xll.BDP($B$75,$C$75,CONCATENATE("PX391=", $AR$71), CONCATENATE("PX392=",$AR$72), CONCATENATE("DS004=",$B$64), "Fill=B")</f>
        <v>282</v>
      </c>
      <c r="AS75">
        <f ca="1">_xll.BDP($B$75,$C$75,CONCATENATE("PX391=", $AS$71), CONCATENATE("PX392=",$AS$72), CONCATENATE("DS004=",$B$64), "Fill=B")</f>
        <v>262</v>
      </c>
      <c r="AT75">
        <f ca="1">_xll.BDP($B$75,$C$75,CONCATENATE("PX391=", $AT$71), CONCATENATE("PX392=",$AT$72), CONCATENATE("DS004=",$B$64), "Fill=B")</f>
        <v>240</v>
      </c>
      <c r="AU75">
        <f ca="1">_xll.BDP($B$75,$C$75,CONCATENATE("PX391=", $AU$71), CONCATENATE("PX392=",$AU$72), CONCATENATE("DS004=",$B$64), "Fill=B")</f>
        <v>221</v>
      </c>
      <c r="AV75">
        <f ca="1">_xll.BDP($B$75,$C$75,CONCATENATE("PX391=", $AV$71), CONCATENATE("PX392=",$AV$72), CONCATENATE("DS004=",$B$64), "Fill=B")</f>
        <v>181</v>
      </c>
      <c r="AW75">
        <f ca="1">_xll.BDP($B$75,$C$75,CONCATENATE("PX391=", $AW$71), CONCATENATE("PX392=",$AW$72), CONCATENATE("DS004=",$B$64), "Fill=B")</f>
        <v>171</v>
      </c>
      <c r="AX75">
        <f ca="1">_xll.BDP($B$75,$C$75,CONCATENATE("PX391=", $AX$71), CONCATENATE("PX392=",$AX$72), CONCATENATE("DS004=",$B$64), "Fill=B")</f>
        <v>184</v>
      </c>
      <c r="AY75">
        <f ca="1">_xll.BDP($B$75,$C$75,CONCATENATE("PX391=", $AY$71), CONCATENATE("PX392=",$AY$72), CONCATENATE("DS004=",$B$64), "Fill=B")</f>
        <v>121</v>
      </c>
      <c r="AZ75">
        <f ca="1">_xll.BDP($B$75,$C$75,CONCATENATE("PX391=", $AZ$71), CONCATENATE("PX392=",$AZ$72), CONCATENATE("DS004=",$B$64), "Fill=B")</f>
        <v>229</v>
      </c>
      <c r="BA75">
        <f ca="1">_xll.BDP($B$75,$C$75,CONCATENATE("PX391=", $BA$71), CONCATENATE("PX392=",$BA$72), CONCATENATE("DS004=",$B$64), "Fill=B")</f>
        <v>218</v>
      </c>
      <c r="BB75">
        <f ca="1">_xll.BDP($B$75,$C$75,CONCATENATE("PX391=", $BB$71), CONCATENATE("PX392=",$BB$72), CONCATENATE("DS004=",$B$64), "Fill=B")</f>
        <v>215</v>
      </c>
      <c r="BC75">
        <f ca="1">_xll.BDP($B$75,$C$75,CONCATENATE("PX391=", $BC$71), CONCATENATE("PX392=",$BC$72), CONCATENATE("DS004=",$B$64), "Fill=B")</f>
        <v>212</v>
      </c>
      <c r="BD75">
        <f ca="1">_xll.BDP($B$75,$C$75,CONCATENATE("PX391=", $BD$71), CONCATENATE("PX392=",$BD$72), CONCATENATE("DS004=",$B$64), "Fill=B")</f>
        <v>230</v>
      </c>
      <c r="BE75">
        <f ca="1">_xll.BDP($B$75,$C$75,CONCATENATE("PX391=", $BE$71), CONCATENATE("PX392=",$BE$72), CONCATENATE("DS004=",$B$64), "Fill=B")</f>
        <v>234</v>
      </c>
      <c r="BF75">
        <f ca="1">_xll.BDP($B$75,$C$75,CONCATENATE("PX391=", $BF$71), CONCATENATE("PX392=",$BF$72), CONCATENATE("DS004=",$B$64), "Fill=B")</f>
        <v>227</v>
      </c>
      <c r="BG75">
        <f ca="1">_xll.BDP($B$75,$C$75,CONCATENATE("PX391=", $BG$71), CONCATENATE("PX392=",$BG$72), CONCATENATE("DS004=",$B$64), "Fill=B")</f>
        <v>218</v>
      </c>
      <c r="BH75">
        <f ca="1">_xll.BDP($B$75,$C$75,CONCATENATE("PX391=", $BH$71), CONCATENATE("PX392=",$BH$72), CONCATENATE("DS004=",$B$64), "Fill=B")</f>
        <v>209</v>
      </c>
      <c r="BI75">
        <f ca="1">_xll.BDP($B$75,$C$75,CONCATENATE("PX391=", $BI$71), CONCATENATE("PX392=",$BI$72), CONCATENATE("DS004=",$B$64), "Fill=B")</f>
        <v>208</v>
      </c>
      <c r="BJ75">
        <f ca="1">_xll.BDP($B$75,$C$75,CONCATENATE("PX391=", $BJ$71), CONCATENATE("PX392=",$BJ$72), CONCATENATE("DS004=",$B$64), "Fill=B")</f>
        <v>205</v>
      </c>
      <c r="BK75">
        <f ca="1">_xll.BDP($B$75,$C$75,CONCATENATE("PX391=", $BK$71), CONCATENATE("PX392=",$BK$72), CONCATENATE("DS004=",$B$64), "Fill=B")</f>
        <v>160</v>
      </c>
      <c r="BL75">
        <f ca="1">_xll.BDP($B$75,$C$75,CONCATENATE("PX391=", $BL$71), CONCATENATE("PX392=",$BL$72), CONCATENATE("DS004=",$B$64), "Fill=B")</f>
        <v>241</v>
      </c>
      <c r="BM75">
        <f ca="1">_xll.BDP($B$75,$C$75,CONCATENATE("PX391=", $BM$71), CONCATENATE("PX392=",$BM$72), CONCATENATE("DS004=",$B$64), "Fill=B")</f>
        <v>211</v>
      </c>
      <c r="BN75">
        <f ca="1">_xll.BDP($B$75,$C$75,CONCATENATE("PX391=", $BN$71), CONCATENATE("PX392=",$BN$72), CONCATENATE("DS004=",$B$64), "Fill=B")</f>
        <v>230</v>
      </c>
      <c r="BO75">
        <f ca="1">_xll.BDP($B$75,$C$75,CONCATENATE("PX391=", $BO$71), CONCATENATE("PX392=",$BO$72), CONCATENATE("DS004=",$B$64), "Fill=B")</f>
        <v>219</v>
      </c>
      <c r="BP75">
        <f ca="1">_xll.BDP($B$75,$C$75,CONCATENATE("PX391=", $BP$71), CONCATENATE("PX392=",$BP$72), CONCATENATE("DS004=",$B$64), "Fill=B")</f>
        <v>229</v>
      </c>
      <c r="BQ75">
        <f ca="1">_xll.BDP($B$75,$C$75,CONCATENATE("PX391=", $BQ$71), CONCATENATE("PX392=",$BQ$72), CONCATENATE("DS004=",$B$64), "Fill=B")</f>
        <v>234</v>
      </c>
      <c r="BR75">
        <f ca="1">_xll.BDP($B$75,$C$75,CONCATENATE("PX391=", $BR$71), CONCATENATE("PX392=",$BR$72), CONCATENATE("DS004=",$B$64), "Fill=B")</f>
        <v>228</v>
      </c>
      <c r="BS75">
        <f ca="1">_xll.BDP($B$75,$C$75,CONCATENATE("PX391=", $BS$71), CONCATENATE("PX392=",$BS$72), CONCATENATE("DS004=",$B$64), "Fill=B")</f>
        <v>208</v>
      </c>
      <c r="BT75">
        <f ca="1">_xll.BDP($B$75,$C$75,CONCATENATE("PX391=", $BT$71), CONCATENATE("PX392=",$BT$72), CONCATENATE("DS004=",$B$64), "Fill=B")</f>
        <v>209</v>
      </c>
      <c r="BU75">
        <f ca="1">_xll.BDP($B$75,$C$75,CONCATENATE("PX391=", $BU$71), CONCATENATE("PX392=",$BU$72), CONCATENATE("DS004=",$B$64), "Fill=B")</f>
        <v>195</v>
      </c>
      <c r="BV75">
        <f ca="1">_xll.BDP($B$75,$C$75,CONCATENATE("PX391=", $BV$71), CONCATENATE("PX392=",$BV$72), CONCATENATE("DS004=",$B$64), "Fill=B")</f>
        <v>179</v>
      </c>
      <c r="BW75">
        <f ca="1">_xll.BDP($B$75,$C$75,CONCATENATE("PX391=", $BW$71), CONCATENATE("PX392=",$BW$72), CONCATENATE("DS004=",$B$64), "Fill=B")</f>
        <v>188</v>
      </c>
      <c r="BX75">
        <f ca="1">_xll.BDP($B$75,$C$75,CONCATENATE("PX391=", $BX$71), CONCATENATE("PX392=",$BX$72), CONCATENATE("DS004=",$B$64), "Fill=B")</f>
        <v>236</v>
      </c>
      <c r="BY75">
        <f ca="1">_xll.BDP($B$75,$C$75,CONCATENATE("PX391=", $BY$71), CONCATENATE("PX392=",$BY$72), CONCATENATE("DS004=",$B$64), "Fill=B")</f>
        <v>205</v>
      </c>
      <c r="BZ75">
        <f ca="1">_xll.BDP($B$75,$C$75,CONCATENATE("PX391=", $BZ$71), CONCATENATE("PX392=",$BZ$72), CONCATENATE("DS004=",$B$64), "Fill=B")</f>
        <v>210</v>
      </c>
      <c r="CA75">
        <f ca="1">_xll.BDP($B$75,$C$75,CONCATENATE("PX391=", $CA$71), CONCATENATE("PX392=",$CA$72), CONCATENATE("DS004=",$B$64), "Fill=B")</f>
        <v>215</v>
      </c>
      <c r="CB75">
        <f ca="1">_xll.BDP($B$75,$C$75,CONCATENATE("PX391=", $CB$71), CONCATENATE("PX392=",$CB$72), CONCATENATE("DS004=",$B$64), "Fill=B")</f>
        <v>246</v>
      </c>
      <c r="CC75">
        <f ca="1">_xll.BDP($B$75,$C$75,CONCATENATE("PX391=", $CC$71), CONCATENATE("PX392=",$CC$72), CONCATENATE("DS004=",$B$64), "Fill=B")</f>
        <v>228</v>
      </c>
      <c r="CD75">
        <f ca="1">_xll.BDP($B$75,$C$75,CONCATENATE("PX391=", $CD$71), CONCATENATE("PX392=",$CD$72), CONCATENATE("DS004=",$B$64), "Fill=B")</f>
        <v>235</v>
      </c>
      <c r="CE75">
        <f ca="1">_xll.BDP($B$75,$C$75,CONCATENATE("PX391=", $CE$71), CONCATENATE("PX392=",$CE$72), CONCATENATE("DS004=",$B$64), "Fill=B")</f>
        <v>209</v>
      </c>
      <c r="CF75">
        <f ca="1">_xll.BDP($B$75,$C$75,CONCATENATE("PX391=", $CF$71), CONCATENATE("PX392=",$CF$72), CONCATENATE("DS004=",$B$64), "Fill=B")</f>
        <v>216</v>
      </c>
      <c r="CG75">
        <f ca="1">_xll.BDP($B$75,$C$75,CONCATENATE("PX391=", $CG$71), CONCATENATE("PX392=",$CG$72), CONCATENATE("DS004=",$B$64), "Fill=B")</f>
        <v>202</v>
      </c>
      <c r="CH75">
        <f ca="1">_xll.BDP($B$75,$C$75,CONCATENATE("PX391=", $CH$71), CONCATENATE("PX392=",$CH$72), CONCATENATE("DS004=",$B$64), "Fill=B")</f>
        <v>192</v>
      </c>
      <c r="CI75">
        <f ca="1">_xll.BDP($B$75,$C$75,CONCATENATE("PX391=", $CI$71), CONCATENATE("PX392=",$CI$72), CONCATENATE("DS004=",$B$64), "Fill=B")</f>
        <v>136</v>
      </c>
      <c r="CJ75">
        <f ca="1">_xll.BDP($B$75,$C$75,CONCATENATE("PX391=", $CJ$71), CONCATENATE("PX392=",$CJ$72), CONCATENATE("DS004=",$B$64), "Fill=B")</f>
        <v>216</v>
      </c>
      <c r="CK75">
        <f ca="1">_xll.BDP($B$75,$C$75,CONCATENATE("PX391=", $CK$71), CONCATENATE("PX392=",$CK$72), CONCATENATE("DS004=",$B$64), "Fill=B")</f>
        <v>208</v>
      </c>
      <c r="CL75" t="str">
        <f>""</f>
        <v/>
      </c>
      <c r="CM75" t="str">
        <f>""</f>
        <v/>
      </c>
      <c r="CN75" t="str">
        <f>""</f>
        <v/>
      </c>
      <c r="CO75" t="str">
        <f>""</f>
        <v/>
      </c>
      <c r="CP75" t="str">
        <f>""</f>
        <v/>
      </c>
      <c r="CQ75" t="str">
        <f>""</f>
        <v/>
      </c>
      <c r="CR75" t="str">
        <f>""</f>
        <v/>
      </c>
      <c r="CS75" t="str">
        <f>""</f>
        <v/>
      </c>
      <c r="CT75" t="str">
        <f>""</f>
        <v/>
      </c>
      <c r="CU75" t="str">
        <f>""</f>
        <v/>
      </c>
      <c r="CV75" t="str">
        <f>""</f>
        <v/>
      </c>
      <c r="CW75" t="str">
        <f>""</f>
        <v/>
      </c>
      <c r="CX75" t="str">
        <f>""</f>
        <v/>
      </c>
      <c r="CY75" t="str">
        <f>""</f>
        <v/>
      </c>
      <c r="CZ75" t="str">
        <f>""</f>
        <v/>
      </c>
      <c r="DA75" t="str">
        <f>""</f>
        <v/>
      </c>
      <c r="DB75" t="str">
        <f>""</f>
        <v/>
      </c>
      <c r="DC75" t="str">
        <f>""</f>
        <v/>
      </c>
      <c r="DD75" t="str">
        <f>""</f>
        <v/>
      </c>
      <c r="DE75" t="str">
        <f>""</f>
        <v/>
      </c>
      <c r="DF75" t="str">
        <f>""</f>
        <v/>
      </c>
      <c r="DG75" t="str">
        <f>""</f>
        <v/>
      </c>
      <c r="DH75" t="str">
        <f>""</f>
        <v/>
      </c>
      <c r="DI75" t="str">
        <f>""</f>
        <v/>
      </c>
      <c r="DJ75" t="str">
        <f>""</f>
        <v/>
      </c>
      <c r="DK75" t="str">
        <f>""</f>
        <v/>
      </c>
      <c r="DL75" t="str">
        <f>""</f>
        <v/>
      </c>
      <c r="DM75" t="str">
        <f>""</f>
        <v/>
      </c>
      <c r="DN75" t="str">
        <f>""</f>
        <v/>
      </c>
      <c r="DO75" t="str">
        <f>""</f>
        <v/>
      </c>
      <c r="DP75" t="str">
        <f>""</f>
        <v/>
      </c>
      <c r="DQ75" t="str">
        <f>""</f>
        <v/>
      </c>
      <c r="DR75" t="str">
        <f>""</f>
        <v/>
      </c>
      <c r="DS75" t="str">
        <f>""</f>
        <v/>
      </c>
      <c r="DT75" t="str">
        <f>""</f>
        <v/>
      </c>
      <c r="DU75" t="str">
        <f>""</f>
        <v/>
      </c>
      <c r="DV75" t="str">
        <f>""</f>
        <v/>
      </c>
      <c r="DW75" t="str">
        <f>""</f>
        <v/>
      </c>
      <c r="DX75" t="str">
        <f>""</f>
        <v/>
      </c>
      <c r="DY75" t="str">
        <f>""</f>
        <v/>
      </c>
      <c r="DZ75" t="str">
        <f>""</f>
        <v/>
      </c>
      <c r="EA75" t="str">
        <f>""</f>
        <v/>
      </c>
      <c r="EB75" t="str">
        <f>""</f>
        <v/>
      </c>
      <c r="EC75" t="str">
        <f>""</f>
        <v/>
      </c>
      <c r="ED75" t="str">
        <f>""</f>
        <v/>
      </c>
      <c r="EE75" t="str">
        <f>""</f>
        <v/>
      </c>
      <c r="EF75" t="str">
        <f>""</f>
        <v/>
      </c>
      <c r="EG75" t="str">
        <f>""</f>
        <v/>
      </c>
      <c r="EH75" t="str">
        <f>""</f>
        <v/>
      </c>
      <c r="EI75" t="str">
        <f>""</f>
        <v/>
      </c>
      <c r="EJ75" t="str">
        <f>""</f>
        <v/>
      </c>
      <c r="EK75" t="str">
        <f>""</f>
        <v/>
      </c>
      <c r="EL75" t="str">
        <f>""</f>
        <v/>
      </c>
      <c r="EM75" t="str">
        <f>""</f>
        <v/>
      </c>
      <c r="EN75" t="str">
        <f>""</f>
        <v/>
      </c>
      <c r="EO75" t="str">
        <f>""</f>
        <v/>
      </c>
      <c r="EP75" t="str">
        <f>""</f>
        <v/>
      </c>
      <c r="EQ75" t="str">
        <f>""</f>
        <v/>
      </c>
      <c r="ER75" t="str">
        <f>""</f>
        <v/>
      </c>
      <c r="ES75" t="str">
        <f>""</f>
        <v/>
      </c>
      <c r="ET75" t="str">
        <f>""</f>
        <v/>
      </c>
      <c r="EU75" t="str">
        <f>""</f>
        <v/>
      </c>
      <c r="EV75" t="str">
        <f>""</f>
        <v/>
      </c>
      <c r="EW75" t="str">
        <f>""</f>
        <v/>
      </c>
      <c r="EX75" t="str">
        <f>""</f>
        <v/>
      </c>
      <c r="EY75" t="str">
        <f>""</f>
        <v/>
      </c>
      <c r="EZ75" t="str">
        <f>""</f>
        <v/>
      </c>
      <c r="FA75" t="str">
        <f>""</f>
        <v/>
      </c>
      <c r="FB75" t="str">
        <f>""</f>
        <v/>
      </c>
      <c r="FC75" t="str">
        <f>""</f>
        <v/>
      </c>
      <c r="FD75" t="str">
        <f>""</f>
        <v/>
      </c>
      <c r="FE75" t="str">
        <f>""</f>
        <v/>
      </c>
      <c r="FF75" t="str">
        <f>""</f>
        <v/>
      </c>
      <c r="FG75" t="str">
        <f>""</f>
        <v/>
      </c>
      <c r="FH75" t="str">
        <f>""</f>
        <v/>
      </c>
      <c r="FI75" t="str">
        <f>""</f>
        <v/>
      </c>
      <c r="FJ75" t="str">
        <f>""</f>
        <v/>
      </c>
      <c r="FK75" t="str">
        <f>""</f>
        <v/>
      </c>
      <c r="FL75" t="str">
        <f>""</f>
        <v/>
      </c>
      <c r="FM75" t="str">
        <f>""</f>
        <v/>
      </c>
      <c r="FN75" t="str">
        <f>""</f>
        <v/>
      </c>
      <c r="FO75" t="str">
        <f>""</f>
        <v/>
      </c>
      <c r="FP75" t="str">
        <f>""</f>
        <v/>
      </c>
      <c r="FQ75" t="str">
        <f>""</f>
        <v/>
      </c>
    </row>
    <row r="76" spans="1:173" x14ac:dyDescent="0.25">
      <c r="B76" t="str">
        <f>"CNIFSCNZ Index"</f>
        <v>CNIFSCNZ Index</v>
      </c>
      <c r="C76" t="str">
        <f>"PX385"</f>
        <v>PX385</v>
      </c>
      <c r="D76" t="str">
        <f>"INTERVAL_SUM"</f>
        <v>INTERVAL_SUM</v>
      </c>
      <c r="E76" t="str">
        <f t="shared" si="9"/>
        <v>Dynamic</v>
      </c>
      <c r="F76" t="str">
        <f ca="1">_xll.BDP($B$76,$C$76,CONCATENATE("PX391=", $F$71), CONCATENATE("PX392=",$F$72), CONCATENATE("DS004=",$B$64), "Fill=B")</f>
        <v/>
      </c>
      <c r="G76" t="str">
        <f ca="1">_xll.BDP($B$76,$C$76,CONCATENATE("PX391=", $G$71), CONCATENATE("PX392=",$G$72), CONCATENATE("DS004=",$B$64), "Fill=B")</f>
        <v/>
      </c>
      <c r="H76">
        <f ca="1">_xll.BDP($B$76,$C$76,CONCATENATE("PX391=", $H$71), CONCATENATE("PX392=",$H$72), CONCATENATE("DS004=",$B$64), "Fill=B")</f>
        <v>320</v>
      </c>
      <c r="I76">
        <f ca="1">_xll.BDP($B$76,$C$76,CONCATENATE("PX391=", $I$71), CONCATENATE("PX392=",$I$72), CONCATENATE("DS004=",$B$64), "Fill=B")</f>
        <v>319</v>
      </c>
      <c r="J76">
        <f ca="1">_xll.BDP($B$76,$C$76,CONCATENATE("PX391=", $J$71), CONCATENATE("PX392=",$J$72), CONCATENATE("DS004=",$B$64), "Fill=B")</f>
        <v>318</v>
      </c>
      <c r="K76">
        <f ca="1">_xll.BDP($B$76,$C$76,CONCATENATE("PX391=", $K$71), CONCATENATE("PX392=",$K$72), CONCATENATE("DS004=",$B$64), "Fill=B")</f>
        <v>322</v>
      </c>
      <c r="L76">
        <f ca="1">_xll.BDP($B$76,$C$76,CONCATENATE("PX391=", $L$71), CONCATENATE("PX392=",$L$72), CONCATENATE("DS004=",$B$64), "Fill=B")</f>
        <v>315</v>
      </c>
      <c r="M76">
        <f ca="1">_xll.BDP($B$76,$C$76,CONCATENATE("PX391=", $M$71), CONCATENATE("PX392=",$M$72), CONCATENATE("DS004=",$B$64), "Fill=B")</f>
        <v>313</v>
      </c>
      <c r="N76">
        <f ca="1">_xll.BDP($B$76,$C$76,CONCATENATE("PX391=", $N$71), CONCATENATE("PX392=",$N$72), CONCATENATE("DS004=",$B$64), "Fill=B")</f>
        <v>288</v>
      </c>
      <c r="O76" t="str">
        <f ca="1">_xll.BDP($B$76,$C$76,CONCATENATE("PX391=", $O$71), CONCATENATE("PX392=",$O$72), CONCATENATE("DS004=",$B$64), "Fill=B")</f>
        <v/>
      </c>
      <c r="P76" t="str">
        <f ca="1">_xll.BDP($B$76,$C$76,CONCATENATE("PX391=", $P$71), CONCATENATE("PX392=",$P$72), CONCATENATE("DS004=",$B$64), "Fill=B")</f>
        <v/>
      </c>
      <c r="Q76">
        <f ca="1">_xll.BDP($B$76,$C$76,CONCATENATE("PX391=", $Q$71), CONCATENATE("PX392=",$Q$72), CONCATENATE("DS004=",$B$64), "Fill=B")</f>
        <v>209</v>
      </c>
      <c r="R76">
        <f ca="1">_xll.BDP($B$76,$C$76,CONCATENATE("PX391=", $R$71), CONCATENATE("PX392=",$R$72), CONCATENATE("DS004=",$B$64), "Fill=B")</f>
        <v>237</v>
      </c>
      <c r="S76">
        <f ca="1">_xll.BDP($B$76,$C$76,CONCATENATE("PX391=", $S$71), CONCATENATE("PX392=",$S$72), CONCATENATE("DS004=",$B$64), "Fill=B")</f>
        <v>257</v>
      </c>
      <c r="T76">
        <f ca="1">_xll.BDP($B$76,$C$76,CONCATENATE("PX391=", $T$71), CONCATENATE("PX392=",$T$72), CONCATENATE("DS004=",$B$64), "Fill=B")</f>
        <v>263</v>
      </c>
      <c r="U76">
        <f ca="1">_xll.BDP($B$76,$C$76,CONCATENATE("PX391=", $U$71), CONCATENATE("PX392=",$U$72), CONCATENATE("DS004=",$B$64), "Fill=B")</f>
        <v>294</v>
      </c>
      <c r="V76">
        <f ca="1">_xll.BDP($B$76,$C$76,CONCATENATE("PX391=", $V$71), CONCATENATE("PX392=",$V$72), CONCATENATE("DS004=",$B$64), "Fill=B")</f>
        <v>328</v>
      </c>
      <c r="W76">
        <f ca="1">_xll.BDP($B$76,$C$76,CONCATENATE("PX391=", $W$71), CONCATENATE("PX392=",$W$72), CONCATENATE("DS004=",$B$64), "Fill=B")</f>
        <v>316</v>
      </c>
      <c r="X76">
        <f ca="1">_xll.BDP($B$76,$C$76,CONCATENATE("PX391=", $X$71), CONCATENATE("PX392=",$X$72), CONCATENATE("DS004=",$B$64), "Fill=B")</f>
        <v>337</v>
      </c>
      <c r="Y76">
        <f ca="1">_xll.BDP($B$76,$C$76,CONCATENATE("PX391=", $Y$71), CONCATENATE("PX392=",$Y$72), CONCATENATE("DS004=",$B$64), "Fill=B")</f>
        <v>303</v>
      </c>
      <c r="Z76">
        <f ca="1">_xll.BDP($B$76,$C$76,CONCATENATE("PX391=", $Z$71), CONCATENATE("PX392=",$Z$72), CONCATENATE("DS004=",$B$64), "Fill=B")</f>
        <v>266</v>
      </c>
      <c r="AA76">
        <f ca="1">_xll.BDP($B$76,$C$76,CONCATENATE("PX391=", $AA$71), CONCATENATE("PX392=",$AA$72), CONCATENATE("DS004=",$B$64), "Fill=B")</f>
        <v>229</v>
      </c>
      <c r="AB76">
        <f ca="1">_xll.BDP($B$76,$C$76,CONCATENATE("PX391=", $AB$71), CONCATENATE("PX392=",$AB$72), CONCATENATE("DS004=",$B$64), "Fill=B")</f>
        <v>297</v>
      </c>
      <c r="AC76">
        <f ca="1">_xll.BDP($B$76,$C$76,CONCATENATE("PX391=", $AC$71), CONCATENATE("PX392=",$AC$72), CONCATENATE("DS004=",$B$64), "Fill=B")</f>
        <v>209</v>
      </c>
      <c r="AD76">
        <f ca="1">_xll.BDP($B$76,$C$76,CONCATENATE("PX391=", $AD$71), CONCATENATE("PX392=",$AD$72), CONCATENATE("DS004=",$B$64), "Fill=B")</f>
        <v>227</v>
      </c>
      <c r="AE76">
        <f ca="1">_xll.BDP($B$76,$C$76,CONCATENATE("PX391=", $AE$71), CONCATENATE("PX392=",$AE$72), CONCATENATE("DS004=",$B$64), "Fill=B")</f>
        <v>275</v>
      </c>
      <c r="AF76">
        <f ca="1">_xll.BDP($B$76,$C$76,CONCATENATE("PX391=", $AF$71), CONCATENATE("PX392=",$AF$72), CONCATENATE("DS004=",$B$64), "Fill=B")</f>
        <v>261</v>
      </c>
      <c r="AG76">
        <f ca="1">_xll.BDP($B$76,$C$76,CONCATENATE("PX391=", $AG$71), CONCATENATE("PX392=",$AG$72), CONCATENATE("DS004=",$B$64), "Fill=B")</f>
        <v>268</v>
      </c>
      <c r="AH76">
        <f ca="1">_xll.BDP($B$76,$C$76,CONCATENATE("PX391=", $AH$71), CONCATENATE("PX392=",$AH$72), CONCATENATE("DS004=",$B$64), "Fill=B")</f>
        <v>261</v>
      </c>
      <c r="AI76">
        <f ca="1">_xll.BDP($B$76,$C$76,CONCATENATE("PX391=", $AI$71), CONCATENATE("PX392=",$AI$72), CONCATENATE("DS004=",$B$64), "Fill=B")</f>
        <v>283</v>
      </c>
      <c r="AJ76">
        <f ca="1">_xll.BDP($B$76,$C$76,CONCATENATE("PX391=", $AJ$71), CONCATENATE("PX392=",$AJ$72), CONCATENATE("DS004=",$B$64), "Fill=B")</f>
        <v>284</v>
      </c>
      <c r="AK76">
        <f ca="1">_xll.BDP($B$76,$C$76,CONCATENATE("PX391=", $AK$71), CONCATENATE("PX392=",$AK$72), CONCATENATE("DS004=",$B$64), "Fill=B")</f>
        <v>271</v>
      </c>
      <c r="AL76">
        <f ca="1">_xll.BDP($B$76,$C$76,CONCATENATE("PX391=", $AL$71), CONCATENATE("PX392=",$AL$72), CONCATENATE("DS004=",$B$64), "Fill=B")</f>
        <v>249</v>
      </c>
      <c r="AM76">
        <f ca="1">_xll.BDP($B$76,$C$76,CONCATENATE("PX391=", $AM$71), CONCATENATE("PX392=",$AM$72), CONCATENATE("DS004=",$B$64), "Fill=B")</f>
        <v>231</v>
      </c>
      <c r="AN76">
        <f ca="1">_xll.BDP($B$76,$C$76,CONCATENATE("PX391=", $AN$71), CONCATENATE("PX392=",$AN$72), CONCATENATE("DS004=",$B$64), "Fill=B")</f>
        <v>289</v>
      </c>
      <c r="AO76">
        <f ca="1">_xll.BDP($B$76,$C$76,CONCATENATE("PX391=", $AO$71), CONCATENATE("PX392=",$AO$72), CONCATENATE("DS004=",$B$64), "Fill=B")</f>
        <v>224</v>
      </c>
      <c r="AP76">
        <f ca="1">_xll.BDP($B$76,$C$76,CONCATENATE("PX391=", $AP$71), CONCATENATE("PX392=",$AP$72), CONCATENATE("DS004=",$B$64), "Fill=B")</f>
        <v>242</v>
      </c>
      <c r="AQ76">
        <f ca="1">_xll.BDP($B$76,$C$76,CONCATENATE("PX391=", $AQ$71), CONCATENATE("PX392=",$AQ$72), CONCATENATE("DS004=",$B$64), "Fill=B")</f>
        <v>271</v>
      </c>
      <c r="AR76">
        <f ca="1">_xll.BDP($B$76,$C$76,CONCATENATE("PX391=", $AR$71), CONCATENATE("PX392=",$AR$72), CONCATENATE("DS004=",$B$64), "Fill=B")</f>
        <v>273</v>
      </c>
      <c r="AS76">
        <f ca="1">_xll.BDP($B$76,$C$76,CONCATENATE("PX391=", $AS$71), CONCATENATE("PX392=",$AS$72), CONCATENATE("DS004=",$B$64), "Fill=B")</f>
        <v>267</v>
      </c>
      <c r="AT76">
        <f ca="1">_xll.BDP($B$76,$C$76,CONCATENATE("PX391=", $AT$71), CONCATENATE("PX392=",$AT$72), CONCATENATE("DS004=",$B$64), "Fill=B")</f>
        <v>271</v>
      </c>
      <c r="AU76">
        <f ca="1">_xll.BDP($B$76,$C$76,CONCATENATE("PX391=", $AU$71), CONCATENATE("PX392=",$AU$72), CONCATENATE("DS004=",$B$64), "Fill=B")</f>
        <v>253</v>
      </c>
      <c r="AV76">
        <f ca="1">_xll.BDP($B$76,$C$76,CONCATENATE("PX391=", $AV$71), CONCATENATE("PX392=",$AV$72), CONCATENATE("DS004=",$B$64), "Fill=B")</f>
        <v>243</v>
      </c>
      <c r="AW76">
        <f ca="1">_xll.BDP($B$76,$C$76,CONCATENATE("PX391=", $AW$71), CONCATENATE("PX392=",$AW$72), CONCATENATE("DS004=",$B$64), "Fill=B")</f>
        <v>214</v>
      </c>
      <c r="AX76">
        <f ca="1">_xll.BDP($B$76,$C$76,CONCATENATE("PX391=", $AX$71), CONCATENATE("PX392=",$AX$72), CONCATENATE("DS004=",$B$64), "Fill=B")</f>
        <v>209</v>
      </c>
      <c r="AY76">
        <f ca="1">_xll.BDP($B$76,$C$76,CONCATENATE("PX391=", $AY$71), CONCATENATE("PX392=",$AY$72), CONCATENATE("DS004=",$B$64), "Fill=B")</f>
        <v>154</v>
      </c>
      <c r="AZ76">
        <f ca="1">_xll.BDP($B$76,$C$76,CONCATENATE("PX391=", $AZ$71), CONCATENATE("PX392=",$AZ$72), CONCATENATE("DS004=",$B$64), "Fill=B")</f>
        <v>252</v>
      </c>
      <c r="BA76">
        <f ca="1">_xll.BDP($B$76,$C$76,CONCATENATE("PX391=", $BA$71), CONCATENATE("PX392=",$BA$72), CONCATENATE("DS004=",$B$64), "Fill=B")</f>
        <v>194</v>
      </c>
      <c r="BB76">
        <f ca="1">_xll.BDP($B$76,$C$76,CONCATENATE("PX391=", $BB$71), CONCATENATE("PX392=",$BB$72), CONCATENATE("DS004=",$B$64), "Fill=B")</f>
        <v>210</v>
      </c>
      <c r="BC76">
        <f ca="1">_xll.BDP($B$76,$C$76,CONCATENATE("PX391=", $BC$71), CONCATENATE("PX392=",$BC$72), CONCATENATE("DS004=",$B$64), "Fill=B")</f>
        <v>223</v>
      </c>
      <c r="BD76">
        <f ca="1">_xll.BDP($B$76,$C$76,CONCATENATE("PX391=", $BD$71), CONCATENATE("PX392=",$BD$72), CONCATENATE("DS004=",$B$64), "Fill=B")</f>
        <v>240</v>
      </c>
      <c r="BE76">
        <f ca="1">_xll.BDP($B$76,$C$76,CONCATENATE("PX391=", $BE$71), CONCATENATE("PX392=",$BE$72), CONCATENATE("DS004=",$B$64), "Fill=B")</f>
        <v>244</v>
      </c>
      <c r="BF76">
        <f ca="1">_xll.BDP($B$76,$C$76,CONCATENATE("PX391=", $BF$71), CONCATENATE("PX392=",$BF$72), CONCATENATE("DS004=",$B$64), "Fill=B")</f>
        <v>251</v>
      </c>
      <c r="BG76">
        <f ca="1">_xll.BDP($B$76,$C$76,CONCATENATE("PX391=", $BG$71), CONCATENATE("PX392=",$BG$72), CONCATENATE("DS004=",$B$64), "Fill=B")</f>
        <v>242</v>
      </c>
      <c r="BH76">
        <f ca="1">_xll.BDP($B$76,$C$76,CONCATENATE("PX391=", $BH$71), CONCATENATE("PX392=",$BH$72), CONCATENATE("DS004=",$B$64), "Fill=B")</f>
        <v>255</v>
      </c>
      <c r="BI76">
        <f ca="1">_xll.BDP($B$76,$C$76,CONCATENATE("PX391=", $BI$71), CONCATENATE("PX392=",$BI$72), CONCATENATE("DS004=",$B$64), "Fill=B")</f>
        <v>225</v>
      </c>
      <c r="BJ76">
        <f ca="1">_xll.BDP($B$76,$C$76,CONCATENATE("PX391=", $BJ$71), CONCATENATE("PX392=",$BJ$72), CONCATENATE("DS004=",$B$64), "Fill=B")</f>
        <v>215</v>
      </c>
      <c r="BK76">
        <f ca="1">_xll.BDP($B$76,$C$76,CONCATENATE("PX391=", $BK$71), CONCATENATE("PX392=",$BK$72), CONCATENATE("DS004=",$B$64), "Fill=B")</f>
        <v>195</v>
      </c>
      <c r="BL76">
        <f ca="1">_xll.BDP($B$76,$C$76,CONCATENATE("PX391=", $BL$71), CONCATENATE("PX392=",$BL$72), CONCATENATE("DS004=",$B$64), "Fill=B")</f>
        <v>260</v>
      </c>
      <c r="BM76">
        <f ca="1">_xll.BDP($B$76,$C$76,CONCATENATE("PX391=", $BM$71), CONCATENATE("PX392=",$BM$72), CONCATENATE("DS004=",$B$64), "Fill=B")</f>
        <v>188</v>
      </c>
      <c r="BN76">
        <f ca="1">_xll.BDP($B$76,$C$76,CONCATENATE("PX391=", $BN$71), CONCATENATE("PX392=",$BN$72), CONCATENATE("DS004=",$B$64), "Fill=B")</f>
        <v>210</v>
      </c>
      <c r="BO76">
        <f ca="1">_xll.BDP($B$76,$C$76,CONCATENATE("PX391=", $BO$71), CONCATENATE("PX392=",$BO$72), CONCATENATE("DS004=",$B$64), "Fill=B")</f>
        <v>214</v>
      </c>
      <c r="BP76">
        <f ca="1">_xll.BDP($B$76,$C$76,CONCATENATE("PX391=", $BP$71), CONCATENATE("PX392=",$BP$72), CONCATENATE("DS004=",$B$64), "Fill=B")</f>
        <v>236</v>
      </c>
      <c r="BQ76">
        <f ca="1">_xll.BDP($B$76,$C$76,CONCATENATE("PX391=", $BQ$71), CONCATENATE("PX392=",$BQ$72), CONCATENATE("DS004=",$B$64), "Fill=B")</f>
        <v>228</v>
      </c>
      <c r="BR76">
        <f ca="1">_xll.BDP($B$76,$C$76,CONCATENATE("PX391=", $BR$71), CONCATENATE("PX392=",$BR$72), CONCATENATE("DS004=",$B$64), "Fill=B")</f>
        <v>215</v>
      </c>
      <c r="BS76">
        <f ca="1">_xll.BDP($B$76,$C$76,CONCATENATE("PX391=", $BS$71), CONCATENATE("PX392=",$BS$72), CONCATENATE("DS004=",$B$64), "Fill=B")</f>
        <v>227</v>
      </c>
      <c r="BT76">
        <f ca="1">_xll.BDP($B$76,$C$76,CONCATENATE("PX391=", $BT$71), CONCATENATE("PX392=",$BT$72), CONCATENATE("DS004=",$B$64), "Fill=B")</f>
        <v>239</v>
      </c>
      <c r="BU76">
        <f ca="1">_xll.BDP($B$76,$C$76,CONCATENATE("PX391=", $BU$71), CONCATENATE("PX392=",$BU$72), CONCATENATE("DS004=",$B$64), "Fill=B")</f>
        <v>222</v>
      </c>
      <c r="BV76">
        <f ca="1">_xll.BDP($B$76,$C$76,CONCATENATE("PX391=", $BV$71), CONCATENATE("PX392=",$BV$72), CONCATENATE("DS004=",$B$64), "Fill=B")</f>
        <v>209</v>
      </c>
      <c r="BW76">
        <f ca="1">_xll.BDP($B$76,$C$76,CONCATENATE("PX391=", $BW$71), CONCATENATE("PX392=",$BW$72), CONCATENATE("DS004=",$B$64), "Fill=B")</f>
        <v>204</v>
      </c>
      <c r="BX76">
        <f ca="1">_xll.BDP($B$76,$C$76,CONCATENATE("PX391=", $BX$71), CONCATENATE("PX392=",$BX$72), CONCATENATE("DS004=",$B$64), "Fill=B")</f>
        <v>236</v>
      </c>
      <c r="BY76">
        <f ca="1">_xll.BDP($B$76,$C$76,CONCATENATE("PX391=", $BY$71), CONCATENATE("PX392=",$BY$72), CONCATENATE("DS004=",$B$64), "Fill=B")</f>
        <v>183</v>
      </c>
      <c r="BZ76">
        <f ca="1">_xll.BDP($B$76,$C$76,CONCATENATE("PX391=", $BZ$71), CONCATENATE("PX392=",$BZ$72), CONCATENATE("DS004=",$B$64), "Fill=B")</f>
        <v>203</v>
      </c>
      <c r="CA76">
        <f ca="1">_xll.BDP($B$76,$C$76,CONCATENATE("PX391=", $CA$71), CONCATENATE("PX392=",$CA$72), CONCATENATE("DS004=",$B$64), "Fill=B")</f>
        <v>200</v>
      </c>
      <c r="CB76">
        <f ca="1">_xll.BDP($B$76,$C$76,CONCATENATE("PX391=", $CB$71), CONCATENATE("PX392=",$CB$72), CONCATENATE("DS004=",$B$64), "Fill=B")</f>
        <v>200</v>
      </c>
      <c r="CC76">
        <f ca="1">_xll.BDP($B$76,$C$76,CONCATENATE("PX391=", $CC$71), CONCATENATE("PX392=",$CC$72), CONCATENATE("DS004=",$B$64), "Fill=B")</f>
        <v>216</v>
      </c>
      <c r="CD76">
        <f ca="1">_xll.BDP($B$76,$C$76,CONCATENATE("PX391=", $CD$71), CONCATENATE("PX392=",$CD$72), CONCATENATE("DS004=",$B$64), "Fill=B")</f>
        <v>218</v>
      </c>
      <c r="CE76">
        <f ca="1">_xll.BDP($B$76,$C$76,CONCATENATE("PX391=", $CE$71), CONCATENATE("PX392=",$CE$72), CONCATENATE("DS004=",$B$64), "Fill=B")</f>
        <v>214</v>
      </c>
      <c r="CF76">
        <f ca="1">_xll.BDP($B$76,$C$76,CONCATENATE("PX391=", $CF$71), CONCATENATE("PX392=",$CF$72), CONCATENATE("DS004=",$B$64), "Fill=B")</f>
        <v>227</v>
      </c>
      <c r="CG76">
        <f ca="1">_xll.BDP($B$76,$C$76,CONCATENATE("PX391=", $CG$71), CONCATENATE("PX392=",$CG$72), CONCATENATE("DS004=",$B$64), "Fill=B")</f>
        <v>202</v>
      </c>
      <c r="CH76">
        <f ca="1">_xll.BDP($B$76,$C$76,CONCATENATE("PX391=", $CH$71), CONCATENATE("PX392=",$CH$72), CONCATENATE("DS004=",$B$64), "Fill=B")</f>
        <v>200</v>
      </c>
      <c r="CI76">
        <f ca="1">_xll.BDP($B$76,$C$76,CONCATENATE("PX391=", $CI$71), CONCATENATE("PX392=",$CI$72), CONCATENATE("DS004=",$B$64), "Fill=B")</f>
        <v>176</v>
      </c>
      <c r="CJ76">
        <f ca="1">_xll.BDP($B$76,$C$76,CONCATENATE("PX391=", $CJ$71), CONCATENATE("PX392=",$CJ$72), CONCATENATE("DS004=",$B$64), "Fill=B")</f>
        <v>214</v>
      </c>
      <c r="CK76">
        <f ca="1">_xll.BDP($B$76,$C$76,CONCATENATE("PX391=", $CK$71), CONCATENATE("PX392=",$CK$72), CONCATENATE("DS004=",$B$64), "Fill=B")</f>
        <v>168</v>
      </c>
      <c r="CL76" t="str">
        <f>""</f>
        <v/>
      </c>
      <c r="CM76" t="str">
        <f>""</f>
        <v/>
      </c>
      <c r="CN76" t="str">
        <f>""</f>
        <v/>
      </c>
      <c r="CO76" t="str">
        <f>""</f>
        <v/>
      </c>
      <c r="CP76" t="str">
        <f>""</f>
        <v/>
      </c>
      <c r="CQ76" t="str">
        <f>""</f>
        <v/>
      </c>
      <c r="CR76" t="str">
        <f>""</f>
        <v/>
      </c>
      <c r="CS76" t="str">
        <f>""</f>
        <v/>
      </c>
      <c r="CT76" t="str">
        <f>""</f>
        <v/>
      </c>
      <c r="CU76" t="str">
        <f>""</f>
        <v/>
      </c>
      <c r="CV76" t="str">
        <f>""</f>
        <v/>
      </c>
      <c r="CW76" t="str">
        <f>""</f>
        <v/>
      </c>
      <c r="CX76" t="str">
        <f>""</f>
        <v/>
      </c>
      <c r="CY76" t="str">
        <f>""</f>
        <v/>
      </c>
      <c r="CZ76" t="str">
        <f>""</f>
        <v/>
      </c>
      <c r="DA76" t="str">
        <f>""</f>
        <v/>
      </c>
      <c r="DB76" t="str">
        <f>""</f>
        <v/>
      </c>
      <c r="DC76" t="str">
        <f>""</f>
        <v/>
      </c>
      <c r="DD76" t="str">
        <f>""</f>
        <v/>
      </c>
      <c r="DE76" t="str">
        <f>""</f>
        <v/>
      </c>
      <c r="DF76" t="str">
        <f>""</f>
        <v/>
      </c>
      <c r="DG76" t="str">
        <f>""</f>
        <v/>
      </c>
      <c r="DH76" t="str">
        <f>""</f>
        <v/>
      </c>
      <c r="DI76" t="str">
        <f>""</f>
        <v/>
      </c>
      <c r="DJ76" t="str">
        <f>""</f>
        <v/>
      </c>
      <c r="DK76" t="str">
        <f>""</f>
        <v/>
      </c>
      <c r="DL76" t="str">
        <f>""</f>
        <v/>
      </c>
      <c r="DM76" t="str">
        <f>""</f>
        <v/>
      </c>
      <c r="DN76" t="str">
        <f>""</f>
        <v/>
      </c>
      <c r="DO76" t="str">
        <f>""</f>
        <v/>
      </c>
      <c r="DP76" t="str">
        <f>""</f>
        <v/>
      </c>
      <c r="DQ76" t="str">
        <f>""</f>
        <v/>
      </c>
      <c r="DR76" t="str">
        <f>""</f>
        <v/>
      </c>
      <c r="DS76" t="str">
        <f>""</f>
        <v/>
      </c>
      <c r="DT76" t="str">
        <f>""</f>
        <v/>
      </c>
      <c r="DU76" t="str">
        <f>""</f>
        <v/>
      </c>
      <c r="DV76" t="str">
        <f>""</f>
        <v/>
      </c>
      <c r="DW76" t="str">
        <f>""</f>
        <v/>
      </c>
      <c r="DX76" t="str">
        <f>""</f>
        <v/>
      </c>
      <c r="DY76" t="str">
        <f>""</f>
        <v/>
      </c>
      <c r="DZ76" t="str">
        <f>""</f>
        <v/>
      </c>
      <c r="EA76" t="str">
        <f>""</f>
        <v/>
      </c>
      <c r="EB76" t="str">
        <f>""</f>
        <v/>
      </c>
      <c r="EC76" t="str">
        <f>""</f>
        <v/>
      </c>
      <c r="ED76" t="str">
        <f>""</f>
        <v/>
      </c>
      <c r="EE76" t="str">
        <f>""</f>
        <v/>
      </c>
      <c r="EF76" t="str">
        <f>""</f>
        <v/>
      </c>
      <c r="EG76" t="str">
        <f>""</f>
        <v/>
      </c>
      <c r="EH76" t="str">
        <f>""</f>
        <v/>
      </c>
      <c r="EI76" t="str">
        <f>""</f>
        <v/>
      </c>
      <c r="EJ76" t="str">
        <f>""</f>
        <v/>
      </c>
      <c r="EK76" t="str">
        <f>""</f>
        <v/>
      </c>
      <c r="EL76" t="str">
        <f>""</f>
        <v/>
      </c>
      <c r="EM76" t="str">
        <f>""</f>
        <v/>
      </c>
      <c r="EN76" t="str">
        <f>""</f>
        <v/>
      </c>
      <c r="EO76" t="str">
        <f>""</f>
        <v/>
      </c>
      <c r="EP76" t="str">
        <f>""</f>
        <v/>
      </c>
      <c r="EQ76" t="str">
        <f>""</f>
        <v/>
      </c>
      <c r="ER76" t="str">
        <f>""</f>
        <v/>
      </c>
      <c r="ES76" t="str">
        <f>""</f>
        <v/>
      </c>
      <c r="ET76" t="str">
        <f>""</f>
        <v/>
      </c>
      <c r="EU76" t="str">
        <f>""</f>
        <v/>
      </c>
      <c r="EV76" t="str">
        <f>""</f>
        <v/>
      </c>
      <c r="EW76" t="str">
        <f>""</f>
        <v/>
      </c>
      <c r="EX76" t="str">
        <f>""</f>
        <v/>
      </c>
      <c r="EY76" t="str">
        <f>""</f>
        <v/>
      </c>
      <c r="EZ76" t="str">
        <f>""</f>
        <v/>
      </c>
      <c r="FA76" t="str">
        <f>""</f>
        <v/>
      </c>
      <c r="FB76" t="str">
        <f>""</f>
        <v/>
      </c>
      <c r="FC76" t="str">
        <f>""</f>
        <v/>
      </c>
      <c r="FD76" t="str">
        <f>""</f>
        <v/>
      </c>
      <c r="FE76" t="str">
        <f>""</f>
        <v/>
      </c>
      <c r="FF76" t="str">
        <f>""</f>
        <v/>
      </c>
      <c r="FG76" t="str">
        <f>""</f>
        <v/>
      </c>
      <c r="FH76" t="str">
        <f>""</f>
        <v/>
      </c>
      <c r="FI76" t="str">
        <f>""</f>
        <v/>
      </c>
      <c r="FJ76" t="str">
        <f>""</f>
        <v/>
      </c>
      <c r="FK76" t="str">
        <f>""</f>
        <v/>
      </c>
      <c r="FL76" t="str">
        <f>""</f>
        <v/>
      </c>
      <c r="FM76" t="str">
        <f>""</f>
        <v/>
      </c>
      <c r="FN76" t="str">
        <f>""</f>
        <v/>
      </c>
      <c r="FO76" t="str">
        <f>""</f>
        <v/>
      </c>
      <c r="FP76" t="str">
        <f>""</f>
        <v/>
      </c>
      <c r="FQ76" t="str">
        <f>""</f>
        <v/>
      </c>
    </row>
    <row r="77" spans="1:173" x14ac:dyDescent="0.25">
      <c r="A77" t="str">
        <f>$A$4</f>
        <v xml:space="preserve">    Singapore Port Container Throughput (000 TEU)</v>
      </c>
      <c r="B77" t="str">
        <f>$B$4</f>
        <v>SICTTOTL Index</v>
      </c>
      <c r="C77" t="str">
        <f>$C$4</f>
        <v>PX385</v>
      </c>
      <c r="D77" t="str">
        <f>$D$4</f>
        <v>INTERVAL_SUM</v>
      </c>
      <c r="E77" t="str">
        <f>$E$4</f>
        <v>Dynamic</v>
      </c>
      <c r="F77" t="str">
        <f ca="1">_xll.BDP($B$4,$C$4,CONCATENATE("PX391=", $F$71), CONCATENATE("PX392=",$F$72), CONCATENATE("DS004=",$B$64), "Fill=B")</f>
        <v/>
      </c>
      <c r="G77" t="str">
        <f ca="1">_xll.BDP($B$4,$C$4,CONCATENATE("PX391=", $G$71), CONCATENATE("PX392=",$G$72), CONCATENATE("DS004=",$B$64), "Fill=B")</f>
        <v/>
      </c>
      <c r="H77">
        <f ca="1">_xll.BDP($B$4,$C$4,CONCATENATE("PX391=", $H$71), CONCATENATE("PX392=",$H$72), CONCATENATE("DS004=",$B$64), "Fill=B")</f>
        <v>3206.7</v>
      </c>
      <c r="I77">
        <f ca="1">_xll.BDP($B$4,$C$4,CONCATENATE("PX391=", $I$71), CONCATENATE("PX392=",$I$72), CONCATENATE("DS004=",$B$64), "Fill=B")</f>
        <v>3328.4</v>
      </c>
      <c r="J77">
        <f ca="1">_xll.BDP($B$4,$C$4,CONCATENATE("PX391=", $J$71), CONCATENATE("PX392=",$J$72), CONCATENATE("DS004=",$B$64), "Fill=B")</f>
        <v>3431.3</v>
      </c>
      <c r="K77">
        <f ca="1">_xll.BDP($B$4,$C$4,CONCATENATE("PX391=", $K$71), CONCATENATE("PX392=",$K$72), CONCATENATE("DS004=",$B$64), "Fill=B")</f>
        <v>3345.6</v>
      </c>
      <c r="L77">
        <f ca="1">_xll.BDP($B$4,$C$4,CONCATENATE("PX391=", $L$71), CONCATENATE("PX392=",$L$72), CONCATENATE("DS004=",$B$64), "Fill=B")</f>
        <v>3409.7</v>
      </c>
      <c r="M77">
        <f ca="1">_xll.BDP($B$4,$C$4,CONCATENATE("PX391=", $M$71), CONCATENATE("PX392=",$M$72), CONCATENATE("DS004=",$B$64), "Fill=B")</f>
        <v>3264.7</v>
      </c>
      <c r="N77">
        <f ca="1">_xll.BDP($B$4,$C$4,CONCATENATE("PX391=", $N$71), CONCATENATE("PX392=",$N$72), CONCATENATE("DS004=",$B$64), "Fill=B")</f>
        <v>3335.5</v>
      </c>
      <c r="O77">
        <f ca="1">_xll.BDP($B$4,$C$4,CONCATENATE("PX391=", $O$71), CONCATENATE("PX392=",$O$72), CONCATENATE("DS004=",$B$64), "Fill=B")</f>
        <v>2684.4</v>
      </c>
      <c r="P77">
        <f ca="1">_xll.BDP($B$4,$C$4,CONCATENATE("PX391=", $P$71), CONCATENATE("PX392=",$P$72), CONCATENATE("DS004=",$B$64), "Fill=B")</f>
        <v>2989.5</v>
      </c>
      <c r="Q77">
        <f ca="1">_xll.BDP($B$4,$C$4,CONCATENATE("PX391=", $Q$71), CONCATENATE("PX392=",$Q$72), CONCATENATE("DS004=",$B$64), "Fill=B")</f>
        <v>3252.9</v>
      </c>
      <c r="R77">
        <f ca="1">_xll.BDP($B$4,$C$4,CONCATENATE("PX391=", $R$71), CONCATENATE("PX392=",$R$72), CONCATENATE("DS004=",$B$64), "Fill=B")</f>
        <v>2955.5</v>
      </c>
      <c r="S77">
        <f ca="1">_xll.BDP($B$4,$C$4,CONCATENATE("PX391=", $S$71), CONCATENATE("PX392=",$S$72), CONCATENATE("DS004=",$B$64), "Fill=B")</f>
        <v>3061.8</v>
      </c>
      <c r="T77">
        <f ca="1">_xll.BDP($B$4,$C$4,CONCATENATE("PX391=", $T$71), CONCATENATE("PX392=",$T$72), CONCATENATE("DS004=",$B$64), "Fill=B")</f>
        <v>3063.8</v>
      </c>
      <c r="U77">
        <f ca="1">_xll.BDP($B$4,$C$4,CONCATENATE("PX391=", $U$71), CONCATENATE("PX392=",$U$72), CONCATENATE("DS004=",$B$64), "Fill=B")</f>
        <v>3262.3</v>
      </c>
      <c r="V77">
        <f ca="1">_xll.BDP($B$4,$C$4,CONCATENATE("PX391=", $V$71), CONCATENATE("PX392=",$V$72), CONCATENATE("DS004=",$B$64), "Fill=B")</f>
        <v>3286.3</v>
      </c>
      <c r="W77">
        <f ca="1">_xll.BDP($B$4,$C$4,CONCATENATE("PX391=", $W$71), CONCATENATE("PX392=",$W$72), CONCATENATE("DS004=",$B$64), "Fill=B")</f>
        <v>3166.2</v>
      </c>
      <c r="X77">
        <f ca="1">_xll.BDP($B$4,$C$4,CONCATENATE("PX391=", $X$71), CONCATENATE("PX392=",$X$72), CONCATENATE("DS004=",$B$64), "Fill=B")</f>
        <v>3122</v>
      </c>
      <c r="Y77">
        <f ca="1">_xll.BDP($B$4,$C$4,CONCATENATE("PX391=", $Y$71), CONCATENATE("PX392=",$Y$72), CONCATENATE("DS004=",$B$64), "Fill=B")</f>
        <v>3042</v>
      </c>
      <c r="Z77">
        <f ca="1">_xll.BDP($B$4,$C$4,CONCATENATE("PX391=", $Z$71), CONCATENATE("PX392=",$Z$72), CONCATENATE("DS004=",$B$64), "Fill=B")</f>
        <v>3089.5</v>
      </c>
      <c r="AA77">
        <f ca="1">_xll.BDP($B$4,$C$4,CONCATENATE("PX391=", $AA$71), CONCATENATE("PX392=",$AA$72), CONCATENATE("DS004=",$B$64), "Fill=B")</f>
        <v>2843.5</v>
      </c>
      <c r="AB77">
        <f ca="1">_xll.BDP($B$4,$C$4,CONCATENATE("PX391=", $AB$71), CONCATENATE("PX392=",$AB$72), CONCATENATE("DS004=",$B$64), "Fill=B")</f>
        <v>3143.7</v>
      </c>
      <c r="AC77">
        <f ca="1">_xll.BDP($B$4,$C$4,CONCATENATE("PX391=", $AC$71), CONCATENATE("PX392=",$AC$72), CONCATENATE("DS004=",$B$64), "Fill=B")</f>
        <v>3292.2</v>
      </c>
      <c r="AD77">
        <f ca="1">_xll.BDP($B$4,$C$4,CONCATENATE("PX391=", $AD$71), CONCATENATE("PX392=",$AD$72), CONCATENATE("DS004=",$B$64), "Fill=B")</f>
        <v>3150</v>
      </c>
      <c r="AE77">
        <f ca="1">_xll.BDP($B$4,$C$4,CONCATENATE("PX391=", $AE$71), CONCATENATE("PX392=",$AE$72), CONCATENATE("DS004=",$B$64), "Fill=B")</f>
        <v>2974.9</v>
      </c>
      <c r="AF77">
        <f ca="1">_xll.BDP($B$4,$C$4,CONCATENATE("PX391=", $AF$71), CONCATENATE("PX392=",$AF$72), CONCATENATE("DS004=",$B$64), "Fill=B")</f>
        <v>3117.4</v>
      </c>
      <c r="AG77">
        <f ca="1">_xll.BDP($B$4,$C$4,CONCATENATE("PX391=", $AG$71), CONCATENATE("PX392=",$AG$72), CONCATENATE("DS004=",$B$64), "Fill=B")</f>
        <v>3182.3</v>
      </c>
      <c r="AH77">
        <f ca="1">_xll.BDP($B$4,$C$4,CONCATENATE("PX391=", $AH$71), CONCATENATE("PX392=",$AH$72), CONCATENATE("DS004=",$B$64), "Fill=B")</f>
        <v>3123.6</v>
      </c>
      <c r="AI77">
        <f ca="1">_xll.BDP($B$4,$C$4,CONCATENATE("PX391=", $AI$71), CONCATENATE("PX392=",$AI$72), CONCATENATE("DS004=",$B$64), "Fill=B")</f>
        <v>3114.5</v>
      </c>
      <c r="AJ77">
        <f ca="1">_xll.BDP($B$4,$C$4,CONCATENATE("PX391=", $AJ$71), CONCATENATE("PX392=",$AJ$72), CONCATENATE("DS004=",$B$64), "Fill=B")</f>
        <v>3216.9</v>
      </c>
      <c r="AK77">
        <f ca="1">_xll.BDP($B$4,$C$4,CONCATENATE("PX391=", $AK$71), CONCATENATE("PX392=",$AK$72), CONCATENATE("DS004=",$B$64), "Fill=B")</f>
        <v>3091.3</v>
      </c>
      <c r="AL77">
        <f ca="1">_xll.BDP($B$4,$C$4,CONCATENATE("PX391=", $AL$71), CONCATENATE("PX392=",$AL$72), CONCATENATE("DS004=",$B$64), "Fill=B")</f>
        <v>3270.6</v>
      </c>
      <c r="AM77">
        <f ca="1">_xll.BDP($B$4,$C$4,CONCATENATE("PX391=", $AM$71), CONCATENATE("PX392=",$AM$72), CONCATENATE("DS004=",$B$64), "Fill=B")</f>
        <v>2881.6</v>
      </c>
      <c r="AN77">
        <f ca="1">_xll.BDP($B$4,$C$4,CONCATENATE("PX391=", $AN$71), CONCATENATE("PX392=",$AN$72), CONCATENATE("DS004=",$B$64), "Fill=B")</f>
        <v>3156</v>
      </c>
      <c r="AO77">
        <f ca="1">_xll.BDP($B$4,$C$4,CONCATENATE("PX391=", $AO$71), CONCATENATE("PX392=",$AO$72), CONCATENATE("DS004=",$B$64), "Fill=B")</f>
        <v>3261.8</v>
      </c>
      <c r="AP77">
        <f ca="1">_xll.BDP($B$4,$C$4,CONCATENATE("PX391=", $AP$71), CONCATENATE("PX392=",$AP$72), CONCATENATE("DS004=",$B$64), "Fill=B")</f>
        <v>3134.6</v>
      </c>
      <c r="AQ77">
        <f ca="1">_xll.BDP($B$4,$C$4,CONCATENATE("PX391=", $AQ$71), CONCATENATE("PX392=",$AQ$72), CONCATENATE("DS004=",$B$64), "Fill=B")</f>
        <v>3238.7</v>
      </c>
      <c r="AR77">
        <f ca="1">_xll.BDP($B$4,$C$4,CONCATENATE("PX391=", $AR$71), CONCATENATE("PX392=",$AR$72), CONCATENATE("DS004=",$B$64), "Fill=B")</f>
        <v>3207.7</v>
      </c>
      <c r="AS77">
        <f ca="1">_xll.BDP($B$4,$C$4,CONCATENATE("PX391=", $AS$71), CONCATENATE("PX392=",$AS$72), CONCATENATE("DS004=",$B$64), "Fill=B")</f>
        <v>3174.7</v>
      </c>
      <c r="AT77">
        <f ca="1">_xll.BDP($B$4,$C$4,CONCATENATE("PX391=", $AT$71), CONCATENATE("PX392=",$AT$72), CONCATENATE("DS004=",$B$64), "Fill=B")</f>
        <v>3016.3</v>
      </c>
      <c r="AU77">
        <f ca="1">_xll.BDP($B$4,$C$4,CONCATENATE("PX391=", $AU$71), CONCATENATE("PX392=",$AU$72), CONCATENATE("DS004=",$B$64), "Fill=B")</f>
        <v>2907.7</v>
      </c>
      <c r="AV77">
        <f ca="1">_xll.BDP($B$4,$C$4,CONCATENATE("PX391=", $AV$71), CONCATENATE("PX392=",$AV$72), CONCATENATE("DS004=",$B$64), "Fill=B")</f>
        <v>2806.7</v>
      </c>
      <c r="AW77">
        <f ca="1">_xll.BDP($B$4,$C$4,CONCATENATE("PX391=", $AW$71), CONCATENATE("PX392=",$AW$72), CONCATENATE("DS004=",$B$64), "Fill=B")</f>
        <v>2843.5</v>
      </c>
      <c r="AX77">
        <f ca="1">_xll.BDP($B$4,$C$4,CONCATENATE("PX391=", $AX$71), CONCATENATE("PX392=",$AX$72), CONCATENATE("DS004=",$B$64), "Fill=B")</f>
        <v>3197.9</v>
      </c>
      <c r="AY77">
        <f ca="1">_xll.BDP($B$4,$C$4,CONCATENATE("PX391=", $AY$71), CONCATENATE("PX392=",$AY$72), CONCATENATE("DS004=",$B$64), "Fill=B")</f>
        <v>2898.7</v>
      </c>
      <c r="AZ77">
        <f ca="1">_xll.BDP($B$4,$C$4,CONCATENATE("PX391=", $AZ$71), CONCATENATE("PX392=",$AZ$72), CONCATENATE("DS004=",$B$64), "Fill=B")</f>
        <v>3182.6</v>
      </c>
      <c r="BA77">
        <f ca="1">_xll.BDP($B$4,$C$4,CONCATENATE("PX391=", $BA$71), CONCATENATE("PX392=",$BA$72), CONCATENATE("DS004=",$B$64), "Fill=B")</f>
        <v>3200.2</v>
      </c>
      <c r="BB77">
        <f ca="1">_xll.BDP($B$4,$C$4,CONCATENATE("PX391=", $BB$71), CONCATENATE("PX392=",$BB$72), CONCATENATE("DS004=",$B$64), "Fill=B")</f>
        <v>3267.7</v>
      </c>
      <c r="BC77">
        <f ca="1">_xll.BDP($B$4,$C$4,CONCATENATE("PX391=", $BC$71), CONCATENATE("PX392=",$BC$72), CONCATENATE("DS004=",$B$64), "Fill=B")</f>
        <v>3234.4</v>
      </c>
      <c r="BD77">
        <f ca="1">_xll.BDP($B$4,$C$4,CONCATENATE("PX391=", $BD$71), CONCATENATE("PX392=",$BD$72), CONCATENATE("DS004=",$B$64), "Fill=B")</f>
        <v>3093.9</v>
      </c>
      <c r="BE77">
        <f ca="1">_xll.BDP($B$4,$C$4,CONCATENATE("PX391=", $BE$71), CONCATENATE("PX392=",$BE$72), CONCATENATE("DS004=",$B$64), "Fill=B")</f>
        <v>3133.7</v>
      </c>
      <c r="BF77">
        <f ca="1">_xll.BDP($B$4,$C$4,CONCATENATE("PX391=", $BF$71), CONCATENATE("PX392=",$BF$72), CONCATENATE("DS004=",$B$64), "Fill=B")</f>
        <v>3235.4</v>
      </c>
      <c r="BG77">
        <f ca="1">_xll.BDP($B$4,$C$4,CONCATENATE("PX391=", $BG$71), CONCATENATE("PX392=",$BG$72), CONCATENATE("DS004=",$B$64), "Fill=B")</f>
        <v>2997</v>
      </c>
      <c r="BH77">
        <f ca="1">_xll.BDP($B$4,$C$4,CONCATENATE("PX391=", $BH$71), CONCATENATE("PX392=",$BH$72), CONCATENATE("DS004=",$B$64), "Fill=B")</f>
        <v>3137.8</v>
      </c>
      <c r="BI77">
        <f ca="1">_xll.BDP($B$4,$C$4,CONCATENATE("PX391=", $BI$71), CONCATENATE("PX392=",$BI$72), CONCATENATE("DS004=",$B$64), "Fill=B")</f>
        <v>2992.1</v>
      </c>
      <c r="BJ77">
        <f ca="1">_xll.BDP($B$4,$C$4,CONCATENATE("PX391=", $BJ$71), CONCATENATE("PX392=",$BJ$72), CONCATENATE("DS004=",$B$64), "Fill=B")</f>
        <v>3163.9</v>
      </c>
      <c r="BK77">
        <f ca="1">_xll.BDP($B$4,$C$4,CONCATENATE("PX391=", $BK$71), CONCATENATE("PX392=",$BK$72), CONCATENATE("DS004=",$B$64), "Fill=B")</f>
        <v>2740.5</v>
      </c>
      <c r="BL77">
        <f ca="1">_xll.BDP($B$4,$C$4,CONCATENATE("PX391=", $BL$71), CONCATENATE("PX392=",$BL$72), CONCATENATE("DS004=",$B$64), "Fill=B")</f>
        <v>2999.1</v>
      </c>
      <c r="BM77">
        <f ca="1">_xll.BDP($B$4,$C$4,CONCATENATE("PX391=", $BM$71), CONCATENATE("PX392=",$BM$72), CONCATENATE("DS004=",$B$64), "Fill=B")</f>
        <v>3131.3</v>
      </c>
      <c r="BN77">
        <f ca="1">_xll.BDP($B$4,$C$4,CONCATENATE("PX391=", $BN$71), CONCATENATE("PX392=",$BN$72), CONCATENATE("DS004=",$B$64), "Fill=B")</f>
        <v>3014.7</v>
      </c>
      <c r="BO77">
        <f ca="1">_xll.BDP($B$4,$C$4,CONCATENATE("PX391=", $BO$71), CONCATENATE("PX392=",$BO$72), CONCATENATE("DS004=",$B$64), "Fill=B")</f>
        <v>3153.1</v>
      </c>
      <c r="BP77">
        <f ca="1">_xll.BDP($B$4,$C$4,CONCATENATE("PX391=", $BP$71), CONCATENATE("PX392=",$BP$72), CONCATENATE("DS004=",$B$64), "Fill=B")</f>
        <v>2988.9</v>
      </c>
      <c r="BQ77">
        <f ca="1">_xll.BDP($B$4,$C$4,CONCATENATE("PX391=", $BQ$71), CONCATENATE("PX392=",$BQ$72), CONCATENATE("DS004=",$B$64), "Fill=B")</f>
        <v>3156.3</v>
      </c>
      <c r="BR77">
        <f ca="1">_xll.BDP($B$4,$C$4,CONCATENATE("PX391=", $BR$71), CONCATENATE("PX392=",$BR$72), CONCATENATE("DS004=",$B$64), "Fill=B")</f>
        <v>3133.5</v>
      </c>
      <c r="BS77">
        <f ca="1">_xll.BDP($B$4,$C$4,CONCATENATE("PX391=", $BS$71), CONCATENATE("PX392=",$BS$72), CONCATENATE("DS004=",$B$64), "Fill=B")</f>
        <v>3058.7</v>
      </c>
      <c r="BT77">
        <f ca="1">_xll.BDP($B$4,$C$4,CONCATENATE("PX391=", $BT$71), CONCATENATE("PX392=",$BT$72), CONCATENATE("DS004=",$B$64), "Fill=B")</f>
        <v>3182.8</v>
      </c>
      <c r="BU77">
        <f ca="1">_xll.BDP($B$4,$C$4,CONCATENATE("PX391=", $BU$71), CONCATENATE("PX392=",$BU$72), CONCATENATE("DS004=",$B$64), "Fill=B")</f>
        <v>2915.3</v>
      </c>
      <c r="BV77">
        <f ca="1">_xll.BDP($B$4,$C$4,CONCATENATE("PX391=", $BV$71), CONCATENATE("PX392=",$BV$72), CONCATENATE("DS004=",$B$64), "Fill=B")</f>
        <v>3048.8</v>
      </c>
      <c r="BW77">
        <f ca="1">_xll.BDP($B$4,$C$4,CONCATENATE("PX391=", $BW$71), CONCATENATE("PX392=",$BW$72), CONCATENATE("DS004=",$B$64), "Fill=B")</f>
        <v>2822.9</v>
      </c>
      <c r="BX77">
        <f ca="1">_xll.BDP($B$4,$C$4,CONCATENATE("PX391=", $BX$71), CONCATENATE("PX392=",$BX$72), CONCATENATE("DS004=",$B$64), "Fill=B")</f>
        <v>2992.9</v>
      </c>
      <c r="BY77">
        <f ca="1">_xll.BDP($B$4,$C$4,CONCATENATE("PX391=", $BY$71), CONCATENATE("PX392=",$BY$72), CONCATENATE("DS004=",$B$64), "Fill=B")</f>
        <v>2958.1</v>
      </c>
      <c r="BZ77">
        <f ca="1">_xll.BDP($B$4,$C$4,CONCATENATE("PX391=", $BZ$71), CONCATENATE("PX392=",$BZ$72), CONCATENATE("DS004=",$B$64), "Fill=B")</f>
        <v>2977.1</v>
      </c>
      <c r="CA77">
        <f ca="1">_xll.BDP($B$4,$C$4,CONCATENATE("PX391=", $CA$71), CONCATENATE("PX392=",$CA$72), CONCATENATE("DS004=",$B$64), "Fill=B")</f>
        <v>2957.1</v>
      </c>
      <c r="CB77">
        <f ca="1">_xll.BDP($B$4,$C$4,CONCATENATE("PX391=", $CB$71), CONCATENATE("PX392=",$CB$72), CONCATENATE("DS004=",$B$64), "Fill=B")</f>
        <v>2800</v>
      </c>
      <c r="CC77">
        <f ca="1">_xll.BDP($B$4,$C$4,CONCATENATE("PX391=", $CC$71), CONCATENATE("PX392=",$CC$72), CONCATENATE("DS004=",$B$64), "Fill=B")</f>
        <v>2947.4</v>
      </c>
      <c r="CD77">
        <f ca="1">_xll.BDP($B$4,$C$4,CONCATENATE("PX391=", $CD$71), CONCATENATE("PX392=",$CD$72), CONCATENATE("DS004=",$B$64), "Fill=B")</f>
        <v>2877</v>
      </c>
      <c r="CE77">
        <f ca="1">_xll.BDP($B$4,$C$4,CONCATENATE("PX391=", $CE$71), CONCATENATE("PX392=",$CE$72), CONCATENATE("DS004=",$B$64), "Fill=B")</f>
        <v>2822.4</v>
      </c>
      <c r="CF77">
        <f ca="1">_xll.BDP($B$4,$C$4,CONCATENATE("PX391=", $CF$71), CONCATENATE("PX392=",$CF$72), CONCATENATE("DS004=",$B$64), "Fill=B")</f>
        <v>2990.9</v>
      </c>
      <c r="CG77">
        <f ca="1">_xll.BDP($B$4,$C$4,CONCATENATE("PX391=", $CG$71), CONCATENATE("PX392=",$CG$72), CONCATENATE("DS004=",$B$64), "Fill=B")</f>
        <v>2724.4</v>
      </c>
      <c r="CH77">
        <f ca="1">_xll.BDP($B$4,$C$4,CONCATENATE("PX391=", $CH$71), CONCATENATE("PX392=",$CH$72), CONCATENATE("DS004=",$B$64), "Fill=B")</f>
        <v>2691.6</v>
      </c>
      <c r="CI77">
        <f ca="1">_xll.BDP($B$4,$C$4,CONCATENATE("PX391=", $CI$71), CONCATENATE("PX392=",$CI$72), CONCATENATE("DS004=",$B$64), "Fill=B")</f>
        <v>2297.1999999999998</v>
      </c>
      <c r="CJ77">
        <f ca="1">_xll.BDP($B$4,$C$4,CONCATENATE("PX391=", $CJ$71), CONCATENATE("PX392=",$CJ$72), CONCATENATE("DS004=",$B$64), "Fill=B")</f>
        <v>2623.3</v>
      </c>
      <c r="CK77">
        <f ca="1">_xll.BDP($B$4,$C$4,CONCATENATE("PX391=", $CK$71), CONCATENATE("PX392=",$CK$72), CONCATENATE("DS004=",$B$64), "Fill=B")</f>
        <v>2765.5</v>
      </c>
      <c r="CL77" t="str">
        <f>""</f>
        <v/>
      </c>
      <c r="CM77" t="str">
        <f>""</f>
        <v/>
      </c>
      <c r="CN77" t="str">
        <f>""</f>
        <v/>
      </c>
      <c r="CO77" t="str">
        <f>""</f>
        <v/>
      </c>
      <c r="CP77" t="str">
        <f>""</f>
        <v/>
      </c>
      <c r="CQ77" t="str">
        <f>""</f>
        <v/>
      </c>
      <c r="CR77" t="str">
        <f>""</f>
        <v/>
      </c>
      <c r="CS77" t="str">
        <f>""</f>
        <v/>
      </c>
      <c r="CT77" t="str">
        <f>""</f>
        <v/>
      </c>
      <c r="CU77" t="str">
        <f>""</f>
        <v/>
      </c>
      <c r="CV77" t="str">
        <f>""</f>
        <v/>
      </c>
      <c r="CW77" t="str">
        <f>""</f>
        <v/>
      </c>
      <c r="CX77" t="str">
        <f>""</f>
        <v/>
      </c>
      <c r="CY77" t="str">
        <f>""</f>
        <v/>
      </c>
      <c r="CZ77" t="str">
        <f>""</f>
        <v/>
      </c>
      <c r="DA77" t="str">
        <f>""</f>
        <v/>
      </c>
      <c r="DB77" t="str">
        <f>""</f>
        <v/>
      </c>
      <c r="DC77" t="str">
        <f>""</f>
        <v/>
      </c>
      <c r="DD77" t="str">
        <f>""</f>
        <v/>
      </c>
      <c r="DE77" t="str">
        <f>""</f>
        <v/>
      </c>
      <c r="DF77" t="str">
        <f>""</f>
        <v/>
      </c>
      <c r="DG77" t="str">
        <f>""</f>
        <v/>
      </c>
      <c r="DH77" t="str">
        <f>""</f>
        <v/>
      </c>
      <c r="DI77" t="str">
        <f>""</f>
        <v/>
      </c>
      <c r="DJ77" t="str">
        <f>""</f>
        <v/>
      </c>
      <c r="DK77" t="str">
        <f>""</f>
        <v/>
      </c>
      <c r="DL77" t="str">
        <f>""</f>
        <v/>
      </c>
      <c r="DM77" t="str">
        <f>""</f>
        <v/>
      </c>
      <c r="DN77" t="str">
        <f>""</f>
        <v/>
      </c>
      <c r="DO77" t="str">
        <f>""</f>
        <v/>
      </c>
      <c r="DP77" t="str">
        <f>""</f>
        <v/>
      </c>
      <c r="DQ77" t="str">
        <f>""</f>
        <v/>
      </c>
      <c r="DR77" t="str">
        <f>""</f>
        <v/>
      </c>
      <c r="DS77" t="str">
        <f>""</f>
        <v/>
      </c>
      <c r="DT77" t="str">
        <f>""</f>
        <v/>
      </c>
      <c r="DU77" t="str">
        <f>""</f>
        <v/>
      </c>
      <c r="DV77" t="str">
        <f>""</f>
        <v/>
      </c>
      <c r="DW77" t="str">
        <f>""</f>
        <v/>
      </c>
      <c r="DX77" t="str">
        <f>""</f>
        <v/>
      </c>
      <c r="DY77" t="str">
        <f>""</f>
        <v/>
      </c>
      <c r="DZ77" t="str">
        <f>""</f>
        <v/>
      </c>
      <c r="EA77" t="str">
        <f>""</f>
        <v/>
      </c>
      <c r="EB77" t="str">
        <f>""</f>
        <v/>
      </c>
      <c r="EC77" t="str">
        <f>""</f>
        <v/>
      </c>
      <c r="ED77" t="str">
        <f>""</f>
        <v/>
      </c>
      <c r="EE77" t="str">
        <f>""</f>
        <v/>
      </c>
      <c r="EF77" t="str">
        <f>""</f>
        <v/>
      </c>
      <c r="EG77" t="str">
        <f>""</f>
        <v/>
      </c>
      <c r="EH77" t="str">
        <f>""</f>
        <v/>
      </c>
      <c r="EI77" t="str">
        <f>""</f>
        <v/>
      </c>
      <c r="EJ77" t="str">
        <f>""</f>
        <v/>
      </c>
      <c r="EK77" t="str">
        <f>""</f>
        <v/>
      </c>
      <c r="EL77" t="str">
        <f>""</f>
        <v/>
      </c>
      <c r="EM77" t="str">
        <f>""</f>
        <v/>
      </c>
      <c r="EN77" t="str">
        <f>""</f>
        <v/>
      </c>
      <c r="EO77" t="str">
        <f>""</f>
        <v/>
      </c>
      <c r="EP77" t="str">
        <f>""</f>
        <v/>
      </c>
      <c r="EQ77" t="str">
        <f>""</f>
        <v/>
      </c>
      <c r="ER77" t="str">
        <f>""</f>
        <v/>
      </c>
      <c r="ES77" t="str">
        <f>""</f>
        <v/>
      </c>
      <c r="ET77" t="str">
        <f>""</f>
        <v/>
      </c>
      <c r="EU77" t="str">
        <f>""</f>
        <v/>
      </c>
      <c r="EV77" t="str">
        <f>""</f>
        <v/>
      </c>
      <c r="EW77" t="str">
        <f>""</f>
        <v/>
      </c>
      <c r="EX77" t="str">
        <f>""</f>
        <v/>
      </c>
      <c r="EY77" t="str">
        <f>""</f>
        <v/>
      </c>
      <c r="EZ77" t="str">
        <f>""</f>
        <v/>
      </c>
      <c r="FA77" t="str">
        <f>""</f>
        <v/>
      </c>
      <c r="FB77" t="str">
        <f>""</f>
        <v/>
      </c>
      <c r="FC77" t="str">
        <f>""</f>
        <v/>
      </c>
      <c r="FD77" t="str">
        <f>""</f>
        <v/>
      </c>
      <c r="FE77" t="str">
        <f>""</f>
        <v/>
      </c>
      <c r="FF77" t="str">
        <f>""</f>
        <v/>
      </c>
      <c r="FG77" t="str">
        <f>""</f>
        <v/>
      </c>
      <c r="FH77" t="str">
        <f>""</f>
        <v/>
      </c>
      <c r="FI77" t="str">
        <f>""</f>
        <v/>
      </c>
      <c r="FJ77" t="str">
        <f>""</f>
        <v/>
      </c>
      <c r="FK77" t="str">
        <f>""</f>
        <v/>
      </c>
      <c r="FL77" t="str">
        <f>""</f>
        <v/>
      </c>
      <c r="FM77" t="str">
        <f>""</f>
        <v/>
      </c>
      <c r="FN77" t="str">
        <f>""</f>
        <v/>
      </c>
      <c r="FO77" t="str">
        <f>""</f>
        <v/>
      </c>
      <c r="FP77" t="str">
        <f>""</f>
        <v/>
      </c>
      <c r="FQ77" t="str">
        <f>""</f>
        <v/>
      </c>
    </row>
    <row r="78" spans="1:173" x14ac:dyDescent="0.25">
      <c r="A78" t="str">
        <f>$A$5</f>
        <v xml:space="preserve">    Total Cargo (000 tonnes)</v>
      </c>
      <c r="B78" t="str">
        <f>$B$5</f>
        <v>SIVSCRGO Index</v>
      </c>
      <c r="C78" t="str">
        <f>$C$5</f>
        <v>PR005</v>
      </c>
      <c r="D78" t="str">
        <f>$D$5</f>
        <v>PX_LAST</v>
      </c>
      <c r="E78" t="str">
        <f>$E$5</f>
        <v>Dynamic</v>
      </c>
      <c r="F78" t="str">
        <f ca="1">_xll.BDH($B$5,$C$5,$B$67,$B$68,CONCATENATE("Per=",$B$65),"Dts=H","Dir=H",CONCATENATE("Points=",$B$66),"Sort=R","Days=A","Fill=B",CONCATENATE("FX=", $B$64),"cols=84;rows=1")</f>
        <v/>
      </c>
      <c r="H78">
        <v>47652.45</v>
      </c>
      <c r="I78">
        <v>50068.4</v>
      </c>
      <c r="J78">
        <v>51556.34</v>
      </c>
      <c r="K78">
        <v>49414.52</v>
      </c>
      <c r="L78">
        <v>48185.599999999999</v>
      </c>
      <c r="M78">
        <v>49521.824000000001</v>
      </c>
      <c r="N78">
        <v>50523.256000000001</v>
      </c>
      <c r="O78">
        <v>45592.91</v>
      </c>
      <c r="P78">
        <v>47812.408000000003</v>
      </c>
      <c r="Q78">
        <v>49057.031999999999</v>
      </c>
      <c r="R78">
        <v>46726.817999999999</v>
      </c>
      <c r="S78">
        <v>47054.741000000002</v>
      </c>
      <c r="T78">
        <v>46599.248</v>
      </c>
      <c r="U78">
        <v>49200.52</v>
      </c>
      <c r="V78">
        <v>50927.326000000001</v>
      </c>
      <c r="W78">
        <v>48278.748</v>
      </c>
      <c r="X78">
        <v>47283.1</v>
      </c>
      <c r="Y78">
        <v>47132.139000000003</v>
      </c>
      <c r="Z78">
        <v>48660.107000000004</v>
      </c>
      <c r="AA78">
        <v>45204.981</v>
      </c>
      <c r="AB78">
        <v>52095.99</v>
      </c>
      <c r="AC78">
        <v>48682.487000000001</v>
      </c>
      <c r="AD78">
        <v>52126.286999999997</v>
      </c>
      <c r="AE78">
        <v>48764.375999999997</v>
      </c>
      <c r="AF78">
        <v>48263.529000000002</v>
      </c>
      <c r="AG78">
        <v>49773.360999999997</v>
      </c>
      <c r="AH78">
        <v>50446.904999999999</v>
      </c>
      <c r="AI78">
        <v>48768.762000000002</v>
      </c>
      <c r="AJ78">
        <v>51385.097000000002</v>
      </c>
      <c r="AK78">
        <v>50261.307000000001</v>
      </c>
      <c r="AL78">
        <v>52683.366999999998</v>
      </c>
      <c r="AM78">
        <v>47445.235000000001</v>
      </c>
      <c r="AN78">
        <v>51041.987000000001</v>
      </c>
      <c r="AO78">
        <v>49976.493999999999</v>
      </c>
      <c r="AP78">
        <v>49760.12</v>
      </c>
      <c r="AQ78">
        <v>50058.542000000001</v>
      </c>
      <c r="AR78">
        <v>49197.256000000001</v>
      </c>
      <c r="AS78">
        <v>50448.108</v>
      </c>
      <c r="AT78">
        <v>48752.142999999996</v>
      </c>
      <c r="AU78">
        <v>48163.7</v>
      </c>
      <c r="AV78">
        <v>44620.531000000003</v>
      </c>
      <c r="AW78">
        <v>47611.05</v>
      </c>
      <c r="AX78">
        <v>53344.500999999997</v>
      </c>
      <c r="AY78">
        <v>47761.082000000002</v>
      </c>
      <c r="AZ78">
        <v>51044.728000000003</v>
      </c>
      <c r="BA78">
        <v>53177.932999999997</v>
      </c>
      <c r="BB78">
        <v>52378.8</v>
      </c>
      <c r="BC78">
        <v>52557.72</v>
      </c>
      <c r="BD78">
        <v>49785.192000000003</v>
      </c>
      <c r="BE78">
        <v>51066.408000000003</v>
      </c>
      <c r="BF78">
        <v>52124.608</v>
      </c>
      <c r="BG78">
        <v>53341.03</v>
      </c>
      <c r="BH78">
        <v>55848.525999999998</v>
      </c>
      <c r="BI78">
        <v>54329.107000000004</v>
      </c>
      <c r="BJ78">
        <v>52019.684999999998</v>
      </c>
      <c r="BK78">
        <v>47962.137000000002</v>
      </c>
      <c r="BL78">
        <v>51930.017</v>
      </c>
      <c r="BM78">
        <v>54278.837</v>
      </c>
      <c r="BN78">
        <v>51785.264999999999</v>
      </c>
      <c r="BO78">
        <v>53547.046000000002</v>
      </c>
      <c r="BP78">
        <v>50349.813999999998</v>
      </c>
      <c r="BQ78">
        <v>54838.21</v>
      </c>
      <c r="BR78">
        <v>52268.769</v>
      </c>
      <c r="BS78">
        <v>51768.089</v>
      </c>
      <c r="BT78">
        <v>53372.095999999998</v>
      </c>
      <c r="BU78">
        <v>51969.934000000001</v>
      </c>
      <c r="BV78">
        <v>53776.580999999998</v>
      </c>
      <c r="BW78">
        <v>48984.082999999999</v>
      </c>
      <c r="BX78">
        <v>53186.546999999999</v>
      </c>
      <c r="BY78">
        <v>54458.902999999998</v>
      </c>
      <c r="BZ78">
        <v>53120.226000000002</v>
      </c>
      <c r="CA78">
        <v>53877.099000000002</v>
      </c>
      <c r="CB78">
        <v>52833.161</v>
      </c>
      <c r="CC78">
        <v>52963.493000000002</v>
      </c>
      <c r="CD78">
        <v>50115.546999999999</v>
      </c>
      <c r="CE78">
        <v>50979.438999999998</v>
      </c>
      <c r="CF78">
        <v>53920.122000000003</v>
      </c>
      <c r="CG78">
        <v>52936.953999999998</v>
      </c>
      <c r="CH78">
        <v>53068.256000000001</v>
      </c>
      <c r="CI78">
        <v>48370.091</v>
      </c>
      <c r="CJ78">
        <v>51044.764000000003</v>
      </c>
      <c r="CK78">
        <v>52635.6</v>
      </c>
      <c r="CL78" t="str">
        <f>""</f>
        <v/>
      </c>
      <c r="CM78" t="str">
        <f>""</f>
        <v/>
      </c>
      <c r="CN78" t="str">
        <f>""</f>
        <v/>
      </c>
      <c r="CO78" t="str">
        <f>""</f>
        <v/>
      </c>
      <c r="CP78" t="str">
        <f>""</f>
        <v/>
      </c>
      <c r="CQ78" t="str">
        <f>""</f>
        <v/>
      </c>
      <c r="CR78" t="str">
        <f>""</f>
        <v/>
      </c>
      <c r="CS78" t="str">
        <f>""</f>
        <v/>
      </c>
      <c r="CT78" t="str">
        <f>""</f>
        <v/>
      </c>
      <c r="CU78" t="str">
        <f>""</f>
        <v/>
      </c>
      <c r="CV78" t="str">
        <f>""</f>
        <v/>
      </c>
      <c r="CW78" t="str">
        <f>""</f>
        <v/>
      </c>
      <c r="CX78" t="str">
        <f>""</f>
        <v/>
      </c>
      <c r="CY78" t="str">
        <f>""</f>
        <v/>
      </c>
      <c r="CZ78" t="str">
        <f>""</f>
        <v/>
      </c>
      <c r="DA78" t="str">
        <f>""</f>
        <v/>
      </c>
      <c r="DB78" t="str">
        <f>""</f>
        <v/>
      </c>
      <c r="DC78" t="str">
        <f>""</f>
        <v/>
      </c>
      <c r="DD78" t="str">
        <f>""</f>
        <v/>
      </c>
      <c r="DE78" t="str">
        <f>""</f>
        <v/>
      </c>
      <c r="DF78" t="str">
        <f>""</f>
        <v/>
      </c>
      <c r="DG78" t="str">
        <f>""</f>
        <v/>
      </c>
      <c r="DH78" t="str">
        <f>""</f>
        <v/>
      </c>
      <c r="DI78" t="str">
        <f>""</f>
        <v/>
      </c>
      <c r="DJ78" t="str">
        <f>""</f>
        <v/>
      </c>
      <c r="DK78" t="str">
        <f>""</f>
        <v/>
      </c>
      <c r="DL78" t="str">
        <f>""</f>
        <v/>
      </c>
      <c r="DM78" t="str">
        <f>""</f>
        <v/>
      </c>
      <c r="DN78" t="str">
        <f>""</f>
        <v/>
      </c>
      <c r="DO78" t="str">
        <f>""</f>
        <v/>
      </c>
      <c r="DP78" t="str">
        <f>""</f>
        <v/>
      </c>
      <c r="DQ78" t="str">
        <f>""</f>
        <v/>
      </c>
      <c r="DR78" t="str">
        <f>""</f>
        <v/>
      </c>
      <c r="DS78" t="str">
        <f>""</f>
        <v/>
      </c>
      <c r="DT78" t="str">
        <f>""</f>
        <v/>
      </c>
      <c r="DU78" t="str">
        <f>""</f>
        <v/>
      </c>
      <c r="DV78" t="str">
        <f>""</f>
        <v/>
      </c>
      <c r="DW78" t="str">
        <f>""</f>
        <v/>
      </c>
      <c r="DX78" t="str">
        <f>""</f>
        <v/>
      </c>
      <c r="DY78" t="str">
        <f>""</f>
        <v/>
      </c>
      <c r="DZ78" t="str">
        <f>""</f>
        <v/>
      </c>
      <c r="EA78" t="str">
        <f>""</f>
        <v/>
      </c>
      <c r="EB78" t="str">
        <f>""</f>
        <v/>
      </c>
      <c r="EC78" t="str">
        <f>""</f>
        <v/>
      </c>
      <c r="ED78" t="str">
        <f>""</f>
        <v/>
      </c>
      <c r="EE78" t="str">
        <f>""</f>
        <v/>
      </c>
      <c r="EF78" t="str">
        <f>""</f>
        <v/>
      </c>
      <c r="EG78" t="str">
        <f>""</f>
        <v/>
      </c>
      <c r="EH78" t="str">
        <f>""</f>
        <v/>
      </c>
      <c r="EI78" t="str">
        <f>""</f>
        <v/>
      </c>
      <c r="EJ78" t="str">
        <f>""</f>
        <v/>
      </c>
      <c r="EK78" t="str">
        <f>""</f>
        <v/>
      </c>
      <c r="EL78" t="str">
        <f>""</f>
        <v/>
      </c>
      <c r="EM78" t="str">
        <f>""</f>
        <v/>
      </c>
      <c r="EN78" t="str">
        <f>""</f>
        <v/>
      </c>
      <c r="EO78" t="str">
        <f>""</f>
        <v/>
      </c>
      <c r="EP78" t="str">
        <f>""</f>
        <v/>
      </c>
      <c r="EQ78" t="str">
        <f>""</f>
        <v/>
      </c>
      <c r="ER78" t="str">
        <f>""</f>
        <v/>
      </c>
      <c r="ES78" t="str">
        <f>""</f>
        <v/>
      </c>
      <c r="ET78" t="str">
        <f>""</f>
        <v/>
      </c>
      <c r="EU78" t="str">
        <f>""</f>
        <v/>
      </c>
      <c r="EV78" t="str">
        <f>""</f>
        <v/>
      </c>
      <c r="EW78" t="str">
        <f>""</f>
        <v/>
      </c>
      <c r="EX78" t="str">
        <f>""</f>
        <v/>
      </c>
      <c r="EY78" t="str">
        <f>""</f>
        <v/>
      </c>
      <c r="EZ78" t="str">
        <f>""</f>
        <v/>
      </c>
      <c r="FA78" t="str">
        <f>""</f>
        <v/>
      </c>
      <c r="FB78" t="str">
        <f>""</f>
        <v/>
      </c>
      <c r="FC78" t="str">
        <f>""</f>
        <v/>
      </c>
      <c r="FD78" t="str">
        <f>""</f>
        <v/>
      </c>
      <c r="FE78" t="str">
        <f>""</f>
        <v/>
      </c>
      <c r="FF78" t="str">
        <f>""</f>
        <v/>
      </c>
      <c r="FG78" t="str">
        <f>""</f>
        <v/>
      </c>
      <c r="FH78" t="str">
        <f>""</f>
        <v/>
      </c>
      <c r="FI78" t="str">
        <f>""</f>
        <v/>
      </c>
      <c r="FJ78" t="str">
        <f>""</f>
        <v/>
      </c>
      <c r="FK78" t="str">
        <f>""</f>
        <v/>
      </c>
      <c r="FL78" t="str">
        <f>""</f>
        <v/>
      </c>
      <c r="FM78" t="str">
        <f>""</f>
        <v/>
      </c>
      <c r="FN78" t="str">
        <f>""</f>
        <v/>
      </c>
      <c r="FO78" t="str">
        <f>""</f>
        <v/>
      </c>
      <c r="FP78" t="str">
        <f>""</f>
        <v/>
      </c>
      <c r="FQ78" t="str">
        <f>""</f>
        <v/>
      </c>
    </row>
    <row r="79" spans="1:173" x14ac:dyDescent="0.25">
      <c r="A79" t="str">
        <f>$A$7</f>
        <v xml:space="preserve">            Containerized Cargo (000 tonnes)</v>
      </c>
      <c r="B79" t="str">
        <f>$B$7</f>
        <v>SIVSCONT Index</v>
      </c>
      <c r="C79" t="str">
        <f>$C$7</f>
        <v>PR005</v>
      </c>
      <c r="D79" t="str">
        <f>$D$7</f>
        <v>PX_LAST</v>
      </c>
      <c r="E79" t="str">
        <f>$E$7</f>
        <v>Dynamic</v>
      </c>
      <c r="F79" t="str">
        <f ca="1">_xll.BDH($B$7,$C$7,$B$67,$B$68,CONCATENATE("Per=",$B$65),"Dts=H","Dir=H",CONCATENATE("Points=",$B$66),"Sort=R","Days=A","Fill=B",CONCATENATE("FX=", $B$64),"cols=84;rows=1")</f>
        <v/>
      </c>
      <c r="H79">
        <v>29188.5</v>
      </c>
      <c r="I79">
        <v>29935.34</v>
      </c>
      <c r="J79">
        <v>30836.68</v>
      </c>
      <c r="K79">
        <v>29050.06</v>
      </c>
      <c r="L79">
        <v>29928.63</v>
      </c>
      <c r="M79">
        <v>29702.258000000002</v>
      </c>
      <c r="N79">
        <v>30723.03</v>
      </c>
      <c r="O79">
        <v>25153.119999999999</v>
      </c>
      <c r="P79">
        <v>26912.6</v>
      </c>
      <c r="Q79">
        <v>28051.041000000001</v>
      </c>
      <c r="R79">
        <v>26980.182000000001</v>
      </c>
      <c r="S79">
        <v>26924.190999999999</v>
      </c>
      <c r="T79">
        <v>26667.149000000001</v>
      </c>
      <c r="U79">
        <v>28890.830999999998</v>
      </c>
      <c r="V79">
        <v>30225.847000000002</v>
      </c>
      <c r="W79">
        <v>28967.27</v>
      </c>
      <c r="X79">
        <v>28702.401000000002</v>
      </c>
      <c r="Y79">
        <v>28852.828000000001</v>
      </c>
      <c r="Z79">
        <v>29776.517</v>
      </c>
      <c r="AA79">
        <v>27540.13</v>
      </c>
      <c r="AB79">
        <v>30480.080000000002</v>
      </c>
      <c r="AC79">
        <v>31475.816999999999</v>
      </c>
      <c r="AD79">
        <v>30571.819</v>
      </c>
      <c r="AE79">
        <v>29357.441999999999</v>
      </c>
      <c r="AF79">
        <v>29367.17</v>
      </c>
      <c r="AG79">
        <v>30394.511999999999</v>
      </c>
      <c r="AH79">
        <v>30469.624</v>
      </c>
      <c r="AI79">
        <v>30081.208999999999</v>
      </c>
      <c r="AJ79">
        <v>31291.9</v>
      </c>
      <c r="AK79">
        <v>29780.717000000001</v>
      </c>
      <c r="AL79">
        <v>31877.252</v>
      </c>
      <c r="AM79">
        <v>28390.063999999998</v>
      </c>
      <c r="AN79">
        <v>30694.226999999999</v>
      </c>
      <c r="AO79">
        <v>31537.666000000001</v>
      </c>
      <c r="AP79">
        <v>30811.800999999999</v>
      </c>
      <c r="AQ79">
        <v>31231.84</v>
      </c>
      <c r="AR79">
        <v>30539.460999999999</v>
      </c>
      <c r="AS79">
        <v>30798.686000000002</v>
      </c>
      <c r="AT79">
        <v>29065.253000000001</v>
      </c>
      <c r="AU79">
        <v>28064.752</v>
      </c>
      <c r="AV79">
        <v>26698.690999999999</v>
      </c>
      <c r="AW79">
        <v>28695.094000000001</v>
      </c>
      <c r="AX79">
        <v>32539.882000000001</v>
      </c>
      <c r="AY79">
        <v>27859.034</v>
      </c>
      <c r="AZ79">
        <v>30136.597000000002</v>
      </c>
      <c r="BA79">
        <v>31493.006000000001</v>
      </c>
      <c r="BB79">
        <v>31769.84</v>
      </c>
      <c r="BC79">
        <v>30886.492999999999</v>
      </c>
      <c r="BD79">
        <v>29759.553</v>
      </c>
      <c r="BE79">
        <v>30887.053</v>
      </c>
      <c r="BF79">
        <v>31765.524000000001</v>
      </c>
      <c r="BG79">
        <v>29452.005000000001</v>
      </c>
      <c r="BH79">
        <v>30960.577000000001</v>
      </c>
      <c r="BI79">
        <v>30346.436000000002</v>
      </c>
      <c r="BJ79">
        <v>32068.57</v>
      </c>
      <c r="BK79">
        <v>26627.712</v>
      </c>
      <c r="BL79">
        <v>29217.360000000001</v>
      </c>
      <c r="BM79">
        <v>31160.833999999999</v>
      </c>
      <c r="BN79">
        <v>29934.15</v>
      </c>
      <c r="BO79">
        <v>30563.395</v>
      </c>
      <c r="BP79">
        <v>29678.752</v>
      </c>
      <c r="BQ79">
        <v>31528.409</v>
      </c>
      <c r="BR79">
        <v>31526.154999999999</v>
      </c>
      <c r="BS79">
        <v>30841.841</v>
      </c>
      <c r="BT79">
        <v>32383.469000000001</v>
      </c>
      <c r="BU79">
        <v>29994.294999999998</v>
      </c>
      <c r="BV79">
        <v>31635.401000000002</v>
      </c>
      <c r="BW79">
        <v>27967.374</v>
      </c>
      <c r="BX79">
        <v>30207.815999999999</v>
      </c>
      <c r="BY79">
        <v>30366.543000000001</v>
      </c>
      <c r="BZ79">
        <v>29941.736000000001</v>
      </c>
      <c r="CA79">
        <v>29161.780999999999</v>
      </c>
      <c r="CB79">
        <v>28774.626</v>
      </c>
      <c r="CC79">
        <v>29834.348999999998</v>
      </c>
      <c r="CD79">
        <v>29786.442999999999</v>
      </c>
      <c r="CE79">
        <v>29587.218000000001</v>
      </c>
      <c r="CF79">
        <v>31401.769</v>
      </c>
      <c r="CG79">
        <v>28739.625</v>
      </c>
      <c r="CH79">
        <v>29294.037</v>
      </c>
      <c r="CI79">
        <v>25109.7</v>
      </c>
      <c r="CJ79">
        <v>27103.574000000001</v>
      </c>
      <c r="CK79">
        <v>28750.537</v>
      </c>
      <c r="CL79" t="str">
        <f>""</f>
        <v/>
      </c>
      <c r="CM79" t="str">
        <f>""</f>
        <v/>
      </c>
      <c r="CN79" t="str">
        <f>""</f>
        <v/>
      </c>
      <c r="CO79" t="str">
        <f>""</f>
        <v/>
      </c>
      <c r="CP79" t="str">
        <f>""</f>
        <v/>
      </c>
      <c r="CQ79" t="str">
        <f>""</f>
        <v/>
      </c>
      <c r="CR79" t="str">
        <f>""</f>
        <v/>
      </c>
      <c r="CS79" t="str">
        <f>""</f>
        <v/>
      </c>
      <c r="CT79" t="str">
        <f>""</f>
        <v/>
      </c>
      <c r="CU79" t="str">
        <f>""</f>
        <v/>
      </c>
      <c r="CV79" t="str">
        <f>""</f>
        <v/>
      </c>
      <c r="CW79" t="str">
        <f>""</f>
        <v/>
      </c>
      <c r="CX79" t="str">
        <f>""</f>
        <v/>
      </c>
      <c r="CY79" t="str">
        <f>""</f>
        <v/>
      </c>
      <c r="CZ79" t="str">
        <f>""</f>
        <v/>
      </c>
      <c r="DA79" t="str">
        <f>""</f>
        <v/>
      </c>
      <c r="DB79" t="str">
        <f>""</f>
        <v/>
      </c>
      <c r="DC79" t="str">
        <f>""</f>
        <v/>
      </c>
      <c r="DD79" t="str">
        <f>""</f>
        <v/>
      </c>
      <c r="DE79" t="str">
        <f>""</f>
        <v/>
      </c>
      <c r="DF79" t="str">
        <f>""</f>
        <v/>
      </c>
      <c r="DG79" t="str">
        <f>""</f>
        <v/>
      </c>
      <c r="DH79" t="str">
        <f>""</f>
        <v/>
      </c>
      <c r="DI79" t="str">
        <f>""</f>
        <v/>
      </c>
      <c r="DJ79" t="str">
        <f>""</f>
        <v/>
      </c>
      <c r="DK79" t="str">
        <f>""</f>
        <v/>
      </c>
      <c r="DL79" t="str">
        <f>""</f>
        <v/>
      </c>
      <c r="DM79" t="str">
        <f>""</f>
        <v/>
      </c>
      <c r="DN79" t="str">
        <f>""</f>
        <v/>
      </c>
      <c r="DO79" t="str">
        <f>""</f>
        <v/>
      </c>
      <c r="DP79" t="str">
        <f>""</f>
        <v/>
      </c>
      <c r="DQ79" t="str">
        <f>""</f>
        <v/>
      </c>
      <c r="DR79" t="str">
        <f>""</f>
        <v/>
      </c>
      <c r="DS79" t="str">
        <f>""</f>
        <v/>
      </c>
      <c r="DT79" t="str">
        <f>""</f>
        <v/>
      </c>
      <c r="DU79" t="str">
        <f>""</f>
        <v/>
      </c>
      <c r="DV79" t="str">
        <f>""</f>
        <v/>
      </c>
      <c r="DW79" t="str">
        <f>""</f>
        <v/>
      </c>
      <c r="DX79" t="str">
        <f>""</f>
        <v/>
      </c>
      <c r="DY79" t="str">
        <f>""</f>
        <v/>
      </c>
      <c r="DZ79" t="str">
        <f>""</f>
        <v/>
      </c>
      <c r="EA79" t="str">
        <f>""</f>
        <v/>
      </c>
      <c r="EB79" t="str">
        <f>""</f>
        <v/>
      </c>
      <c r="EC79" t="str">
        <f>""</f>
        <v/>
      </c>
      <c r="ED79" t="str">
        <f>""</f>
        <v/>
      </c>
      <c r="EE79" t="str">
        <f>""</f>
        <v/>
      </c>
      <c r="EF79" t="str">
        <f>""</f>
        <v/>
      </c>
      <c r="EG79" t="str">
        <f>""</f>
        <v/>
      </c>
      <c r="EH79" t="str">
        <f>""</f>
        <v/>
      </c>
      <c r="EI79" t="str">
        <f>""</f>
        <v/>
      </c>
      <c r="EJ79" t="str">
        <f>""</f>
        <v/>
      </c>
      <c r="EK79" t="str">
        <f>""</f>
        <v/>
      </c>
      <c r="EL79" t="str">
        <f>""</f>
        <v/>
      </c>
      <c r="EM79" t="str">
        <f>""</f>
        <v/>
      </c>
      <c r="EN79" t="str">
        <f>""</f>
        <v/>
      </c>
      <c r="EO79" t="str">
        <f>""</f>
        <v/>
      </c>
      <c r="EP79" t="str">
        <f>""</f>
        <v/>
      </c>
      <c r="EQ79" t="str">
        <f>""</f>
        <v/>
      </c>
      <c r="ER79" t="str">
        <f>""</f>
        <v/>
      </c>
      <c r="ES79" t="str">
        <f>""</f>
        <v/>
      </c>
      <c r="ET79" t="str">
        <f>""</f>
        <v/>
      </c>
      <c r="EU79" t="str">
        <f>""</f>
        <v/>
      </c>
      <c r="EV79" t="str">
        <f>""</f>
        <v/>
      </c>
      <c r="EW79" t="str">
        <f>""</f>
        <v/>
      </c>
      <c r="EX79" t="str">
        <f>""</f>
        <v/>
      </c>
      <c r="EY79" t="str">
        <f>""</f>
        <v/>
      </c>
      <c r="EZ79" t="str">
        <f>""</f>
        <v/>
      </c>
      <c r="FA79" t="str">
        <f>""</f>
        <v/>
      </c>
      <c r="FB79" t="str">
        <f>""</f>
        <v/>
      </c>
      <c r="FC79" t="str">
        <f>""</f>
        <v/>
      </c>
      <c r="FD79" t="str">
        <f>""</f>
        <v/>
      </c>
      <c r="FE79" t="str">
        <f>""</f>
        <v/>
      </c>
      <c r="FF79" t="str">
        <f>""</f>
        <v/>
      </c>
      <c r="FG79" t="str">
        <f>""</f>
        <v/>
      </c>
      <c r="FH79" t="str">
        <f>""</f>
        <v/>
      </c>
      <c r="FI79" t="str">
        <f>""</f>
        <v/>
      </c>
      <c r="FJ79" t="str">
        <f>""</f>
        <v/>
      </c>
      <c r="FK79" t="str">
        <f>""</f>
        <v/>
      </c>
      <c r="FL79" t="str">
        <f>""</f>
        <v/>
      </c>
      <c r="FM79" t="str">
        <f>""</f>
        <v/>
      </c>
      <c r="FN79" t="str">
        <f>""</f>
        <v/>
      </c>
      <c r="FO79" t="str">
        <f>""</f>
        <v/>
      </c>
      <c r="FP79" t="str">
        <f>""</f>
        <v/>
      </c>
      <c r="FQ79" t="str">
        <f>""</f>
        <v/>
      </c>
    </row>
    <row r="80" spans="1:173" x14ac:dyDescent="0.25">
      <c r="A80" t="str">
        <f>$A$8</f>
        <v xml:space="preserve">            Conventional Cargo (000 tonnes)</v>
      </c>
      <c r="B80" t="str">
        <f>$B$8</f>
        <v>SIVSCONV Index</v>
      </c>
      <c r="C80" t="str">
        <f>$C$8</f>
        <v>PR005</v>
      </c>
      <c r="D80" t="str">
        <f>$D$8</f>
        <v>PX_LAST</v>
      </c>
      <c r="E80" t="str">
        <f>$E$8</f>
        <v>Dynamic</v>
      </c>
      <c r="F80" t="str">
        <f ca="1">_xll.BDH($B$8,$C$8,$B$67,$B$68,CONCATENATE("Per=",$B$65),"Dts=H","Dir=H",CONCATENATE("Points=",$B$66),"Sort=R","Days=A","Fill=B",CONCATENATE("FX=", $B$64),"cols=84;rows=1")</f>
        <v/>
      </c>
      <c r="H80">
        <v>2001.74</v>
      </c>
      <c r="I80">
        <v>2223.4</v>
      </c>
      <c r="J80">
        <v>2154.9499999999998</v>
      </c>
      <c r="K80">
        <v>2064.65</v>
      </c>
      <c r="L80">
        <v>2119.65</v>
      </c>
      <c r="M80">
        <v>2416.8200000000002</v>
      </c>
      <c r="N80">
        <v>2409.2600000000002</v>
      </c>
      <c r="O80">
        <v>1966.01</v>
      </c>
      <c r="P80">
        <v>2279.7600000000002</v>
      </c>
      <c r="Q80">
        <v>2164.1</v>
      </c>
      <c r="R80">
        <v>2091.6799999999998</v>
      </c>
      <c r="S80">
        <v>2413.9899999999998</v>
      </c>
      <c r="T80">
        <v>2208.7199999999998</v>
      </c>
      <c r="U80">
        <v>2234.7600000000002</v>
      </c>
      <c r="V80">
        <v>2279</v>
      </c>
      <c r="W80">
        <v>1952.13</v>
      </c>
      <c r="X80">
        <v>2079.36</v>
      </c>
      <c r="Y80">
        <v>1867.37</v>
      </c>
      <c r="Z80">
        <v>1961.88</v>
      </c>
      <c r="AA80">
        <v>1971.47</v>
      </c>
      <c r="AB80">
        <v>1821.9</v>
      </c>
      <c r="AC80">
        <v>1844.829</v>
      </c>
      <c r="AD80">
        <v>1764.3910000000001</v>
      </c>
      <c r="AE80">
        <v>1614.357</v>
      </c>
      <c r="AF80">
        <v>1529.1389999999999</v>
      </c>
      <c r="AG80">
        <v>1674.8019999999999</v>
      </c>
      <c r="AH80">
        <v>1887.48</v>
      </c>
      <c r="AI80">
        <v>1717.2560000000001</v>
      </c>
      <c r="AJ80">
        <v>1983.0609999999999</v>
      </c>
      <c r="AK80">
        <v>2155.723</v>
      </c>
      <c r="AL80">
        <v>1848.069</v>
      </c>
      <c r="AM80">
        <v>1827.2270000000001</v>
      </c>
      <c r="AN80">
        <v>1719.059</v>
      </c>
      <c r="AO80">
        <v>1758.6310000000001</v>
      </c>
      <c r="AP80">
        <v>1384.008</v>
      </c>
      <c r="AQ80">
        <v>1438.931</v>
      </c>
      <c r="AR80">
        <v>1191.8689999999999</v>
      </c>
      <c r="AS80">
        <v>1366.84</v>
      </c>
      <c r="AT80">
        <v>1327.989</v>
      </c>
      <c r="AU80">
        <v>1196.511</v>
      </c>
      <c r="AV80">
        <v>1039.2249999999999</v>
      </c>
      <c r="AW80">
        <v>1645.2139999999999</v>
      </c>
      <c r="AX80">
        <v>2036.845</v>
      </c>
      <c r="AY80">
        <v>1989.16</v>
      </c>
      <c r="AZ80">
        <v>2016.3219999999999</v>
      </c>
      <c r="BA80">
        <v>2033.2470000000001</v>
      </c>
      <c r="BB80">
        <v>2058.3620000000001</v>
      </c>
      <c r="BC80">
        <v>2085.8339999999998</v>
      </c>
      <c r="BD80">
        <v>1988.723</v>
      </c>
      <c r="BE80">
        <v>2057.4580000000001</v>
      </c>
      <c r="BF80">
        <v>2123.902</v>
      </c>
      <c r="BG80">
        <v>1826.4549999999999</v>
      </c>
      <c r="BH80">
        <v>1919.569</v>
      </c>
      <c r="BI80">
        <v>1883.21</v>
      </c>
      <c r="BJ80">
        <v>2238.1790000000001</v>
      </c>
      <c r="BK80">
        <v>1872.5219999999999</v>
      </c>
      <c r="BL80">
        <v>2114.0450000000001</v>
      </c>
      <c r="BM80">
        <v>2143.201</v>
      </c>
      <c r="BN80">
        <v>1950.5</v>
      </c>
      <c r="BO80">
        <v>1930.144</v>
      </c>
      <c r="BP80">
        <v>2001.1189999999999</v>
      </c>
      <c r="BQ80">
        <v>1745.0450000000001</v>
      </c>
      <c r="BR80">
        <v>2319.8910000000001</v>
      </c>
      <c r="BS80">
        <v>2049.9009999999998</v>
      </c>
      <c r="BT80">
        <v>1961.8530000000001</v>
      </c>
      <c r="BU80">
        <v>2140.174</v>
      </c>
      <c r="BV80">
        <v>2536.9369999999999</v>
      </c>
      <c r="BW80">
        <v>1667.933</v>
      </c>
      <c r="BX80">
        <v>1876.64</v>
      </c>
      <c r="BY80">
        <v>1962.146</v>
      </c>
      <c r="BZ80">
        <v>1977.723</v>
      </c>
      <c r="CA80">
        <v>2108.4270000000001</v>
      </c>
      <c r="CB80">
        <v>2228.3359999999998</v>
      </c>
      <c r="CC80">
        <v>2599.2220000000002</v>
      </c>
      <c r="CD80">
        <v>1914.0719999999999</v>
      </c>
      <c r="CE80">
        <v>1838.675</v>
      </c>
      <c r="CF80">
        <v>2053.174</v>
      </c>
      <c r="CG80">
        <v>3874.5569999999998</v>
      </c>
      <c r="CH80">
        <v>2582.7510000000002</v>
      </c>
      <c r="CI80">
        <v>2076.62</v>
      </c>
      <c r="CJ80">
        <v>1728.6110000000001</v>
      </c>
      <c r="CK80">
        <v>1746.751</v>
      </c>
      <c r="CL80" t="str">
        <f>""</f>
        <v/>
      </c>
      <c r="CM80" t="str">
        <f>""</f>
        <v/>
      </c>
      <c r="CN80" t="str">
        <f>""</f>
        <v/>
      </c>
      <c r="CO80" t="str">
        <f>""</f>
        <v/>
      </c>
      <c r="CP80" t="str">
        <f>""</f>
        <v/>
      </c>
      <c r="CQ80" t="str">
        <f>""</f>
        <v/>
      </c>
      <c r="CR80" t="str">
        <f>""</f>
        <v/>
      </c>
      <c r="CS80" t="str">
        <f>""</f>
        <v/>
      </c>
      <c r="CT80" t="str">
        <f>""</f>
        <v/>
      </c>
      <c r="CU80" t="str">
        <f>""</f>
        <v/>
      </c>
      <c r="CV80" t="str">
        <f>""</f>
        <v/>
      </c>
      <c r="CW80" t="str">
        <f>""</f>
        <v/>
      </c>
      <c r="CX80" t="str">
        <f>""</f>
        <v/>
      </c>
      <c r="CY80" t="str">
        <f>""</f>
        <v/>
      </c>
      <c r="CZ80" t="str">
        <f>""</f>
        <v/>
      </c>
      <c r="DA80" t="str">
        <f>""</f>
        <v/>
      </c>
      <c r="DB80" t="str">
        <f>""</f>
        <v/>
      </c>
      <c r="DC80" t="str">
        <f>""</f>
        <v/>
      </c>
      <c r="DD80" t="str">
        <f>""</f>
        <v/>
      </c>
      <c r="DE80" t="str">
        <f>""</f>
        <v/>
      </c>
      <c r="DF80" t="str">
        <f>""</f>
        <v/>
      </c>
      <c r="DG80" t="str">
        <f>""</f>
        <v/>
      </c>
      <c r="DH80" t="str">
        <f>""</f>
        <v/>
      </c>
      <c r="DI80" t="str">
        <f>""</f>
        <v/>
      </c>
      <c r="DJ80" t="str">
        <f>""</f>
        <v/>
      </c>
      <c r="DK80" t="str">
        <f>""</f>
        <v/>
      </c>
      <c r="DL80" t="str">
        <f>""</f>
        <v/>
      </c>
      <c r="DM80" t="str">
        <f>""</f>
        <v/>
      </c>
      <c r="DN80" t="str">
        <f>""</f>
        <v/>
      </c>
      <c r="DO80" t="str">
        <f>""</f>
        <v/>
      </c>
      <c r="DP80" t="str">
        <f>""</f>
        <v/>
      </c>
      <c r="DQ80" t="str">
        <f>""</f>
        <v/>
      </c>
      <c r="DR80" t="str">
        <f>""</f>
        <v/>
      </c>
      <c r="DS80" t="str">
        <f>""</f>
        <v/>
      </c>
      <c r="DT80" t="str">
        <f>""</f>
        <v/>
      </c>
      <c r="DU80" t="str">
        <f>""</f>
        <v/>
      </c>
      <c r="DV80" t="str">
        <f>""</f>
        <v/>
      </c>
      <c r="DW80" t="str">
        <f>""</f>
        <v/>
      </c>
      <c r="DX80" t="str">
        <f>""</f>
        <v/>
      </c>
      <c r="DY80" t="str">
        <f>""</f>
        <v/>
      </c>
      <c r="DZ80" t="str">
        <f>""</f>
        <v/>
      </c>
      <c r="EA80" t="str">
        <f>""</f>
        <v/>
      </c>
      <c r="EB80" t="str">
        <f>""</f>
        <v/>
      </c>
      <c r="EC80" t="str">
        <f>""</f>
        <v/>
      </c>
      <c r="ED80" t="str">
        <f>""</f>
        <v/>
      </c>
      <c r="EE80" t="str">
        <f>""</f>
        <v/>
      </c>
      <c r="EF80" t="str">
        <f>""</f>
        <v/>
      </c>
      <c r="EG80" t="str">
        <f>""</f>
        <v/>
      </c>
      <c r="EH80" t="str">
        <f>""</f>
        <v/>
      </c>
      <c r="EI80" t="str">
        <f>""</f>
        <v/>
      </c>
      <c r="EJ80" t="str">
        <f>""</f>
        <v/>
      </c>
      <c r="EK80" t="str">
        <f>""</f>
        <v/>
      </c>
      <c r="EL80" t="str">
        <f>""</f>
        <v/>
      </c>
      <c r="EM80" t="str">
        <f>""</f>
        <v/>
      </c>
      <c r="EN80" t="str">
        <f>""</f>
        <v/>
      </c>
      <c r="EO80" t="str">
        <f>""</f>
        <v/>
      </c>
      <c r="EP80" t="str">
        <f>""</f>
        <v/>
      </c>
      <c r="EQ80" t="str">
        <f>""</f>
        <v/>
      </c>
      <c r="ER80" t="str">
        <f>""</f>
        <v/>
      </c>
      <c r="ES80" t="str">
        <f>""</f>
        <v/>
      </c>
      <c r="ET80" t="str">
        <f>""</f>
        <v/>
      </c>
      <c r="EU80" t="str">
        <f>""</f>
        <v/>
      </c>
      <c r="EV80" t="str">
        <f>""</f>
        <v/>
      </c>
      <c r="EW80" t="str">
        <f>""</f>
        <v/>
      </c>
      <c r="EX80" t="str">
        <f>""</f>
        <v/>
      </c>
      <c r="EY80" t="str">
        <f>""</f>
        <v/>
      </c>
      <c r="EZ80" t="str">
        <f>""</f>
        <v/>
      </c>
      <c r="FA80" t="str">
        <f>""</f>
        <v/>
      </c>
      <c r="FB80" t="str">
        <f>""</f>
        <v/>
      </c>
      <c r="FC80" t="str">
        <f>""</f>
        <v/>
      </c>
      <c r="FD80" t="str">
        <f>""</f>
        <v/>
      </c>
      <c r="FE80" t="str">
        <f>""</f>
        <v/>
      </c>
      <c r="FF80" t="str">
        <f>""</f>
        <v/>
      </c>
      <c r="FG80" t="str">
        <f>""</f>
        <v/>
      </c>
      <c r="FH80" t="str">
        <f>""</f>
        <v/>
      </c>
      <c r="FI80" t="str">
        <f>""</f>
        <v/>
      </c>
      <c r="FJ80" t="str">
        <f>""</f>
        <v/>
      </c>
      <c r="FK80" t="str">
        <f>""</f>
        <v/>
      </c>
      <c r="FL80" t="str">
        <f>""</f>
        <v/>
      </c>
      <c r="FM80" t="str">
        <f>""</f>
        <v/>
      </c>
      <c r="FN80" t="str">
        <f>""</f>
        <v/>
      </c>
      <c r="FO80" t="str">
        <f>""</f>
        <v/>
      </c>
      <c r="FP80" t="str">
        <f>""</f>
        <v/>
      </c>
      <c r="FQ80" t="str">
        <f>""</f>
        <v/>
      </c>
    </row>
    <row r="81" spans="1:173" x14ac:dyDescent="0.25">
      <c r="A81" t="str">
        <f>$A$10</f>
        <v xml:space="preserve">            Oil (000 tonnes)</v>
      </c>
      <c r="B81" t="str">
        <f>$B$10</f>
        <v>SIVSOIL Index</v>
      </c>
      <c r="C81" t="str">
        <f>$C$10</f>
        <v>PR005</v>
      </c>
      <c r="D81" t="str">
        <f>$D$10</f>
        <v>PX_LAST</v>
      </c>
      <c r="E81" t="str">
        <f>$E$10</f>
        <v>Dynamic</v>
      </c>
      <c r="F81" t="str">
        <f ca="1">_xll.BDH($B$10,$C$10,$B$67,$B$68,CONCATENATE("Per=",$B$65),"Dts=H","Dir=H",CONCATENATE("Points=",$B$66),"Sort=R","Days=A","Fill=B",CONCATENATE("FX=", $B$64),"cols=84;rows=1")</f>
        <v/>
      </c>
      <c r="H81">
        <v>14688.28</v>
      </c>
      <c r="I81">
        <v>16366.02</v>
      </c>
      <c r="J81">
        <v>16861.7</v>
      </c>
      <c r="K81">
        <v>16406.599999999999</v>
      </c>
      <c r="L81">
        <v>14205.23</v>
      </c>
      <c r="M81">
        <v>15821.44</v>
      </c>
      <c r="N81">
        <v>15358.679</v>
      </c>
      <c r="O81">
        <v>17008.419999999998</v>
      </c>
      <c r="P81">
        <v>16384.55</v>
      </c>
      <c r="Q81">
        <v>16244.2</v>
      </c>
      <c r="R81">
        <v>16122.94</v>
      </c>
      <c r="S81">
        <v>15917.49</v>
      </c>
      <c r="T81">
        <v>15915.8</v>
      </c>
      <c r="U81">
        <v>16550.61</v>
      </c>
      <c r="V81">
        <v>16522.52</v>
      </c>
      <c r="W81">
        <v>15933.28</v>
      </c>
      <c r="X81">
        <v>14760.1</v>
      </c>
      <c r="Y81">
        <v>14994.1</v>
      </c>
      <c r="Z81">
        <v>15133.1</v>
      </c>
      <c r="AA81">
        <v>14215.03</v>
      </c>
      <c r="AB81">
        <v>18046.82</v>
      </c>
      <c r="AC81">
        <v>13684.437</v>
      </c>
      <c r="AD81">
        <v>17777.097000000002</v>
      </c>
      <c r="AE81">
        <v>16409.505000000001</v>
      </c>
      <c r="AF81">
        <v>15619.388000000001</v>
      </c>
      <c r="AG81">
        <v>15965.427</v>
      </c>
      <c r="AH81">
        <v>16091.297</v>
      </c>
      <c r="AI81">
        <v>15284.91</v>
      </c>
      <c r="AJ81">
        <v>15937.161</v>
      </c>
      <c r="AK81">
        <v>16361.102999999999</v>
      </c>
      <c r="AL81">
        <v>17101.742999999999</v>
      </c>
      <c r="AM81">
        <v>14980.808000000001</v>
      </c>
      <c r="AN81">
        <v>16391.848999999998</v>
      </c>
      <c r="AO81">
        <v>14684.215</v>
      </c>
      <c r="AP81">
        <v>16039.441999999999</v>
      </c>
      <c r="AQ81">
        <v>15303.764999999999</v>
      </c>
      <c r="AR81">
        <v>15845.503000000001</v>
      </c>
      <c r="AS81">
        <v>16410.314999999999</v>
      </c>
      <c r="AT81">
        <v>16994.061000000002</v>
      </c>
      <c r="AU81">
        <v>17321.462</v>
      </c>
      <c r="AV81">
        <v>15504.239</v>
      </c>
      <c r="AW81">
        <v>15589.296</v>
      </c>
      <c r="AX81">
        <v>17106.952000000001</v>
      </c>
      <c r="AY81">
        <v>16285.841</v>
      </c>
      <c r="AZ81">
        <v>17243.555</v>
      </c>
      <c r="BA81">
        <v>18106.026000000002</v>
      </c>
      <c r="BB81">
        <v>17012.256000000001</v>
      </c>
      <c r="BC81">
        <v>18094.833999999999</v>
      </c>
      <c r="BD81">
        <v>16538.512999999999</v>
      </c>
      <c r="BE81">
        <v>16506.652999999998</v>
      </c>
      <c r="BF81">
        <v>16825.09</v>
      </c>
      <c r="BG81">
        <v>20479.974999999999</v>
      </c>
      <c r="BH81">
        <v>21614.192999999999</v>
      </c>
      <c r="BI81">
        <v>20831.094000000001</v>
      </c>
      <c r="BJ81">
        <v>16108.416999999999</v>
      </c>
      <c r="BK81">
        <v>18280.132000000001</v>
      </c>
      <c r="BL81">
        <v>19047.532999999999</v>
      </c>
      <c r="BM81">
        <v>19508.078000000001</v>
      </c>
      <c r="BN81">
        <v>18719.798999999999</v>
      </c>
      <c r="BO81">
        <v>19777.396000000001</v>
      </c>
      <c r="BP81">
        <v>17270.541000000001</v>
      </c>
      <c r="BQ81">
        <v>20093.675999999999</v>
      </c>
      <c r="BR81">
        <v>16746.535</v>
      </c>
      <c r="BS81">
        <v>17565.493999999999</v>
      </c>
      <c r="BT81">
        <v>17643.295999999998</v>
      </c>
      <c r="BU81">
        <v>18366.060000000001</v>
      </c>
      <c r="BV81">
        <v>18204.091</v>
      </c>
      <c r="BW81">
        <v>17962.267</v>
      </c>
      <c r="BX81">
        <v>19668.190999999999</v>
      </c>
      <c r="BY81">
        <v>20208.155999999999</v>
      </c>
      <c r="BZ81">
        <v>19673.517</v>
      </c>
      <c r="CA81">
        <v>21178.799999999999</v>
      </c>
      <c r="CB81">
        <v>20589.838</v>
      </c>
      <c r="CC81">
        <v>18932.904999999999</v>
      </c>
      <c r="CD81">
        <v>16874.008999999998</v>
      </c>
      <c r="CE81">
        <v>17891.928</v>
      </c>
      <c r="CF81">
        <v>18882.13</v>
      </c>
      <c r="CG81">
        <v>18617.633999999998</v>
      </c>
      <c r="CH81">
        <v>19702.922999999999</v>
      </c>
      <c r="CI81">
        <v>19853.763999999999</v>
      </c>
      <c r="CJ81">
        <v>20633.152999999998</v>
      </c>
      <c r="CK81">
        <v>20081.096000000001</v>
      </c>
      <c r="CL81" t="str">
        <f>""</f>
        <v/>
      </c>
      <c r="CM81" t="str">
        <f>""</f>
        <v/>
      </c>
      <c r="CN81" t="str">
        <f>""</f>
        <v/>
      </c>
      <c r="CO81" t="str">
        <f>""</f>
        <v/>
      </c>
      <c r="CP81" t="str">
        <f>""</f>
        <v/>
      </c>
      <c r="CQ81" t="str">
        <f>""</f>
        <v/>
      </c>
      <c r="CR81" t="str">
        <f>""</f>
        <v/>
      </c>
      <c r="CS81" t="str">
        <f>""</f>
        <v/>
      </c>
      <c r="CT81" t="str">
        <f>""</f>
        <v/>
      </c>
      <c r="CU81" t="str">
        <f>""</f>
        <v/>
      </c>
      <c r="CV81" t="str">
        <f>""</f>
        <v/>
      </c>
      <c r="CW81" t="str">
        <f>""</f>
        <v/>
      </c>
      <c r="CX81" t="str">
        <f>""</f>
        <v/>
      </c>
      <c r="CY81" t="str">
        <f>""</f>
        <v/>
      </c>
      <c r="CZ81" t="str">
        <f>""</f>
        <v/>
      </c>
      <c r="DA81" t="str">
        <f>""</f>
        <v/>
      </c>
      <c r="DB81" t="str">
        <f>""</f>
        <v/>
      </c>
      <c r="DC81" t="str">
        <f>""</f>
        <v/>
      </c>
      <c r="DD81" t="str">
        <f>""</f>
        <v/>
      </c>
      <c r="DE81" t="str">
        <f>""</f>
        <v/>
      </c>
      <c r="DF81" t="str">
        <f>""</f>
        <v/>
      </c>
      <c r="DG81" t="str">
        <f>""</f>
        <v/>
      </c>
      <c r="DH81" t="str">
        <f>""</f>
        <v/>
      </c>
      <c r="DI81" t="str">
        <f>""</f>
        <v/>
      </c>
      <c r="DJ81" t="str">
        <f>""</f>
        <v/>
      </c>
      <c r="DK81" t="str">
        <f>""</f>
        <v/>
      </c>
      <c r="DL81" t="str">
        <f>""</f>
        <v/>
      </c>
      <c r="DM81" t="str">
        <f>""</f>
        <v/>
      </c>
      <c r="DN81" t="str">
        <f>""</f>
        <v/>
      </c>
      <c r="DO81" t="str">
        <f>""</f>
        <v/>
      </c>
      <c r="DP81" t="str">
        <f>""</f>
        <v/>
      </c>
      <c r="DQ81" t="str">
        <f>""</f>
        <v/>
      </c>
      <c r="DR81" t="str">
        <f>""</f>
        <v/>
      </c>
      <c r="DS81" t="str">
        <f>""</f>
        <v/>
      </c>
      <c r="DT81" t="str">
        <f>""</f>
        <v/>
      </c>
      <c r="DU81" t="str">
        <f>""</f>
        <v/>
      </c>
      <c r="DV81" t="str">
        <f>""</f>
        <v/>
      </c>
      <c r="DW81" t="str">
        <f>""</f>
        <v/>
      </c>
      <c r="DX81" t="str">
        <f>""</f>
        <v/>
      </c>
      <c r="DY81" t="str">
        <f>""</f>
        <v/>
      </c>
      <c r="DZ81" t="str">
        <f>""</f>
        <v/>
      </c>
      <c r="EA81" t="str">
        <f>""</f>
        <v/>
      </c>
      <c r="EB81" t="str">
        <f>""</f>
        <v/>
      </c>
      <c r="EC81" t="str">
        <f>""</f>
        <v/>
      </c>
      <c r="ED81" t="str">
        <f>""</f>
        <v/>
      </c>
      <c r="EE81" t="str">
        <f>""</f>
        <v/>
      </c>
      <c r="EF81" t="str">
        <f>""</f>
        <v/>
      </c>
      <c r="EG81" t="str">
        <f>""</f>
        <v/>
      </c>
      <c r="EH81" t="str">
        <f>""</f>
        <v/>
      </c>
      <c r="EI81" t="str">
        <f>""</f>
        <v/>
      </c>
      <c r="EJ81" t="str">
        <f>""</f>
        <v/>
      </c>
      <c r="EK81" t="str">
        <f>""</f>
        <v/>
      </c>
      <c r="EL81" t="str">
        <f>""</f>
        <v/>
      </c>
      <c r="EM81" t="str">
        <f>""</f>
        <v/>
      </c>
      <c r="EN81" t="str">
        <f>""</f>
        <v/>
      </c>
      <c r="EO81" t="str">
        <f>""</f>
        <v/>
      </c>
      <c r="EP81" t="str">
        <f>""</f>
        <v/>
      </c>
      <c r="EQ81" t="str">
        <f>""</f>
        <v/>
      </c>
      <c r="ER81" t="str">
        <f>""</f>
        <v/>
      </c>
      <c r="ES81" t="str">
        <f>""</f>
        <v/>
      </c>
      <c r="ET81" t="str">
        <f>""</f>
        <v/>
      </c>
      <c r="EU81" t="str">
        <f>""</f>
        <v/>
      </c>
      <c r="EV81" t="str">
        <f>""</f>
        <v/>
      </c>
      <c r="EW81" t="str">
        <f>""</f>
        <v/>
      </c>
      <c r="EX81" t="str">
        <f>""</f>
        <v/>
      </c>
      <c r="EY81" t="str">
        <f>""</f>
        <v/>
      </c>
      <c r="EZ81" t="str">
        <f>""</f>
        <v/>
      </c>
      <c r="FA81" t="str">
        <f>""</f>
        <v/>
      </c>
      <c r="FB81" t="str">
        <f>""</f>
        <v/>
      </c>
      <c r="FC81" t="str">
        <f>""</f>
        <v/>
      </c>
      <c r="FD81" t="str">
        <f>""</f>
        <v/>
      </c>
      <c r="FE81" t="str">
        <f>""</f>
        <v/>
      </c>
      <c r="FF81" t="str">
        <f>""</f>
        <v/>
      </c>
      <c r="FG81" t="str">
        <f>""</f>
        <v/>
      </c>
      <c r="FH81" t="str">
        <f>""</f>
        <v/>
      </c>
      <c r="FI81" t="str">
        <f>""</f>
        <v/>
      </c>
      <c r="FJ81" t="str">
        <f>""</f>
        <v/>
      </c>
      <c r="FK81" t="str">
        <f>""</f>
        <v/>
      </c>
      <c r="FL81" t="str">
        <f>""</f>
        <v/>
      </c>
      <c r="FM81" t="str">
        <f>""</f>
        <v/>
      </c>
      <c r="FN81" t="str">
        <f>""</f>
        <v/>
      </c>
      <c r="FO81" t="str">
        <f>""</f>
        <v/>
      </c>
      <c r="FP81" t="str">
        <f>""</f>
        <v/>
      </c>
      <c r="FQ81" t="str">
        <f>""</f>
        <v/>
      </c>
    </row>
    <row r="82" spans="1:173" x14ac:dyDescent="0.25">
      <c r="A82" t="str">
        <f>$A$11</f>
        <v xml:space="preserve">            Non-Oil Bulk (000 tonnes)</v>
      </c>
      <c r="B82" t="str">
        <f>$B$11</f>
        <v>SIVSNOIL Index</v>
      </c>
      <c r="C82" t="str">
        <f>$C$11</f>
        <v>PR005</v>
      </c>
      <c r="D82" t="str">
        <f>$D$11</f>
        <v>PX_LAST</v>
      </c>
      <c r="E82" t="str">
        <f>$E$11</f>
        <v>Dynamic</v>
      </c>
      <c r="F82" t="str">
        <f ca="1">_xll.BDH($B$11,$C$11,$B$67,$B$68,CONCATENATE("Per=",$B$65),"Dts=H","Dir=H",CONCATENATE("Points=",$B$66),"Sort=R","Days=A","Fill=B",CONCATENATE("FX=", $B$64),"cols=84;rows=1")</f>
        <v/>
      </c>
      <c r="H82">
        <v>1773.94</v>
      </c>
      <c r="I82">
        <v>1543.64</v>
      </c>
      <c r="J82">
        <v>1703.01</v>
      </c>
      <c r="K82">
        <v>1893.22</v>
      </c>
      <c r="L82">
        <v>1932.09</v>
      </c>
      <c r="M82">
        <v>1581.31</v>
      </c>
      <c r="N82">
        <v>2032.28</v>
      </c>
      <c r="O82">
        <v>1465.36</v>
      </c>
      <c r="P82">
        <v>2235.4899999999998</v>
      </c>
      <c r="Q82">
        <v>2597.69</v>
      </c>
      <c r="R82">
        <v>1532.01</v>
      </c>
      <c r="S82">
        <v>1799.07</v>
      </c>
      <c r="T82">
        <v>1807.57</v>
      </c>
      <c r="U82">
        <v>1524.32</v>
      </c>
      <c r="V82">
        <v>1899.96</v>
      </c>
      <c r="W82">
        <v>1426.06</v>
      </c>
      <c r="X82">
        <v>1741.23</v>
      </c>
      <c r="Y82">
        <v>1417.84</v>
      </c>
      <c r="Z82">
        <v>1788.61</v>
      </c>
      <c r="AA82">
        <v>1478.34</v>
      </c>
      <c r="AB82">
        <v>1747.2</v>
      </c>
      <c r="AC82">
        <v>1677.404</v>
      </c>
      <c r="AD82">
        <v>2012.98</v>
      </c>
      <c r="AE82">
        <v>1383.0719999999999</v>
      </c>
      <c r="AF82">
        <v>1747.8320000000001</v>
      </c>
      <c r="AG82">
        <v>1738.623</v>
      </c>
      <c r="AH82">
        <v>1998.5039999999999</v>
      </c>
      <c r="AI82">
        <v>1685.3879999999999</v>
      </c>
      <c r="AJ82">
        <v>2172.9749999999999</v>
      </c>
      <c r="AK82">
        <v>1963.7660000000001</v>
      </c>
      <c r="AL82">
        <v>1856.3030000000001</v>
      </c>
      <c r="AM82">
        <v>2247.1370000000002</v>
      </c>
      <c r="AN82">
        <v>2236.8510000000001</v>
      </c>
      <c r="AO82">
        <v>1995.982</v>
      </c>
      <c r="AP82">
        <v>1524.8679999999999</v>
      </c>
      <c r="AQ82">
        <v>2084.0059999999999</v>
      </c>
      <c r="AR82">
        <v>1620.423</v>
      </c>
      <c r="AS82">
        <v>1872.2670000000001</v>
      </c>
      <c r="AT82">
        <v>1364.84</v>
      </c>
      <c r="AU82">
        <v>1580.9749999999999</v>
      </c>
      <c r="AV82">
        <v>1378.375</v>
      </c>
      <c r="AW82">
        <v>1681.4469999999999</v>
      </c>
      <c r="AX82">
        <v>1660.8219999999999</v>
      </c>
      <c r="AY82">
        <v>1627.046</v>
      </c>
      <c r="AZ82">
        <v>1648.2529999999999</v>
      </c>
      <c r="BA82">
        <v>1545.655</v>
      </c>
      <c r="BB82">
        <v>1538.3420000000001</v>
      </c>
      <c r="BC82">
        <v>1490.559</v>
      </c>
      <c r="BD82">
        <v>1498.404</v>
      </c>
      <c r="BE82">
        <v>1615.2429999999999</v>
      </c>
      <c r="BF82">
        <v>1410.0920000000001</v>
      </c>
      <c r="BG82">
        <v>1582.595</v>
      </c>
      <c r="BH82">
        <v>1354.1869999999999</v>
      </c>
      <c r="BI82">
        <v>1268.367</v>
      </c>
      <c r="BJ82">
        <v>1604.52</v>
      </c>
      <c r="BK82">
        <v>1181.771</v>
      </c>
      <c r="BL82">
        <v>1551.079</v>
      </c>
      <c r="BM82">
        <v>1466.7239999999999</v>
      </c>
      <c r="BN82">
        <v>1180.816</v>
      </c>
      <c r="BO82">
        <v>1276.1110000000001</v>
      </c>
      <c r="BP82">
        <v>1399.402</v>
      </c>
      <c r="BQ82">
        <v>1471.08</v>
      </c>
      <c r="BR82">
        <v>1676.1869999999999</v>
      </c>
      <c r="BS82">
        <v>1310.854</v>
      </c>
      <c r="BT82">
        <v>1383.479</v>
      </c>
      <c r="BU82">
        <v>1469.4059999999999</v>
      </c>
      <c r="BV82">
        <v>1400.152</v>
      </c>
      <c r="BW82">
        <v>1386.508</v>
      </c>
      <c r="BX82">
        <v>1433.896</v>
      </c>
      <c r="BY82">
        <v>1922.058</v>
      </c>
      <c r="BZ82">
        <v>1527.25</v>
      </c>
      <c r="CA82">
        <v>1428.0889999999999</v>
      </c>
      <c r="CB82">
        <v>1240.3620000000001</v>
      </c>
      <c r="CC82">
        <v>1597.0170000000001</v>
      </c>
      <c r="CD82">
        <v>1541.0229999999999</v>
      </c>
      <c r="CE82">
        <v>1661.6179999999999</v>
      </c>
      <c r="CF82">
        <v>1583.049</v>
      </c>
      <c r="CG82">
        <v>1705.1369999999999</v>
      </c>
      <c r="CH82">
        <v>1488.5450000000001</v>
      </c>
      <c r="CI82">
        <v>1330.0070000000001</v>
      </c>
      <c r="CJ82">
        <v>1579.4259999999999</v>
      </c>
      <c r="CK82">
        <v>2057.2190000000001</v>
      </c>
      <c r="CL82" t="str">
        <f>""</f>
        <v/>
      </c>
      <c r="CM82" t="str">
        <f>""</f>
        <v/>
      </c>
      <c r="CN82" t="str">
        <f>""</f>
        <v/>
      </c>
      <c r="CO82" t="str">
        <f>""</f>
        <v/>
      </c>
      <c r="CP82" t="str">
        <f>""</f>
        <v/>
      </c>
      <c r="CQ82" t="str">
        <f>""</f>
        <v/>
      </c>
      <c r="CR82" t="str">
        <f>""</f>
        <v/>
      </c>
      <c r="CS82" t="str">
        <f>""</f>
        <v/>
      </c>
      <c r="CT82" t="str">
        <f>""</f>
        <v/>
      </c>
      <c r="CU82" t="str">
        <f>""</f>
        <v/>
      </c>
      <c r="CV82" t="str">
        <f>""</f>
        <v/>
      </c>
      <c r="CW82" t="str">
        <f>""</f>
        <v/>
      </c>
      <c r="CX82" t="str">
        <f>""</f>
        <v/>
      </c>
      <c r="CY82" t="str">
        <f>""</f>
        <v/>
      </c>
      <c r="CZ82" t="str">
        <f>""</f>
        <v/>
      </c>
      <c r="DA82" t="str">
        <f>""</f>
        <v/>
      </c>
      <c r="DB82" t="str">
        <f>""</f>
        <v/>
      </c>
      <c r="DC82" t="str">
        <f>""</f>
        <v/>
      </c>
      <c r="DD82" t="str">
        <f>""</f>
        <v/>
      </c>
      <c r="DE82" t="str">
        <f>""</f>
        <v/>
      </c>
      <c r="DF82" t="str">
        <f>""</f>
        <v/>
      </c>
      <c r="DG82" t="str">
        <f>""</f>
        <v/>
      </c>
      <c r="DH82" t="str">
        <f>""</f>
        <v/>
      </c>
      <c r="DI82" t="str">
        <f>""</f>
        <v/>
      </c>
      <c r="DJ82" t="str">
        <f>""</f>
        <v/>
      </c>
      <c r="DK82" t="str">
        <f>""</f>
        <v/>
      </c>
      <c r="DL82" t="str">
        <f>""</f>
        <v/>
      </c>
      <c r="DM82" t="str">
        <f>""</f>
        <v/>
      </c>
      <c r="DN82" t="str">
        <f>""</f>
        <v/>
      </c>
      <c r="DO82" t="str">
        <f>""</f>
        <v/>
      </c>
      <c r="DP82" t="str">
        <f>""</f>
        <v/>
      </c>
      <c r="DQ82" t="str">
        <f>""</f>
        <v/>
      </c>
      <c r="DR82" t="str">
        <f>""</f>
        <v/>
      </c>
      <c r="DS82" t="str">
        <f>""</f>
        <v/>
      </c>
      <c r="DT82" t="str">
        <f>""</f>
        <v/>
      </c>
      <c r="DU82" t="str">
        <f>""</f>
        <v/>
      </c>
      <c r="DV82" t="str">
        <f>""</f>
        <v/>
      </c>
      <c r="DW82" t="str">
        <f>""</f>
        <v/>
      </c>
      <c r="DX82" t="str">
        <f>""</f>
        <v/>
      </c>
      <c r="DY82" t="str">
        <f>""</f>
        <v/>
      </c>
      <c r="DZ82" t="str">
        <f>""</f>
        <v/>
      </c>
      <c r="EA82" t="str">
        <f>""</f>
        <v/>
      </c>
      <c r="EB82" t="str">
        <f>""</f>
        <v/>
      </c>
      <c r="EC82" t="str">
        <f>""</f>
        <v/>
      </c>
      <c r="ED82" t="str">
        <f>""</f>
        <v/>
      </c>
      <c r="EE82" t="str">
        <f>""</f>
        <v/>
      </c>
      <c r="EF82" t="str">
        <f>""</f>
        <v/>
      </c>
      <c r="EG82" t="str">
        <f>""</f>
        <v/>
      </c>
      <c r="EH82" t="str">
        <f>""</f>
        <v/>
      </c>
      <c r="EI82" t="str">
        <f>""</f>
        <v/>
      </c>
      <c r="EJ82" t="str">
        <f>""</f>
        <v/>
      </c>
      <c r="EK82" t="str">
        <f>""</f>
        <v/>
      </c>
      <c r="EL82" t="str">
        <f>""</f>
        <v/>
      </c>
      <c r="EM82" t="str">
        <f>""</f>
        <v/>
      </c>
      <c r="EN82" t="str">
        <f>""</f>
        <v/>
      </c>
      <c r="EO82" t="str">
        <f>""</f>
        <v/>
      </c>
      <c r="EP82" t="str">
        <f>""</f>
        <v/>
      </c>
      <c r="EQ82" t="str">
        <f>""</f>
        <v/>
      </c>
      <c r="ER82" t="str">
        <f>""</f>
        <v/>
      </c>
      <c r="ES82" t="str">
        <f>""</f>
        <v/>
      </c>
      <c r="ET82" t="str">
        <f>""</f>
        <v/>
      </c>
      <c r="EU82" t="str">
        <f>""</f>
        <v/>
      </c>
      <c r="EV82" t="str">
        <f>""</f>
        <v/>
      </c>
      <c r="EW82" t="str">
        <f>""</f>
        <v/>
      </c>
      <c r="EX82" t="str">
        <f>""</f>
        <v/>
      </c>
      <c r="EY82" t="str">
        <f>""</f>
        <v/>
      </c>
      <c r="EZ82" t="str">
        <f>""</f>
        <v/>
      </c>
      <c r="FA82" t="str">
        <f>""</f>
        <v/>
      </c>
      <c r="FB82" t="str">
        <f>""</f>
        <v/>
      </c>
      <c r="FC82" t="str">
        <f>""</f>
        <v/>
      </c>
      <c r="FD82" t="str">
        <f>""</f>
        <v/>
      </c>
      <c r="FE82" t="str">
        <f>""</f>
        <v/>
      </c>
      <c r="FF82" t="str">
        <f>""</f>
        <v/>
      </c>
      <c r="FG82" t="str">
        <f>""</f>
        <v/>
      </c>
      <c r="FH82" t="str">
        <f>""</f>
        <v/>
      </c>
      <c r="FI82" t="str">
        <f>""</f>
        <v/>
      </c>
      <c r="FJ82" t="str">
        <f>""</f>
        <v/>
      </c>
      <c r="FK82" t="str">
        <f>""</f>
        <v/>
      </c>
      <c r="FL82" t="str">
        <f>""</f>
        <v/>
      </c>
      <c r="FM82" t="str">
        <f>""</f>
        <v/>
      </c>
      <c r="FN82" t="str">
        <f>""</f>
        <v/>
      </c>
      <c r="FO82" t="str">
        <f>""</f>
        <v/>
      </c>
      <c r="FP82" t="str">
        <f>""</f>
        <v/>
      </c>
      <c r="FQ82" t="str">
        <f>""</f>
        <v/>
      </c>
    </row>
    <row r="83" spans="1:173" x14ac:dyDescent="0.25">
      <c r="A83" t="str">
        <f>$A$12</f>
        <v xml:space="preserve">    Vessel Arrival Gross Tonnage (000s)</v>
      </c>
      <c r="B83" t="str">
        <f>$B$12</f>
        <v>SIVSA Index</v>
      </c>
      <c r="C83" t="str">
        <f>$C$12</f>
        <v>PR005</v>
      </c>
      <c r="D83" t="str">
        <f>$D$12</f>
        <v>PX_LAST</v>
      </c>
      <c r="E83" t="str">
        <f>$E$12</f>
        <v>Dynamic</v>
      </c>
      <c r="F83" t="str">
        <f ca="1">_xll.BDH($B$12,$C$12,$B$67,$B$68,CONCATENATE("Per=",$B$65),"Dts=H","Dir=H",CONCATENATE("Points=",$B$66),"Sort=R","Days=A","Fill=B",CONCATENATE("FX=", $B$64),"cols=84;rows=1")</f>
        <v/>
      </c>
      <c r="H83">
        <v>260668.79</v>
      </c>
      <c r="I83">
        <v>263675.55</v>
      </c>
      <c r="J83">
        <v>260278.92</v>
      </c>
      <c r="K83">
        <v>250042.75</v>
      </c>
      <c r="L83">
        <v>266695.473</v>
      </c>
      <c r="M83">
        <v>259312.17800000001</v>
      </c>
      <c r="N83">
        <v>254529.62700000001</v>
      </c>
      <c r="O83">
        <v>226665.742</v>
      </c>
      <c r="P83">
        <v>257447.53</v>
      </c>
      <c r="Q83">
        <v>245198.258</v>
      </c>
      <c r="R83">
        <v>248477.97500000001</v>
      </c>
      <c r="S83">
        <v>251201.12400000001</v>
      </c>
      <c r="T83">
        <v>231414.26800000001</v>
      </c>
      <c r="U83">
        <v>244949.856</v>
      </c>
      <c r="V83">
        <v>246795.372</v>
      </c>
      <c r="W83">
        <v>230600.13699999999</v>
      </c>
      <c r="X83">
        <v>239397.63</v>
      </c>
      <c r="Y83">
        <v>225608.61199999999</v>
      </c>
      <c r="Z83">
        <v>223085.29399999999</v>
      </c>
      <c r="AA83">
        <v>207371.796</v>
      </c>
      <c r="AB83">
        <v>234263.478</v>
      </c>
      <c r="AC83">
        <v>229814.75099999999</v>
      </c>
      <c r="AD83">
        <v>230994.76</v>
      </c>
      <c r="AE83">
        <v>230041.87599999999</v>
      </c>
      <c r="AF83">
        <v>221138.038</v>
      </c>
      <c r="AG83">
        <v>226134.52</v>
      </c>
      <c r="AH83">
        <v>229192.217</v>
      </c>
      <c r="AI83">
        <v>231443.51500000001</v>
      </c>
      <c r="AJ83">
        <v>238117.00200000001</v>
      </c>
      <c r="AK83">
        <v>239954.80300000001</v>
      </c>
      <c r="AL83">
        <v>245081.70499999999</v>
      </c>
      <c r="AM83">
        <v>236520.86600000001</v>
      </c>
      <c r="AN83">
        <v>255333.359</v>
      </c>
      <c r="AO83">
        <v>245140.174</v>
      </c>
      <c r="AP83">
        <v>246267.647</v>
      </c>
      <c r="AQ83">
        <v>243803.20499999999</v>
      </c>
      <c r="AR83">
        <v>240460.26</v>
      </c>
      <c r="AS83">
        <v>244006.65100000001</v>
      </c>
      <c r="AT83">
        <v>252004.76800000001</v>
      </c>
      <c r="AU83">
        <v>227328.174</v>
      </c>
      <c r="AV83">
        <v>223323.10200000001</v>
      </c>
      <c r="AW83">
        <v>230354.32500000001</v>
      </c>
      <c r="AX83">
        <v>251387.54300000001</v>
      </c>
      <c r="AY83">
        <v>234656.389</v>
      </c>
      <c r="AZ83">
        <v>263882.76199999999</v>
      </c>
      <c r="BA83">
        <v>258663.57399999999</v>
      </c>
      <c r="BB83">
        <v>244544.15900000001</v>
      </c>
      <c r="BC83">
        <v>250282.19899999999</v>
      </c>
      <c r="BD83">
        <v>244461.997</v>
      </c>
      <c r="BE83">
        <v>236773.68799999999</v>
      </c>
      <c r="BF83">
        <v>238850.886</v>
      </c>
      <c r="BG83">
        <v>227456.84099999999</v>
      </c>
      <c r="BH83">
        <v>235453.73300000001</v>
      </c>
      <c r="BI83">
        <v>226031.66200000001</v>
      </c>
      <c r="BJ83">
        <v>229405.24799999999</v>
      </c>
      <c r="BK83">
        <v>214560.33199999999</v>
      </c>
      <c r="BL83">
        <v>248250.095</v>
      </c>
      <c r="BM83">
        <v>235007.18</v>
      </c>
      <c r="BN83">
        <v>228495.253</v>
      </c>
      <c r="BO83">
        <v>233085.14499999999</v>
      </c>
      <c r="BP83">
        <v>230532.87599999999</v>
      </c>
      <c r="BQ83">
        <v>222035.003</v>
      </c>
      <c r="BR83">
        <v>226025.236</v>
      </c>
      <c r="BS83">
        <v>226588.068</v>
      </c>
      <c r="BT83">
        <v>236607.11600000001</v>
      </c>
      <c r="BU83">
        <v>241008.67600000001</v>
      </c>
      <c r="BV83">
        <v>238689.486</v>
      </c>
      <c r="BW83">
        <v>224247.60399999999</v>
      </c>
      <c r="BX83">
        <v>249644.255</v>
      </c>
      <c r="BY83">
        <v>244686.18299999999</v>
      </c>
      <c r="BZ83">
        <v>236194.057</v>
      </c>
      <c r="CA83">
        <v>234494.21799999999</v>
      </c>
      <c r="CB83">
        <v>231419.21100000001</v>
      </c>
      <c r="CC83">
        <v>234389.535</v>
      </c>
      <c r="CD83">
        <v>232044.64799999999</v>
      </c>
      <c r="CE83">
        <v>235488.302</v>
      </c>
      <c r="CF83">
        <v>243798.141</v>
      </c>
      <c r="CG83">
        <v>229464.856</v>
      </c>
      <c r="CH83">
        <v>234466.89300000001</v>
      </c>
      <c r="CI83">
        <v>207820.10699999999</v>
      </c>
      <c r="CJ83">
        <v>235318.823</v>
      </c>
      <c r="CK83">
        <v>219798.902</v>
      </c>
      <c r="CL83" t="str">
        <f>""</f>
        <v/>
      </c>
      <c r="CM83" t="str">
        <f>""</f>
        <v/>
      </c>
      <c r="CN83" t="str">
        <f>""</f>
        <v/>
      </c>
      <c r="CO83" t="str">
        <f>""</f>
        <v/>
      </c>
      <c r="CP83" t="str">
        <f>""</f>
        <v/>
      </c>
      <c r="CQ83" t="str">
        <f>""</f>
        <v/>
      </c>
      <c r="CR83" t="str">
        <f>""</f>
        <v/>
      </c>
      <c r="CS83" t="str">
        <f>""</f>
        <v/>
      </c>
      <c r="CT83" t="str">
        <f>""</f>
        <v/>
      </c>
      <c r="CU83" t="str">
        <f>""</f>
        <v/>
      </c>
      <c r="CV83" t="str">
        <f>""</f>
        <v/>
      </c>
      <c r="CW83" t="str">
        <f>""</f>
        <v/>
      </c>
      <c r="CX83" t="str">
        <f>""</f>
        <v/>
      </c>
      <c r="CY83" t="str">
        <f>""</f>
        <v/>
      </c>
      <c r="CZ83" t="str">
        <f>""</f>
        <v/>
      </c>
      <c r="DA83" t="str">
        <f>""</f>
        <v/>
      </c>
      <c r="DB83" t="str">
        <f>""</f>
        <v/>
      </c>
      <c r="DC83" t="str">
        <f>""</f>
        <v/>
      </c>
      <c r="DD83" t="str">
        <f>""</f>
        <v/>
      </c>
      <c r="DE83" t="str">
        <f>""</f>
        <v/>
      </c>
      <c r="DF83" t="str">
        <f>""</f>
        <v/>
      </c>
      <c r="DG83" t="str">
        <f>""</f>
        <v/>
      </c>
      <c r="DH83" t="str">
        <f>""</f>
        <v/>
      </c>
      <c r="DI83" t="str">
        <f>""</f>
        <v/>
      </c>
      <c r="DJ83" t="str">
        <f>""</f>
        <v/>
      </c>
      <c r="DK83" t="str">
        <f>""</f>
        <v/>
      </c>
      <c r="DL83" t="str">
        <f>""</f>
        <v/>
      </c>
      <c r="DM83" t="str">
        <f>""</f>
        <v/>
      </c>
      <c r="DN83" t="str">
        <f>""</f>
        <v/>
      </c>
      <c r="DO83" t="str">
        <f>""</f>
        <v/>
      </c>
      <c r="DP83" t="str">
        <f>""</f>
        <v/>
      </c>
      <c r="DQ83" t="str">
        <f>""</f>
        <v/>
      </c>
      <c r="DR83" t="str">
        <f>""</f>
        <v/>
      </c>
      <c r="DS83" t="str">
        <f>""</f>
        <v/>
      </c>
      <c r="DT83" t="str">
        <f>""</f>
        <v/>
      </c>
      <c r="DU83" t="str">
        <f>""</f>
        <v/>
      </c>
      <c r="DV83" t="str">
        <f>""</f>
        <v/>
      </c>
      <c r="DW83" t="str">
        <f>""</f>
        <v/>
      </c>
      <c r="DX83" t="str">
        <f>""</f>
        <v/>
      </c>
      <c r="DY83" t="str">
        <f>""</f>
        <v/>
      </c>
      <c r="DZ83" t="str">
        <f>""</f>
        <v/>
      </c>
      <c r="EA83" t="str">
        <f>""</f>
        <v/>
      </c>
      <c r="EB83" t="str">
        <f>""</f>
        <v/>
      </c>
      <c r="EC83" t="str">
        <f>""</f>
        <v/>
      </c>
      <c r="ED83" t="str">
        <f>""</f>
        <v/>
      </c>
      <c r="EE83" t="str">
        <f>""</f>
        <v/>
      </c>
      <c r="EF83" t="str">
        <f>""</f>
        <v/>
      </c>
      <c r="EG83" t="str">
        <f>""</f>
        <v/>
      </c>
      <c r="EH83" t="str">
        <f>""</f>
        <v/>
      </c>
      <c r="EI83" t="str">
        <f>""</f>
        <v/>
      </c>
      <c r="EJ83" t="str">
        <f>""</f>
        <v/>
      </c>
      <c r="EK83" t="str">
        <f>""</f>
        <v/>
      </c>
      <c r="EL83" t="str">
        <f>""</f>
        <v/>
      </c>
      <c r="EM83" t="str">
        <f>""</f>
        <v/>
      </c>
      <c r="EN83" t="str">
        <f>""</f>
        <v/>
      </c>
      <c r="EO83" t="str">
        <f>""</f>
        <v/>
      </c>
      <c r="EP83" t="str">
        <f>""</f>
        <v/>
      </c>
      <c r="EQ83" t="str">
        <f>""</f>
        <v/>
      </c>
      <c r="ER83" t="str">
        <f>""</f>
        <v/>
      </c>
      <c r="ES83" t="str">
        <f>""</f>
        <v/>
      </c>
      <c r="ET83" t="str">
        <f>""</f>
        <v/>
      </c>
      <c r="EU83" t="str">
        <f>""</f>
        <v/>
      </c>
      <c r="EV83" t="str">
        <f>""</f>
        <v/>
      </c>
      <c r="EW83" t="str">
        <f>""</f>
        <v/>
      </c>
      <c r="EX83" t="str">
        <f>""</f>
        <v/>
      </c>
      <c r="EY83" t="str">
        <f>""</f>
        <v/>
      </c>
      <c r="EZ83" t="str">
        <f>""</f>
        <v/>
      </c>
      <c r="FA83" t="str">
        <f>""</f>
        <v/>
      </c>
      <c r="FB83" t="str">
        <f>""</f>
        <v/>
      </c>
      <c r="FC83" t="str">
        <f>""</f>
        <v/>
      </c>
      <c r="FD83" t="str">
        <f>""</f>
        <v/>
      </c>
      <c r="FE83" t="str">
        <f>""</f>
        <v/>
      </c>
      <c r="FF83" t="str">
        <f>""</f>
        <v/>
      </c>
      <c r="FG83" t="str">
        <f>""</f>
        <v/>
      </c>
      <c r="FH83" t="str">
        <f>""</f>
        <v/>
      </c>
      <c r="FI83" t="str">
        <f>""</f>
        <v/>
      </c>
      <c r="FJ83" t="str">
        <f>""</f>
        <v/>
      </c>
      <c r="FK83" t="str">
        <f>""</f>
        <v/>
      </c>
      <c r="FL83" t="str">
        <f>""</f>
        <v/>
      </c>
      <c r="FM83" t="str">
        <f>""</f>
        <v/>
      </c>
      <c r="FN83" t="str">
        <f>""</f>
        <v/>
      </c>
      <c r="FO83" t="str">
        <f>""</f>
        <v/>
      </c>
      <c r="FP83" t="str">
        <f>""</f>
        <v/>
      </c>
      <c r="FQ83" t="str">
        <f>""</f>
        <v/>
      </c>
    </row>
    <row r="84" spans="1:173" x14ac:dyDescent="0.25">
      <c r="A84" t="str">
        <f>$A$13</f>
        <v xml:space="preserve">    Number of Vessel Arrivals</v>
      </c>
      <c r="B84" t="str">
        <f>$B$13</f>
        <v>SIVSTOT Index</v>
      </c>
      <c r="C84" t="str">
        <f>$C$13</f>
        <v>PR005</v>
      </c>
      <c r="D84" t="str">
        <f>$D$13</f>
        <v>PX_LAST</v>
      </c>
      <c r="E84" t="str">
        <f>$E$13</f>
        <v>Dynamic</v>
      </c>
      <c r="F84" t="str">
        <f ca="1">_xll.BDH($B$13,$C$13,$B$67,$B$68,CONCATENATE("Per=",$B$65),"Dts=H","Dir=H",CONCATENATE("Points=",$B$66),"Sort=R","Days=A","Fill=B",CONCATENATE("FX=", $B$64),"cols=84;rows=1")</f>
        <v/>
      </c>
      <c r="H84">
        <v>10044</v>
      </c>
      <c r="I84">
        <v>10070</v>
      </c>
      <c r="J84">
        <v>10196</v>
      </c>
      <c r="K84">
        <v>9845</v>
      </c>
      <c r="L84">
        <v>10324</v>
      </c>
      <c r="M84">
        <v>9987</v>
      </c>
      <c r="N84">
        <v>10270</v>
      </c>
      <c r="O84">
        <v>9202</v>
      </c>
      <c r="P84">
        <v>10035</v>
      </c>
      <c r="Q84">
        <v>10081</v>
      </c>
      <c r="R84">
        <v>9442</v>
      </c>
      <c r="S84">
        <v>9451</v>
      </c>
      <c r="T84">
        <v>8976</v>
      </c>
      <c r="U84">
        <v>9129</v>
      </c>
      <c r="V84">
        <v>9044</v>
      </c>
      <c r="W84">
        <v>8301</v>
      </c>
      <c r="X84">
        <v>7815</v>
      </c>
      <c r="Y84">
        <v>7608</v>
      </c>
      <c r="Z84">
        <v>7307</v>
      </c>
      <c r="AA84">
        <v>6440</v>
      </c>
      <c r="AB84">
        <v>7213</v>
      </c>
      <c r="AC84">
        <v>7286</v>
      </c>
      <c r="AD84">
        <v>7130</v>
      </c>
      <c r="AE84">
        <v>7098</v>
      </c>
      <c r="AF84">
        <v>6918</v>
      </c>
      <c r="AG84">
        <v>7178</v>
      </c>
      <c r="AH84">
        <v>7246</v>
      </c>
      <c r="AI84">
        <v>7247</v>
      </c>
      <c r="AJ84">
        <v>7211</v>
      </c>
      <c r="AK84">
        <v>7500</v>
      </c>
      <c r="AL84">
        <v>7788</v>
      </c>
      <c r="AM84">
        <v>6990</v>
      </c>
      <c r="AN84">
        <v>7641</v>
      </c>
      <c r="AO84">
        <v>7479</v>
      </c>
      <c r="AP84">
        <v>7347</v>
      </c>
      <c r="AQ84">
        <v>7502</v>
      </c>
      <c r="AR84">
        <v>7255</v>
      </c>
      <c r="AS84">
        <v>6958</v>
      </c>
      <c r="AT84">
        <v>7178</v>
      </c>
      <c r="AU84">
        <v>6701</v>
      </c>
      <c r="AV84">
        <v>6582</v>
      </c>
      <c r="AW84">
        <v>7015</v>
      </c>
      <c r="AX84">
        <v>9827</v>
      </c>
      <c r="AY84">
        <v>10879</v>
      </c>
      <c r="AZ84">
        <v>12134</v>
      </c>
      <c r="BA84">
        <v>12148</v>
      </c>
      <c r="BB84">
        <v>11743</v>
      </c>
      <c r="BC84">
        <v>12026</v>
      </c>
      <c r="BD84">
        <v>11547</v>
      </c>
      <c r="BE84">
        <v>11739</v>
      </c>
      <c r="BF84">
        <v>11554</v>
      </c>
      <c r="BG84">
        <v>11138</v>
      </c>
      <c r="BH84">
        <v>11697</v>
      </c>
      <c r="BI84">
        <v>11243</v>
      </c>
      <c r="BJ84">
        <v>11509</v>
      </c>
      <c r="BK84">
        <v>10275</v>
      </c>
      <c r="BL84">
        <v>11678</v>
      </c>
      <c r="BM84">
        <v>11723</v>
      </c>
      <c r="BN84">
        <v>11187</v>
      </c>
      <c r="BO84">
        <v>11629</v>
      </c>
      <c r="BP84">
        <v>11367</v>
      </c>
      <c r="BQ84">
        <v>11389</v>
      </c>
      <c r="BR84">
        <v>11605</v>
      </c>
      <c r="BS84">
        <v>11192</v>
      </c>
      <c r="BT84">
        <v>12225</v>
      </c>
      <c r="BU84">
        <v>12133</v>
      </c>
      <c r="BV84">
        <v>12546</v>
      </c>
      <c r="BW84">
        <v>11130</v>
      </c>
      <c r="BX84">
        <v>12642</v>
      </c>
      <c r="BY84">
        <v>12806</v>
      </c>
      <c r="BZ84">
        <v>12347</v>
      </c>
      <c r="CA84">
        <v>12549</v>
      </c>
      <c r="CB84">
        <v>11619</v>
      </c>
      <c r="CC84">
        <v>11916</v>
      </c>
      <c r="CD84">
        <v>11811</v>
      </c>
      <c r="CE84">
        <v>12275</v>
      </c>
      <c r="CF84">
        <v>12655</v>
      </c>
      <c r="CG84">
        <v>12260</v>
      </c>
      <c r="CH84">
        <v>12318</v>
      </c>
      <c r="CI84">
        <v>10666</v>
      </c>
      <c r="CJ84">
        <v>11925</v>
      </c>
      <c r="CK84">
        <v>12131</v>
      </c>
      <c r="CL84" t="str">
        <f>""</f>
        <v/>
      </c>
      <c r="CM84" t="str">
        <f>""</f>
        <v/>
      </c>
      <c r="CN84" t="str">
        <f>""</f>
        <v/>
      </c>
      <c r="CO84" t="str">
        <f>""</f>
        <v/>
      </c>
      <c r="CP84" t="str">
        <f>""</f>
        <v/>
      </c>
      <c r="CQ84" t="str">
        <f>""</f>
        <v/>
      </c>
      <c r="CR84" t="str">
        <f>""</f>
        <v/>
      </c>
      <c r="CS84" t="str">
        <f>""</f>
        <v/>
      </c>
      <c r="CT84" t="str">
        <f>""</f>
        <v/>
      </c>
      <c r="CU84" t="str">
        <f>""</f>
        <v/>
      </c>
      <c r="CV84" t="str">
        <f>""</f>
        <v/>
      </c>
      <c r="CW84" t="str">
        <f>""</f>
        <v/>
      </c>
      <c r="CX84" t="str">
        <f>""</f>
        <v/>
      </c>
      <c r="CY84" t="str">
        <f>""</f>
        <v/>
      </c>
      <c r="CZ84" t="str">
        <f>""</f>
        <v/>
      </c>
      <c r="DA84" t="str">
        <f>""</f>
        <v/>
      </c>
      <c r="DB84" t="str">
        <f>""</f>
        <v/>
      </c>
      <c r="DC84" t="str">
        <f>""</f>
        <v/>
      </c>
      <c r="DD84" t="str">
        <f>""</f>
        <v/>
      </c>
      <c r="DE84" t="str">
        <f>""</f>
        <v/>
      </c>
      <c r="DF84" t="str">
        <f>""</f>
        <v/>
      </c>
      <c r="DG84" t="str">
        <f>""</f>
        <v/>
      </c>
      <c r="DH84" t="str">
        <f>""</f>
        <v/>
      </c>
      <c r="DI84" t="str">
        <f>""</f>
        <v/>
      </c>
      <c r="DJ84" t="str">
        <f>""</f>
        <v/>
      </c>
      <c r="DK84" t="str">
        <f>""</f>
        <v/>
      </c>
      <c r="DL84" t="str">
        <f>""</f>
        <v/>
      </c>
      <c r="DM84" t="str">
        <f>""</f>
        <v/>
      </c>
      <c r="DN84" t="str">
        <f>""</f>
        <v/>
      </c>
      <c r="DO84" t="str">
        <f>""</f>
        <v/>
      </c>
      <c r="DP84" t="str">
        <f>""</f>
        <v/>
      </c>
      <c r="DQ84" t="str">
        <f>""</f>
        <v/>
      </c>
      <c r="DR84" t="str">
        <f>""</f>
        <v/>
      </c>
      <c r="DS84" t="str">
        <f>""</f>
        <v/>
      </c>
      <c r="DT84" t="str">
        <f>""</f>
        <v/>
      </c>
      <c r="DU84" t="str">
        <f>""</f>
        <v/>
      </c>
      <c r="DV84" t="str">
        <f>""</f>
        <v/>
      </c>
      <c r="DW84" t="str">
        <f>""</f>
        <v/>
      </c>
      <c r="DX84" t="str">
        <f>""</f>
        <v/>
      </c>
      <c r="DY84" t="str">
        <f>""</f>
        <v/>
      </c>
      <c r="DZ84" t="str">
        <f>""</f>
        <v/>
      </c>
      <c r="EA84" t="str">
        <f>""</f>
        <v/>
      </c>
      <c r="EB84" t="str">
        <f>""</f>
        <v/>
      </c>
      <c r="EC84" t="str">
        <f>""</f>
        <v/>
      </c>
      <c r="ED84" t="str">
        <f>""</f>
        <v/>
      </c>
      <c r="EE84" t="str">
        <f>""</f>
        <v/>
      </c>
      <c r="EF84" t="str">
        <f>""</f>
        <v/>
      </c>
      <c r="EG84" t="str">
        <f>""</f>
        <v/>
      </c>
      <c r="EH84" t="str">
        <f>""</f>
        <v/>
      </c>
      <c r="EI84" t="str">
        <f>""</f>
        <v/>
      </c>
      <c r="EJ84" t="str">
        <f>""</f>
        <v/>
      </c>
      <c r="EK84" t="str">
        <f>""</f>
        <v/>
      </c>
      <c r="EL84" t="str">
        <f>""</f>
        <v/>
      </c>
      <c r="EM84" t="str">
        <f>""</f>
        <v/>
      </c>
      <c r="EN84" t="str">
        <f>""</f>
        <v/>
      </c>
      <c r="EO84" t="str">
        <f>""</f>
        <v/>
      </c>
      <c r="EP84" t="str">
        <f>""</f>
        <v/>
      </c>
      <c r="EQ84" t="str">
        <f>""</f>
        <v/>
      </c>
      <c r="ER84" t="str">
        <f>""</f>
        <v/>
      </c>
      <c r="ES84" t="str">
        <f>""</f>
        <v/>
      </c>
      <c r="ET84" t="str">
        <f>""</f>
        <v/>
      </c>
      <c r="EU84" t="str">
        <f>""</f>
        <v/>
      </c>
      <c r="EV84" t="str">
        <f>""</f>
        <v/>
      </c>
      <c r="EW84" t="str">
        <f>""</f>
        <v/>
      </c>
      <c r="EX84" t="str">
        <f>""</f>
        <v/>
      </c>
      <c r="EY84" t="str">
        <f>""</f>
        <v/>
      </c>
      <c r="EZ84" t="str">
        <f>""</f>
        <v/>
      </c>
      <c r="FA84" t="str">
        <f>""</f>
        <v/>
      </c>
      <c r="FB84" t="str">
        <f>""</f>
        <v/>
      </c>
      <c r="FC84" t="str">
        <f>""</f>
        <v/>
      </c>
      <c r="FD84" t="str">
        <f>""</f>
        <v/>
      </c>
      <c r="FE84" t="str">
        <f>""</f>
        <v/>
      </c>
      <c r="FF84" t="str">
        <f>""</f>
        <v/>
      </c>
      <c r="FG84" t="str">
        <f>""</f>
        <v/>
      </c>
      <c r="FH84" t="str">
        <f>""</f>
        <v/>
      </c>
      <c r="FI84" t="str">
        <f>""</f>
        <v/>
      </c>
      <c r="FJ84" t="str">
        <f>""</f>
        <v/>
      </c>
      <c r="FK84" t="str">
        <f>""</f>
        <v/>
      </c>
      <c r="FL84" t="str">
        <f>""</f>
        <v/>
      </c>
      <c r="FM84" t="str">
        <f>""</f>
        <v/>
      </c>
      <c r="FN84" t="str">
        <f>""</f>
        <v/>
      </c>
      <c r="FO84" t="str">
        <f>""</f>
        <v/>
      </c>
      <c r="FP84" t="str">
        <f>""</f>
        <v/>
      </c>
      <c r="FQ84" t="str">
        <f>""</f>
        <v/>
      </c>
    </row>
    <row r="85" spans="1:173" x14ac:dyDescent="0.25">
      <c r="A85" t="str">
        <f>$A$14</f>
        <v>Hong Kong Port Container Throughput (000 TEU)</v>
      </c>
      <c r="B85" t="str">
        <f>$B$14</f>
        <v>HKCCTTL Index</v>
      </c>
      <c r="C85" t="str">
        <f>$C$14</f>
        <v>PX385</v>
      </c>
      <c r="D85" t="str">
        <f>$D$14</f>
        <v>INTERVAL_SUM</v>
      </c>
      <c r="E85" t="str">
        <f>$E$14</f>
        <v>Dynamic</v>
      </c>
      <c r="F85" t="str">
        <f ca="1">_xll.BDP($B$14,$C$14,CONCATENATE("PX391=", $F$71), CONCATENATE("PX392=",$F$72), CONCATENATE("DS004=",$B$64), "Fill=B")</f>
        <v/>
      </c>
      <c r="G85" t="str">
        <f ca="1">_xll.BDP($B$14,$C$14,CONCATENATE("PX391=", $G$71), CONCATENATE("PX392=",$G$72), CONCATENATE("DS004=",$B$64), "Fill=B")</f>
        <v/>
      </c>
      <c r="H85">
        <f ca="1">_xll.BDP($B$14,$C$14,CONCATENATE("PX391=", $H$71), CONCATENATE("PX392=",$H$72), CONCATENATE("DS004=",$B$64), "Fill=B")</f>
        <v>1197</v>
      </c>
      <c r="I85">
        <f ca="1">_xll.BDP($B$14,$C$14,CONCATENATE("PX391=", $I$71), CONCATENATE("PX392=",$I$72), CONCATENATE("DS004=",$B$64), "Fill=B")</f>
        <v>1231</v>
      </c>
      <c r="J85">
        <f ca="1">_xll.BDP($B$14,$C$14,CONCATENATE("PX391=", $J$71), CONCATENATE("PX392=",$J$72), CONCATENATE("DS004=",$B$64), "Fill=B")</f>
        <v>1217</v>
      </c>
      <c r="K85">
        <f ca="1">_xll.BDP($B$14,$C$14,CONCATENATE("PX391=", $K$71), CONCATENATE("PX392=",$K$72), CONCATENATE("DS004=",$B$64), "Fill=B")</f>
        <v>1207</v>
      </c>
      <c r="L85">
        <f ca="1">_xll.BDP($B$14,$C$14,CONCATENATE("PX391=", $L$71), CONCATENATE("PX392=",$L$72), CONCATENATE("DS004=",$B$64), "Fill=B")</f>
        <v>1236</v>
      </c>
      <c r="M85">
        <f ca="1">_xll.BDP($B$14,$C$14,CONCATENATE("PX391=", $M$71), CONCATENATE("PX392=",$M$72), CONCATENATE("DS004=",$B$64), "Fill=B")</f>
        <v>1246</v>
      </c>
      <c r="N85">
        <f ca="1">_xll.BDP($B$14,$C$14,CONCATENATE("PX391=", $N$71), CONCATENATE("PX392=",$N$72), CONCATENATE("DS004=",$B$64), "Fill=B")</f>
        <v>1307</v>
      </c>
      <c r="O85">
        <f ca="1">_xll.BDP($B$14,$C$14,CONCATENATE("PX391=", $O$71), CONCATENATE("PX392=",$O$72), CONCATENATE("DS004=",$B$64), "Fill=B")</f>
        <v>1058</v>
      </c>
      <c r="P85">
        <f ca="1">_xll.BDP($B$14,$C$14,CONCATENATE("PX391=", $P$71), CONCATENATE("PX392=",$P$72), CONCATENATE("DS004=",$B$64), "Fill=B")</f>
        <v>1067</v>
      </c>
      <c r="Q85">
        <f ca="1">_xll.BDP($B$14,$C$14,CONCATENATE("PX391=", $Q$71), CONCATENATE("PX392=",$Q$72), CONCATENATE("DS004=",$B$64), "Fill=B")</f>
        <v>1410</v>
      </c>
      <c r="R85">
        <f ca="1">_xll.BDP($B$14,$C$14,CONCATENATE("PX391=", $R$71), CONCATENATE("PX392=",$R$72), CONCATENATE("DS004=",$B$64), "Fill=B")</f>
        <v>1359</v>
      </c>
      <c r="S85">
        <f ca="1">_xll.BDP($B$14,$C$14,CONCATENATE("PX391=", $S$71), CONCATENATE("PX392=",$S$72), CONCATENATE("DS004=",$B$64), "Fill=B")</f>
        <v>1280</v>
      </c>
      <c r="T85">
        <f ca="1">_xll.BDP($B$14,$C$14,CONCATENATE("PX391=", $T$71), CONCATENATE("PX392=",$T$72), CONCATENATE("DS004=",$B$64), "Fill=B")</f>
        <v>1392</v>
      </c>
      <c r="U85">
        <f ca="1">_xll.BDP($B$14,$C$14,CONCATENATE("PX391=", $U$71), CONCATENATE("PX392=",$U$72), CONCATENATE("DS004=",$B$64), "Fill=B")</f>
        <v>1359</v>
      </c>
      <c r="V85">
        <f ca="1">_xll.BDP($B$14,$C$14,CONCATENATE("PX391=", $V$71), CONCATENATE("PX392=",$V$72), CONCATENATE("DS004=",$B$64), "Fill=B")</f>
        <v>1458</v>
      </c>
      <c r="W85">
        <f ca="1">_xll.BDP($B$14,$C$14,CONCATENATE("PX391=", $W$71), CONCATENATE("PX392=",$W$72), CONCATENATE("DS004=",$B$64), "Fill=B")</f>
        <v>1588</v>
      </c>
      <c r="X85">
        <f ca="1">_xll.BDP($B$14,$C$14,CONCATENATE("PX391=", $X$71), CONCATENATE("PX392=",$X$72), CONCATENATE("DS004=",$B$64), "Fill=B")</f>
        <v>1519</v>
      </c>
      <c r="Y85">
        <f ca="1">_xll.BDP($B$14,$C$14,CONCATENATE("PX391=", $Y$71), CONCATENATE("PX392=",$Y$72), CONCATENATE("DS004=",$B$64), "Fill=B")</f>
        <v>1616</v>
      </c>
      <c r="Z85">
        <f ca="1">_xll.BDP($B$14,$C$14,CONCATENATE("PX391=", $Z$71), CONCATENATE("PX392=",$Z$72), CONCATENATE("DS004=",$B$64), "Fill=B")</f>
        <v>1434</v>
      </c>
      <c r="AA85">
        <f ca="1">_xll.BDP($B$14,$C$14,CONCATENATE("PX391=", $AA$71), CONCATENATE("PX392=",$AA$72), CONCATENATE("DS004=",$B$64), "Fill=B")</f>
        <v>1051</v>
      </c>
      <c r="AB85">
        <f ca="1">_xll.BDP($B$14,$C$14,CONCATENATE("PX391=", $AB$71), CONCATENATE("PX392=",$AB$72), CONCATENATE("DS004=",$B$64), "Fill=B")</f>
        <v>1221</v>
      </c>
      <c r="AC85">
        <f ca="1">_xll.BDP($B$14,$C$14,CONCATENATE("PX391=", $AC$71), CONCATENATE("PX392=",$AC$72), CONCATENATE("DS004=",$B$64), "Fill=B")</f>
        <v>1485</v>
      </c>
      <c r="AD85">
        <f ca="1">_xll.BDP($B$14,$C$14,CONCATENATE("PX391=", $AD$71), CONCATENATE("PX392=",$AD$72), CONCATENATE("DS004=",$B$64), "Fill=B")</f>
        <v>1546</v>
      </c>
      <c r="AE85">
        <f ca="1">_xll.BDP($B$14,$C$14,CONCATENATE("PX391=", $AE$71), CONCATENATE("PX392=",$AE$72), CONCATENATE("DS004=",$B$64), "Fill=B")</f>
        <v>1420</v>
      </c>
      <c r="AF85">
        <f ca="1">_xll.BDP($B$14,$C$14,CONCATENATE("PX391=", $AF$71), CONCATENATE("PX392=",$AF$72), CONCATENATE("DS004=",$B$64), "Fill=B")</f>
        <v>1534</v>
      </c>
      <c r="AG85">
        <f ca="1">_xll.BDP($B$14,$C$14,CONCATENATE("PX391=", $AG$71), CONCATENATE("PX392=",$AG$72), CONCATENATE("DS004=",$B$64), "Fill=B")</f>
        <v>1526</v>
      </c>
      <c r="AH85">
        <f ca="1">_xll.BDP($B$14,$C$14,CONCATENATE("PX391=", $AH$71), CONCATENATE("PX392=",$AH$72), CONCATENATE("DS004=",$B$64), "Fill=B")</f>
        <v>1581</v>
      </c>
      <c r="AI85">
        <f ca="1">_xll.BDP($B$14,$C$14,CONCATENATE("PX391=", $AI$71), CONCATENATE("PX392=",$AI$72), CONCATENATE("DS004=",$B$64), "Fill=B")</f>
        <v>1485</v>
      </c>
      <c r="AJ85">
        <f ca="1">_xll.BDP($B$14,$C$14,CONCATENATE("PX391=", $AJ$71), CONCATENATE("PX392=",$AJ$72), CONCATENATE("DS004=",$B$64), "Fill=B")</f>
        <v>1592</v>
      </c>
      <c r="AK85">
        <f ca="1">_xll.BDP($B$14,$C$14,CONCATENATE("PX391=", $AK$71), CONCATENATE("PX392=",$AK$72), CONCATENATE("DS004=",$B$64), "Fill=B")</f>
        <v>1517</v>
      </c>
      <c r="AL85">
        <f ca="1">_xll.BDP($B$14,$C$14,CONCATENATE("PX391=", $AL$71), CONCATENATE("PX392=",$AL$72), CONCATENATE("DS004=",$B$64), "Fill=B")</f>
        <v>1557</v>
      </c>
      <c r="AM85">
        <f ca="1">_xll.BDP($B$14,$C$14,CONCATENATE("PX391=", $AM$71), CONCATENATE("PX392=",$AM$72), CONCATENATE("DS004=",$B$64), "Fill=B")</f>
        <v>1019</v>
      </c>
      <c r="AN85">
        <f ca="1">_xll.BDP($B$14,$C$14,CONCATENATE("PX391=", $AN$71), CONCATENATE("PX392=",$AN$72), CONCATENATE("DS004=",$B$64), "Fill=B")</f>
        <v>1538</v>
      </c>
      <c r="AO85">
        <f ca="1">_xll.BDP($B$14,$C$14,CONCATENATE("PX391=", $AO$71), CONCATENATE("PX392=",$AO$72), CONCATENATE("DS004=",$B$64), "Fill=B")</f>
        <v>1634</v>
      </c>
      <c r="AP85">
        <f ca="1">_xll.BDP($B$14,$C$14,CONCATENATE("PX391=", $AP$71), CONCATENATE("PX392=",$AP$72), CONCATENATE("DS004=",$B$64), "Fill=B")</f>
        <v>1529</v>
      </c>
      <c r="AQ85">
        <f ca="1">_xll.BDP($B$14,$C$14,CONCATENATE("PX391=", $AQ$71), CONCATENATE("PX392=",$AQ$72), CONCATENATE("DS004=",$B$64), "Fill=B")</f>
        <v>1499</v>
      </c>
      <c r="AR85">
        <f ca="1">_xll.BDP($B$14,$C$14,CONCATENATE("PX391=", $AR$71), CONCATENATE("PX392=",$AR$72), CONCATENATE("DS004=",$B$64), "Fill=B")</f>
        <v>1538</v>
      </c>
      <c r="AS85">
        <f ca="1">_xll.BDP($B$14,$C$14,CONCATENATE("PX391=", $AS$71), CONCATENATE("PX392=",$AS$72), CONCATENATE("DS004=",$B$64), "Fill=B")</f>
        <v>1573</v>
      </c>
      <c r="AT85">
        <f ca="1">_xll.BDP($B$14,$C$14,CONCATENATE("PX391=", $AT$71), CONCATENATE("PX392=",$AT$72), CONCATENATE("DS004=",$B$64), "Fill=B")</f>
        <v>1588</v>
      </c>
      <c r="AU85">
        <f ca="1">_xll.BDP($B$14,$C$14,CONCATENATE("PX391=", $AU$71), CONCATENATE("PX392=",$AU$72), CONCATENATE("DS004=",$B$64), "Fill=B")</f>
        <v>1533</v>
      </c>
      <c r="AV85">
        <f ca="1">_xll.BDP($B$14,$C$14,CONCATENATE("PX391=", $AV$71), CONCATENATE("PX392=",$AV$72), CONCATENATE("DS004=",$B$64), "Fill=B")</f>
        <v>1515</v>
      </c>
      <c r="AW85">
        <f ca="1">_xll.BDP($B$14,$C$14,CONCATENATE("PX391=", $AW$71), CONCATENATE("PX392=",$AW$72), CONCATENATE("DS004=",$B$64), "Fill=B")</f>
        <v>1462</v>
      </c>
      <c r="AX85">
        <f ca="1">_xll.BDP($B$14,$C$14,CONCATENATE("PX391=", $AX$71), CONCATENATE("PX392=",$AX$72), CONCATENATE("DS004=",$B$64), "Fill=B")</f>
        <v>1515</v>
      </c>
      <c r="AY85">
        <f ca="1">_xll.BDP($B$14,$C$14,CONCATENATE("PX391=", $AY$71), CONCATENATE("PX392=",$AY$72), CONCATENATE("DS004=",$B$64), "Fill=B")</f>
        <v>1160</v>
      </c>
      <c r="AZ85">
        <f ca="1">_xll.BDP($B$14,$C$14,CONCATENATE("PX391=", $AZ$71), CONCATENATE("PX392=",$AZ$72), CONCATENATE("DS004=",$B$64), "Fill=B")</f>
        <v>1425</v>
      </c>
      <c r="BA85">
        <f ca="1">_xll.BDP($B$14,$C$14,CONCATENATE("PX391=", $BA$71), CONCATENATE("PX392=",$BA$72), CONCATENATE("DS004=",$B$64), "Fill=B")</f>
        <v>1524</v>
      </c>
      <c r="BB85">
        <f ca="1">_xll.BDP($B$14,$C$14,CONCATENATE("PX391=", $BB$71), CONCATENATE("PX392=",$BB$72), CONCATENATE("DS004=",$B$64), "Fill=B")</f>
        <v>1511</v>
      </c>
      <c r="BC85">
        <f ca="1">_xll.BDP($B$14,$C$14,CONCATENATE("PX391=", $BC$71), CONCATENATE("PX392=",$BC$72), CONCATENATE("DS004=",$B$64), "Fill=B")</f>
        <v>1553</v>
      </c>
      <c r="BD85">
        <f ca="1">_xll.BDP($B$14,$C$14,CONCATENATE("PX391=", $BD$71), CONCATENATE("PX392=",$BD$72), CONCATENATE("DS004=",$B$64), "Fill=B")</f>
        <v>1484</v>
      </c>
      <c r="BE85">
        <f ca="1">_xll.BDP($B$14,$C$14,CONCATENATE("PX391=", $BE$71), CONCATENATE("PX392=",$BE$72), CONCATENATE("DS004=",$B$64), "Fill=B")</f>
        <v>1584</v>
      </c>
      <c r="BF85">
        <f ca="1">_xll.BDP($B$14,$C$14,CONCATENATE("PX391=", $BF$71), CONCATENATE("PX392=",$BF$72), CONCATENATE("DS004=",$B$64), "Fill=B")</f>
        <v>1549</v>
      </c>
      <c r="BG85">
        <f ca="1">_xll.BDP($B$14,$C$14,CONCATENATE("PX391=", $BG$71), CONCATENATE("PX392=",$BG$72), CONCATENATE("DS004=",$B$64), "Fill=B")</f>
        <v>1527</v>
      </c>
      <c r="BH85">
        <f ca="1">_xll.BDP($B$14,$C$14,CONCATENATE("PX391=", $BH$71), CONCATENATE("PX392=",$BH$72), CONCATENATE("DS004=",$B$64), "Fill=B")</f>
        <v>1572</v>
      </c>
      <c r="BI85">
        <f ca="1">_xll.BDP($B$14,$C$14,CONCATENATE("PX391=", $BI$71), CONCATENATE("PX392=",$BI$72), CONCATENATE("DS004=",$B$64), "Fill=B")</f>
        <v>1574</v>
      </c>
      <c r="BJ85">
        <f ca="1">_xll.BDP($B$14,$C$14,CONCATENATE("PX391=", $BJ$71), CONCATENATE("PX392=",$BJ$72), CONCATENATE("DS004=",$B$64), "Fill=B")</f>
        <v>1567</v>
      </c>
      <c r="BK85">
        <f ca="1">_xll.BDP($B$14,$C$14,CONCATENATE("PX391=", $BK$71), CONCATENATE("PX392=",$BK$72), CONCATENATE("DS004=",$B$64), "Fill=B")</f>
        <v>1162</v>
      </c>
      <c r="BL85">
        <f ca="1">_xll.BDP($B$14,$C$14,CONCATENATE("PX391=", $BL$71), CONCATENATE("PX392=",$BL$72), CONCATENATE("DS004=",$B$64), "Fill=B")</f>
        <v>1695</v>
      </c>
      <c r="BM85">
        <f ca="1">_xll.BDP($B$14,$C$14,CONCATENATE("PX391=", $BM$71), CONCATENATE("PX392=",$BM$72), CONCATENATE("DS004=",$B$64), "Fill=B")</f>
        <v>1674</v>
      </c>
      <c r="BN85">
        <f ca="1">_xll.BDP($B$14,$C$14,CONCATENATE("PX391=", $BN$71), CONCATENATE("PX392=",$BN$72), CONCATENATE("DS004=",$B$64), "Fill=B")</f>
        <v>1639</v>
      </c>
      <c r="BO85">
        <f ca="1">_xll.BDP($B$14,$C$14,CONCATENATE("PX391=", $BO$71), CONCATENATE("PX392=",$BO$72), CONCATENATE("DS004=",$B$64), "Fill=B")</f>
        <v>1646</v>
      </c>
      <c r="BP85">
        <f ca="1">_xll.BDP($B$14,$C$14,CONCATENATE("PX391=", $BP$71), CONCATENATE("PX392=",$BP$72), CONCATENATE("DS004=",$B$64), "Fill=B")</f>
        <v>1487</v>
      </c>
      <c r="BQ85">
        <f ca="1">_xll.BDP($B$14,$C$14,CONCATENATE("PX391=", $BQ$71), CONCATENATE("PX392=",$BQ$72), CONCATENATE("DS004=",$B$64), "Fill=B")</f>
        <v>1616</v>
      </c>
      <c r="BR85">
        <f ca="1">_xll.BDP($B$14,$C$14,CONCATENATE("PX391=", $BR$71), CONCATENATE("PX392=",$BR$72), CONCATENATE("DS004=",$B$64), "Fill=B")</f>
        <v>1666</v>
      </c>
      <c r="BS85">
        <f ca="1">_xll.BDP($B$14,$C$14,CONCATENATE("PX391=", $BS$71), CONCATENATE("PX392=",$BS$72), CONCATENATE("DS004=",$B$64), "Fill=B")</f>
        <v>1683</v>
      </c>
      <c r="BT85">
        <f ca="1">_xll.BDP($B$14,$C$14,CONCATENATE("PX391=", $BT$71), CONCATENATE("PX392=",$BT$72), CONCATENATE("DS004=",$B$64), "Fill=B")</f>
        <v>1696</v>
      </c>
      <c r="BU85">
        <f ca="1">_xll.BDP($B$14,$C$14,CONCATENATE("PX391=", $BU$71), CONCATENATE("PX392=",$BU$72), CONCATENATE("DS004=",$B$64), "Fill=B")</f>
        <v>1601</v>
      </c>
      <c r="BV85">
        <f ca="1">_xll.BDP($B$14,$C$14,CONCATENATE("PX391=", $BV$71), CONCATENATE("PX392=",$BV$72), CONCATENATE("DS004=",$B$64), "Fill=B")</f>
        <v>1628</v>
      </c>
      <c r="BW85">
        <f ca="1">_xll.BDP($B$14,$C$14,CONCATENATE("PX391=", $BW$71), CONCATENATE("PX392=",$BW$72), CONCATENATE("DS004=",$B$64), "Fill=B")</f>
        <v>1414</v>
      </c>
      <c r="BX85">
        <f ca="1">_xll.BDP($B$14,$C$14,CONCATENATE("PX391=", $BX$71), CONCATENATE("PX392=",$BX$72), CONCATENATE("DS004=",$B$64), "Fill=B")</f>
        <v>1846</v>
      </c>
      <c r="BY85">
        <f ca="1">_xll.BDP($B$14,$C$14,CONCATENATE("PX391=", $BY$71), CONCATENATE("PX392=",$BY$72), CONCATENATE("DS004=",$B$64), "Fill=B")</f>
        <v>1780</v>
      </c>
      <c r="BZ85">
        <f ca="1">_xll.BDP($B$14,$C$14,CONCATENATE("PX391=", $BZ$71), CONCATENATE("PX392=",$BZ$72), CONCATENATE("DS004=",$B$64), "Fill=B")</f>
        <v>1757</v>
      </c>
      <c r="CA85">
        <f ca="1">_xll.BDP($B$14,$C$14,CONCATENATE("PX391=", $CA$71), CONCATENATE("PX392=",$CA$72), CONCATENATE("DS004=",$B$64), "Fill=B")</f>
        <v>1676</v>
      </c>
      <c r="CB85">
        <f ca="1">_xll.BDP($B$14,$C$14,CONCATENATE("PX391=", $CB$71), CONCATENATE("PX392=",$CB$72), CONCATENATE("DS004=",$B$64), "Fill=B")</f>
        <v>1806</v>
      </c>
      <c r="CC85">
        <f ca="1">_xll.BDP($B$14,$C$14,CONCATENATE("PX391=", $CC$71), CONCATENATE("PX392=",$CC$72), CONCATENATE("DS004=",$B$64), "Fill=B")</f>
        <v>1718</v>
      </c>
      <c r="CD85">
        <f ca="1">_xll.BDP($B$14,$C$14,CONCATENATE("PX391=", $CD$71), CONCATENATE("PX392=",$CD$72), CONCATENATE("DS004=",$B$64), "Fill=B")</f>
        <v>1782</v>
      </c>
      <c r="CE85">
        <f ca="1">_xll.BDP($B$14,$C$14,CONCATENATE("PX391=", $CE$71), CONCATENATE("PX392=",$CE$72), CONCATENATE("DS004=",$B$64), "Fill=B")</f>
        <v>1750</v>
      </c>
      <c r="CF85">
        <f ca="1">_xll.BDP($B$14,$C$14,CONCATENATE("PX391=", $CF$71), CONCATENATE("PX392=",$CF$72), CONCATENATE("DS004=",$B$64), "Fill=B")</f>
        <v>1824</v>
      </c>
      <c r="CG85">
        <f ca="1">_xll.BDP($B$14,$C$14,CONCATENATE("PX391=", $CG$71), CONCATENATE("PX392=",$CG$72), CONCATENATE("DS004=",$B$64), "Fill=B")</f>
        <v>1799</v>
      </c>
      <c r="CH85">
        <f ca="1">_xll.BDP($B$14,$C$14,CONCATENATE("PX391=", $CH$71), CONCATENATE("PX392=",$CH$72), CONCATENATE("DS004=",$B$64), "Fill=B")</f>
        <v>1730</v>
      </c>
      <c r="CI85">
        <f ca="1">_xll.BDP($B$14,$C$14,CONCATENATE("PX391=", $CI$71), CONCATENATE("PX392=",$CI$72), CONCATENATE("DS004=",$B$64), "Fill=B")</f>
        <v>1487</v>
      </c>
      <c r="CJ85">
        <f ca="1">_xll.BDP($B$14,$C$14,CONCATENATE("PX391=", $CJ$71), CONCATENATE("PX392=",$CJ$72), CONCATENATE("DS004=",$B$64), "Fill=B")</f>
        <v>1661</v>
      </c>
      <c r="CK85">
        <f ca="1">_xll.BDP($B$14,$C$14,CONCATENATE("PX391=", $CK$71), CONCATENATE("PX392=",$CK$72), CONCATENATE("DS004=",$B$64), "Fill=B")</f>
        <v>1983</v>
      </c>
      <c r="CL85" t="str">
        <f>""</f>
        <v/>
      </c>
      <c r="CM85" t="str">
        <f>""</f>
        <v/>
      </c>
      <c r="CN85" t="str">
        <f>""</f>
        <v/>
      </c>
      <c r="CO85" t="str">
        <f>""</f>
        <v/>
      </c>
      <c r="CP85" t="str">
        <f>""</f>
        <v/>
      </c>
      <c r="CQ85" t="str">
        <f>""</f>
        <v/>
      </c>
      <c r="CR85" t="str">
        <f>""</f>
        <v/>
      </c>
      <c r="CS85" t="str">
        <f>""</f>
        <v/>
      </c>
      <c r="CT85" t="str">
        <f>""</f>
        <v/>
      </c>
      <c r="CU85" t="str">
        <f>""</f>
        <v/>
      </c>
      <c r="CV85" t="str">
        <f>""</f>
        <v/>
      </c>
      <c r="CW85" t="str">
        <f>""</f>
        <v/>
      </c>
      <c r="CX85" t="str">
        <f>""</f>
        <v/>
      </c>
      <c r="CY85" t="str">
        <f>""</f>
        <v/>
      </c>
      <c r="CZ85" t="str">
        <f>""</f>
        <v/>
      </c>
      <c r="DA85" t="str">
        <f>""</f>
        <v/>
      </c>
      <c r="DB85" t="str">
        <f>""</f>
        <v/>
      </c>
      <c r="DC85" t="str">
        <f>""</f>
        <v/>
      </c>
      <c r="DD85" t="str">
        <f>""</f>
        <v/>
      </c>
      <c r="DE85" t="str">
        <f>""</f>
        <v/>
      </c>
      <c r="DF85" t="str">
        <f>""</f>
        <v/>
      </c>
      <c r="DG85" t="str">
        <f>""</f>
        <v/>
      </c>
      <c r="DH85" t="str">
        <f>""</f>
        <v/>
      </c>
      <c r="DI85" t="str">
        <f>""</f>
        <v/>
      </c>
      <c r="DJ85" t="str">
        <f>""</f>
        <v/>
      </c>
      <c r="DK85" t="str">
        <f>""</f>
        <v/>
      </c>
      <c r="DL85" t="str">
        <f>""</f>
        <v/>
      </c>
      <c r="DM85" t="str">
        <f>""</f>
        <v/>
      </c>
      <c r="DN85" t="str">
        <f>""</f>
        <v/>
      </c>
      <c r="DO85" t="str">
        <f>""</f>
        <v/>
      </c>
      <c r="DP85" t="str">
        <f>""</f>
        <v/>
      </c>
      <c r="DQ85" t="str">
        <f>""</f>
        <v/>
      </c>
      <c r="DR85" t="str">
        <f>""</f>
        <v/>
      </c>
      <c r="DS85" t="str">
        <f>""</f>
        <v/>
      </c>
      <c r="DT85" t="str">
        <f>""</f>
        <v/>
      </c>
      <c r="DU85" t="str">
        <f>""</f>
        <v/>
      </c>
      <c r="DV85" t="str">
        <f>""</f>
        <v/>
      </c>
      <c r="DW85" t="str">
        <f>""</f>
        <v/>
      </c>
      <c r="DX85" t="str">
        <f>""</f>
        <v/>
      </c>
      <c r="DY85" t="str">
        <f>""</f>
        <v/>
      </c>
      <c r="DZ85" t="str">
        <f>""</f>
        <v/>
      </c>
      <c r="EA85" t="str">
        <f>""</f>
        <v/>
      </c>
      <c r="EB85" t="str">
        <f>""</f>
        <v/>
      </c>
      <c r="EC85" t="str">
        <f>""</f>
        <v/>
      </c>
      <c r="ED85" t="str">
        <f>""</f>
        <v/>
      </c>
      <c r="EE85" t="str">
        <f>""</f>
        <v/>
      </c>
      <c r="EF85" t="str">
        <f>""</f>
        <v/>
      </c>
      <c r="EG85" t="str">
        <f>""</f>
        <v/>
      </c>
      <c r="EH85" t="str">
        <f>""</f>
        <v/>
      </c>
      <c r="EI85" t="str">
        <f>""</f>
        <v/>
      </c>
      <c r="EJ85" t="str">
        <f>""</f>
        <v/>
      </c>
      <c r="EK85" t="str">
        <f>""</f>
        <v/>
      </c>
      <c r="EL85" t="str">
        <f>""</f>
        <v/>
      </c>
      <c r="EM85" t="str">
        <f>""</f>
        <v/>
      </c>
      <c r="EN85" t="str">
        <f>""</f>
        <v/>
      </c>
      <c r="EO85" t="str">
        <f>""</f>
        <v/>
      </c>
      <c r="EP85" t="str">
        <f>""</f>
        <v/>
      </c>
      <c r="EQ85" t="str">
        <f>""</f>
        <v/>
      </c>
      <c r="ER85" t="str">
        <f>""</f>
        <v/>
      </c>
      <c r="ES85" t="str">
        <f>""</f>
        <v/>
      </c>
      <c r="ET85" t="str">
        <f>""</f>
        <v/>
      </c>
      <c r="EU85" t="str">
        <f>""</f>
        <v/>
      </c>
      <c r="EV85" t="str">
        <f>""</f>
        <v/>
      </c>
      <c r="EW85" t="str">
        <f>""</f>
        <v/>
      </c>
      <c r="EX85" t="str">
        <f>""</f>
        <v/>
      </c>
      <c r="EY85" t="str">
        <f>""</f>
        <v/>
      </c>
      <c r="EZ85" t="str">
        <f>""</f>
        <v/>
      </c>
      <c r="FA85" t="str">
        <f>""</f>
        <v/>
      </c>
      <c r="FB85" t="str">
        <f>""</f>
        <v/>
      </c>
      <c r="FC85" t="str">
        <f>""</f>
        <v/>
      </c>
      <c r="FD85" t="str">
        <f>""</f>
        <v/>
      </c>
      <c r="FE85" t="str">
        <f>""</f>
        <v/>
      </c>
      <c r="FF85" t="str">
        <f>""</f>
        <v/>
      </c>
      <c r="FG85" t="str">
        <f>""</f>
        <v/>
      </c>
      <c r="FH85" t="str">
        <f>""</f>
        <v/>
      </c>
      <c r="FI85" t="str">
        <f>""</f>
        <v/>
      </c>
      <c r="FJ85" t="str">
        <f>""</f>
        <v/>
      </c>
      <c r="FK85" t="str">
        <f>""</f>
        <v/>
      </c>
      <c r="FL85" t="str">
        <f>""</f>
        <v/>
      </c>
      <c r="FM85" t="str">
        <f>""</f>
        <v/>
      </c>
      <c r="FN85" t="str">
        <f>""</f>
        <v/>
      </c>
      <c r="FO85" t="str">
        <f>""</f>
        <v/>
      </c>
      <c r="FP85" t="str">
        <f>""</f>
        <v/>
      </c>
      <c r="FQ85" t="str">
        <f>""</f>
        <v/>
      </c>
    </row>
    <row r="86" spans="1:173" x14ac:dyDescent="0.25">
      <c r="A86" t="str">
        <f>$A$21</f>
        <v>South Korea Port Container Throughput (000 TEU)</v>
      </c>
      <c r="B86" t="str">
        <f>$B$21</f>
        <v>SKTSTOTL Index</v>
      </c>
      <c r="C86" t="str">
        <f>$C$21</f>
        <v>PR005</v>
      </c>
      <c r="D86" t="str">
        <f>$D$21</f>
        <v>PX_LAST</v>
      </c>
      <c r="E86" t="str">
        <f>$E$21</f>
        <v>Dynamic</v>
      </c>
      <c r="F86" t="str">
        <f ca="1">_xll.BDH($B$21,$C$21,$B$67,$B$68,CONCATENATE("Per=",$B$65),"Dts=H","Dir=H",CONCATENATE("Points=",$B$66),"Sort=R","Days=A","Fill=B",CONCATENATE("FX=", $B$64),"cols=84;rows=1")</f>
        <v/>
      </c>
      <c r="AP86">
        <v>1923.999</v>
      </c>
      <c r="AQ86">
        <v>1876.3969999999999</v>
      </c>
      <c r="AR86">
        <v>1699.924</v>
      </c>
      <c r="AS86">
        <v>1728.789</v>
      </c>
      <c r="AT86">
        <v>1751.31</v>
      </c>
      <c r="AU86">
        <v>1746.5139999999999</v>
      </c>
      <c r="AV86">
        <v>1697.2550000000001</v>
      </c>
      <c r="AW86">
        <v>1817.807</v>
      </c>
      <c r="AX86">
        <v>1886.8409999999999</v>
      </c>
      <c r="AY86">
        <v>1726.7270000000001</v>
      </c>
      <c r="AZ86">
        <v>1791.039</v>
      </c>
      <c r="BA86">
        <v>1853.577</v>
      </c>
      <c r="BB86">
        <v>1814.2329999999999</v>
      </c>
      <c r="BC86">
        <v>1865.0540000000001</v>
      </c>
      <c r="BD86">
        <v>1678.17</v>
      </c>
      <c r="BE86">
        <v>1809.7850000000001</v>
      </c>
      <c r="BF86">
        <v>1881.8630000000001</v>
      </c>
      <c r="BG86">
        <v>1812.2049999999999</v>
      </c>
      <c r="BH86">
        <v>1869.4929999999999</v>
      </c>
      <c r="BI86">
        <v>1836.4459999999999</v>
      </c>
      <c r="BJ86">
        <v>1869.155</v>
      </c>
      <c r="BK86">
        <v>1656.829</v>
      </c>
      <c r="BL86">
        <v>1793.078</v>
      </c>
      <c r="BM86">
        <v>1814.442</v>
      </c>
      <c r="BN86">
        <v>1901.0039999999999</v>
      </c>
      <c r="BO86">
        <v>1796.0260000000001</v>
      </c>
      <c r="BP86">
        <v>1827.6089999999999</v>
      </c>
      <c r="BQ86">
        <v>1756.9960000000001</v>
      </c>
      <c r="BR86">
        <v>1833.47</v>
      </c>
      <c r="BS86">
        <v>1822.146</v>
      </c>
      <c r="BT86">
        <v>1880.73</v>
      </c>
      <c r="BU86">
        <v>1784.77</v>
      </c>
      <c r="BV86">
        <v>1752.6859999999999</v>
      </c>
      <c r="BW86">
        <v>1657.518</v>
      </c>
      <c r="BX86">
        <v>1686.6949999999999</v>
      </c>
      <c r="BY86">
        <v>1743.884</v>
      </c>
      <c r="BZ86">
        <v>1714.9090000000001</v>
      </c>
      <c r="CA86">
        <v>1667.3530000000001</v>
      </c>
      <c r="CB86">
        <v>1671.329</v>
      </c>
      <c r="CC86">
        <v>1702.038</v>
      </c>
      <c r="CD86">
        <v>1752.068</v>
      </c>
      <c r="CE86">
        <v>1661.7840000000001</v>
      </c>
      <c r="CF86">
        <v>1786.576</v>
      </c>
      <c r="CG86">
        <v>1766.5709999999999</v>
      </c>
      <c r="CH86">
        <v>1741.5340000000001</v>
      </c>
      <c r="CI86">
        <v>1503.7159999999999</v>
      </c>
      <c r="CJ86">
        <v>1645.8530000000001</v>
      </c>
      <c r="CK86">
        <v>1626.3219999999999</v>
      </c>
      <c r="CL86" t="str">
        <f>""</f>
        <v/>
      </c>
      <c r="CM86" t="str">
        <f>""</f>
        <v/>
      </c>
      <c r="CN86" t="str">
        <f>""</f>
        <v/>
      </c>
      <c r="CO86" t="str">
        <f>""</f>
        <v/>
      </c>
      <c r="CP86" t="str">
        <f>""</f>
        <v/>
      </c>
      <c r="CQ86" t="str">
        <f>""</f>
        <v/>
      </c>
      <c r="CR86" t="str">
        <f>""</f>
        <v/>
      </c>
      <c r="CS86" t="str">
        <f>""</f>
        <v/>
      </c>
      <c r="CT86" t="str">
        <f>""</f>
        <v/>
      </c>
      <c r="CU86" t="str">
        <f>""</f>
        <v/>
      </c>
      <c r="CV86" t="str">
        <f>""</f>
        <v/>
      </c>
      <c r="CW86" t="str">
        <f>""</f>
        <v/>
      </c>
      <c r="CX86" t="str">
        <f>""</f>
        <v/>
      </c>
      <c r="CY86" t="str">
        <f>""</f>
        <v/>
      </c>
      <c r="CZ86" t="str">
        <f>""</f>
        <v/>
      </c>
      <c r="DA86" t="str">
        <f>""</f>
        <v/>
      </c>
      <c r="DB86" t="str">
        <f>""</f>
        <v/>
      </c>
      <c r="DC86" t="str">
        <f>""</f>
        <v/>
      </c>
      <c r="DD86" t="str">
        <f>""</f>
        <v/>
      </c>
      <c r="DE86" t="str">
        <f>""</f>
        <v/>
      </c>
      <c r="DF86" t="str">
        <f>""</f>
        <v/>
      </c>
      <c r="DG86" t="str">
        <f>""</f>
        <v/>
      </c>
      <c r="DH86" t="str">
        <f>""</f>
        <v/>
      </c>
      <c r="DI86" t="str">
        <f>""</f>
        <v/>
      </c>
      <c r="DJ86" t="str">
        <f>""</f>
        <v/>
      </c>
      <c r="DK86" t="str">
        <f>""</f>
        <v/>
      </c>
      <c r="DL86" t="str">
        <f>""</f>
        <v/>
      </c>
      <c r="DM86" t="str">
        <f>""</f>
        <v/>
      </c>
      <c r="DN86" t="str">
        <f>""</f>
        <v/>
      </c>
      <c r="DO86" t="str">
        <f>""</f>
        <v/>
      </c>
      <c r="DP86" t="str">
        <f>""</f>
        <v/>
      </c>
      <c r="DQ86" t="str">
        <f>""</f>
        <v/>
      </c>
      <c r="DR86" t="str">
        <f>""</f>
        <v/>
      </c>
      <c r="DS86" t="str">
        <f>""</f>
        <v/>
      </c>
      <c r="DT86" t="str">
        <f>""</f>
        <v/>
      </c>
      <c r="DU86" t="str">
        <f>""</f>
        <v/>
      </c>
      <c r="DV86" t="str">
        <f>""</f>
        <v/>
      </c>
      <c r="DW86" t="str">
        <f>""</f>
        <v/>
      </c>
      <c r="DX86" t="str">
        <f>""</f>
        <v/>
      </c>
      <c r="DY86" t="str">
        <f>""</f>
        <v/>
      </c>
      <c r="DZ86" t="str">
        <f>""</f>
        <v/>
      </c>
      <c r="EA86" t="str">
        <f>""</f>
        <v/>
      </c>
      <c r="EB86" t="str">
        <f>""</f>
        <v/>
      </c>
      <c r="EC86" t="str">
        <f>""</f>
        <v/>
      </c>
      <c r="ED86" t="str">
        <f>""</f>
        <v/>
      </c>
      <c r="EE86" t="str">
        <f>""</f>
        <v/>
      </c>
      <c r="EF86" t="str">
        <f>""</f>
        <v/>
      </c>
      <c r="EG86" t="str">
        <f>""</f>
        <v/>
      </c>
      <c r="EH86" t="str">
        <f>""</f>
        <v/>
      </c>
      <c r="EI86" t="str">
        <f>""</f>
        <v/>
      </c>
      <c r="EJ86" t="str">
        <f>""</f>
        <v/>
      </c>
      <c r="EK86" t="str">
        <f>""</f>
        <v/>
      </c>
      <c r="EL86" t="str">
        <f>""</f>
        <v/>
      </c>
      <c r="EM86" t="str">
        <f>""</f>
        <v/>
      </c>
      <c r="EN86" t="str">
        <f>""</f>
        <v/>
      </c>
      <c r="EO86" t="str">
        <f>""</f>
        <v/>
      </c>
      <c r="EP86" t="str">
        <f>""</f>
        <v/>
      </c>
      <c r="EQ86" t="str">
        <f>""</f>
        <v/>
      </c>
      <c r="ER86" t="str">
        <f>""</f>
        <v/>
      </c>
      <c r="ES86" t="str">
        <f>""</f>
        <v/>
      </c>
      <c r="ET86" t="str">
        <f>""</f>
        <v/>
      </c>
      <c r="EU86" t="str">
        <f>""</f>
        <v/>
      </c>
      <c r="EV86" t="str">
        <f>""</f>
        <v/>
      </c>
      <c r="EW86" t="str">
        <f>""</f>
        <v/>
      </c>
      <c r="EX86" t="str">
        <f>""</f>
        <v/>
      </c>
      <c r="EY86" t="str">
        <f>""</f>
        <v/>
      </c>
      <c r="EZ86" t="str">
        <f>""</f>
        <v/>
      </c>
      <c r="FA86" t="str">
        <f>""</f>
        <v/>
      </c>
      <c r="FB86" t="str">
        <f>""</f>
        <v/>
      </c>
      <c r="FC86" t="str">
        <f>""</f>
        <v/>
      </c>
      <c r="FD86" t="str">
        <f>""</f>
        <v/>
      </c>
      <c r="FE86" t="str">
        <f>""</f>
        <v/>
      </c>
      <c r="FF86" t="str">
        <f>""</f>
        <v/>
      </c>
      <c r="FG86" t="str">
        <f>""</f>
        <v/>
      </c>
      <c r="FH86" t="str">
        <f>""</f>
        <v/>
      </c>
      <c r="FI86" t="str">
        <f>""</f>
        <v/>
      </c>
      <c r="FJ86" t="str">
        <f>""</f>
        <v/>
      </c>
      <c r="FK86" t="str">
        <f>""</f>
        <v/>
      </c>
      <c r="FL86" t="str">
        <f>""</f>
        <v/>
      </c>
      <c r="FM86" t="str">
        <f>""</f>
        <v/>
      </c>
      <c r="FN86" t="str">
        <f>""</f>
        <v/>
      </c>
      <c r="FO86" t="str">
        <f>""</f>
        <v/>
      </c>
      <c r="FP86" t="str">
        <f>""</f>
        <v/>
      </c>
      <c r="FQ86" t="str">
        <f>""</f>
        <v/>
      </c>
    </row>
    <row r="87" spans="1:173" x14ac:dyDescent="0.25">
      <c r="A87" t="str">
        <f>$A$24</f>
        <v xml:space="preserve">        Loaded Container Imports (TEU)</v>
      </c>
      <c r="B87" t="str">
        <f>$B$24</f>
        <v>LALBLAIM Index</v>
      </c>
      <c r="C87" t="str">
        <f>$C$24</f>
        <v>PX385</v>
      </c>
      <c r="D87" t="str">
        <f>$D$24</f>
        <v>INTERVAL_SUM</v>
      </c>
      <c r="E87" t="str">
        <f>$E$24</f>
        <v>Dynamic</v>
      </c>
      <c r="F87" t="str">
        <f ca="1">_xll.BDP($B$24,$C$24,CONCATENATE("PX391=", $F$71), CONCATENATE("PX392=",$F$72), CONCATENATE("DS004=",$B$64), "Fill=B")</f>
        <v/>
      </c>
      <c r="G87" t="str">
        <f ca="1">_xll.BDP($B$24,$C$24,CONCATENATE("PX391=", $G$71), CONCATENATE("PX392=",$G$72), CONCATENATE("DS004=",$B$64), "Fill=B")</f>
        <v/>
      </c>
      <c r="H87">
        <f ca="1">_xll.BDP($B$24,$C$24,CONCATENATE("PX391=", $H$71), CONCATENATE("PX392=",$H$72), CONCATENATE("DS004=",$B$64), "Fill=B")</f>
        <v>392608</v>
      </c>
      <c r="I87">
        <f ca="1">_xll.BDP($B$24,$C$24,CONCATENATE("PX391=", $I$71), CONCATENATE("PX392=",$I$72), CONCATENATE("DS004=",$B$64), "Fill=B")</f>
        <v>433224</v>
      </c>
      <c r="J87">
        <f ca="1">_xll.BDP($B$24,$C$24,CONCATENATE("PX391=", $J$71), CONCATENATE("PX392=",$J$72), CONCATENATE("DS004=",$B$64), "Fill=B")</f>
        <v>364208</v>
      </c>
      <c r="K87">
        <f ca="1">_xll.BDP($B$24,$C$24,CONCATENATE("PX391=", $K$71), CONCATENATE("PX392=",$K$72), CONCATENATE("DS004=",$B$64), "Fill=B")</f>
        <v>435307</v>
      </c>
      <c r="L87">
        <f ca="1">_xll.BDP($B$24,$C$24,CONCATENATE("PX391=", $L$71), CONCATENATE("PX392=",$L$72), CONCATENATE("DS004=",$B$64), "Fill=B")</f>
        <v>409150</v>
      </c>
      <c r="M87">
        <f ca="1">_xll.BDP($B$24,$C$24,CONCATENATE("PX391=", $M$71), CONCATENATE("PX392=",$M$72), CONCATENATE("DS004=",$B$64), "Fill=B")</f>
        <v>343689</v>
      </c>
      <c r="N87">
        <f ca="1">_xll.BDP($B$24,$C$24,CONCATENATE("PX391=", $N$71), CONCATENATE("PX392=",$N$72), CONCATENATE("DS004=",$B$64), "Fill=B")</f>
        <v>319962</v>
      </c>
      <c r="O87">
        <f ca="1">_xll.BDP($B$24,$C$24,CONCATENATE("PX391=", $O$71), CONCATENATE("PX392=",$O$72), CONCATENATE("DS004=",$B$64), "Fill=B")</f>
        <v>249407</v>
      </c>
      <c r="P87">
        <f ca="1">_xll.BDP($B$24,$C$24,CONCATENATE("PX391=", $P$71), CONCATENATE("PX392=",$P$72), CONCATENATE("DS004=",$B$64), "Fill=B")</f>
        <v>372040</v>
      </c>
      <c r="Q87">
        <f ca="1">_xll.BDP($B$24,$C$24,CONCATENATE("PX391=", $Q$71), CONCATENATE("PX392=",$Q$72), CONCATENATE("DS004=",$B$64), "Fill=B")</f>
        <v>352046</v>
      </c>
      <c r="R87">
        <f ca="1">_xll.BDP($B$24,$C$24,CONCATENATE("PX391=", $R$71), CONCATENATE("PX392=",$R$72), CONCATENATE("DS004=",$B$64), "Fill=B")</f>
        <v>307080</v>
      </c>
      <c r="S87">
        <f ca="1">_xll.BDP($B$24,$C$24,CONCATENATE("PX391=", $S$71), CONCATENATE("PX392=",$S$72), CONCATENATE("DS004=",$B$64), "Fill=B")</f>
        <v>336307</v>
      </c>
      <c r="T87">
        <f ca="1">_xll.BDP($B$24,$C$24,CONCATENATE("PX391=", $T$71), CONCATENATE("PX392=",$T$72), CONCATENATE("DS004=",$B$64), "Fill=B")</f>
        <v>343462</v>
      </c>
      <c r="U87">
        <f ca="1">_xll.BDP($B$24,$C$24,CONCATENATE("PX391=", $U$71), CONCATENATE("PX392=",$U$72), CONCATENATE("DS004=",$B$64), "Fill=B")</f>
        <v>403602</v>
      </c>
      <c r="V87">
        <f ca="1">_xll.BDP($B$24,$C$24,CONCATENATE("PX391=", $V$71), CONCATENATE("PX392=",$V$72), CONCATENATE("DS004=",$B$64), "Fill=B")</f>
        <v>485452</v>
      </c>
      <c r="W87">
        <f ca="1">_xll.BDP($B$24,$C$24,CONCATENATE("PX391=", $W$71), CONCATENATE("PX392=",$W$72), CONCATENATE("DS004=",$B$64), "Fill=B")</f>
        <v>444680</v>
      </c>
      <c r="X87">
        <f ca="1">_xll.BDP($B$24,$C$24,CONCATENATE("PX391=", $X$71), CONCATENATE("PX392=",$X$72), CONCATENATE("DS004=",$B$64), "Fill=B")</f>
        <v>499960</v>
      </c>
      <c r="Y87">
        <f ca="1">_xll.BDP($B$24,$C$24,CONCATENATE("PX391=", $Y$71), CONCATENATE("PX392=",$Y$72), CONCATENATE("DS004=",$B$64), "Fill=B")</f>
        <v>456670</v>
      </c>
      <c r="Z87">
        <f ca="1">_xll.BDP($B$24,$C$24,CONCATENATE("PX391=", $Z$71), CONCATENATE("PX392=",$Z$72), CONCATENATE("DS004=",$B$64), "Fill=B")</f>
        <v>495196</v>
      </c>
      <c r="AA87">
        <f ca="1">_xll.BDP($B$24,$C$24,CONCATENATE("PX391=", $AA$71), CONCATENATE("PX392=",$AA$72), CONCATENATE("DS004=",$B$64), "Fill=B")</f>
        <v>424073</v>
      </c>
      <c r="AB87">
        <f ca="1">_xll.BDP($B$24,$C$24,CONCATENATE("PX391=", $AB$71), CONCATENATE("PX392=",$AB$72), CONCATENATE("DS004=",$B$64), "Fill=B")</f>
        <v>427208</v>
      </c>
      <c r="AC87">
        <f ca="1">_xll.BDP($B$24,$C$24,CONCATENATE("PX391=", $AC$71), CONCATENATE("PX392=",$AC$72), CONCATENATE("DS004=",$B$64), "Fill=B")</f>
        <v>385251</v>
      </c>
      <c r="AD87">
        <f ca="1">_xll.BDP($B$24,$C$24,CONCATENATE("PX391=", $AD$71), CONCATENATE("PX392=",$AD$72), CONCATENATE("DS004=",$B$64), "Fill=B")</f>
        <v>403444</v>
      </c>
      <c r="AE87">
        <f ca="1">_xll.BDP($B$24,$C$24,CONCATENATE("PX391=", $AE$71), CONCATENATE("PX392=",$AE$72), CONCATENATE("DS004=",$B$64), "Fill=B")</f>
        <v>467287</v>
      </c>
      <c r="AF87">
        <f ca="1">_xll.BDP($B$24,$C$24,CONCATENATE("PX391=", $AF$71), CONCATENATE("PX392=",$AF$72), CONCATENATE("DS004=",$B$64), "Fill=B")</f>
        <v>468059</v>
      </c>
      <c r="AG87">
        <f ca="1">_xll.BDP($B$24,$C$24,CONCATENATE("PX391=", $AG$71), CONCATENATE("PX392=",$AG$72), CONCATENATE("DS004=",$B$64), "Fill=B")</f>
        <v>485672</v>
      </c>
      <c r="AH87">
        <f ca="1">_xll.BDP($B$24,$C$24,CONCATENATE("PX391=", $AH$71), CONCATENATE("PX392=",$AH$72), CONCATENATE("DS004=",$B$64), "Fill=B")</f>
        <v>469361</v>
      </c>
      <c r="AI87">
        <f ca="1">_xll.BDP($B$24,$C$24,CONCATENATE("PX391=", $AI$71), CONCATENATE("PX392=",$AI$72), CONCATENATE("DS004=",$B$64), "Fill=B")</f>
        <v>467763</v>
      </c>
      <c r="AJ87">
        <f ca="1">_xll.BDP($B$24,$C$24,CONCATENATE("PX391=", $AJ$71), CONCATENATE("PX392=",$AJ$72), CONCATENATE("DS004=",$B$64), "Fill=B")</f>
        <v>535714</v>
      </c>
      <c r="AK87">
        <f ca="1">_xll.BDP($B$24,$C$24,CONCATENATE("PX391=", $AK$71), CONCATENATE("PX392=",$AK$72), CONCATENATE("DS004=",$B$64), "Fill=B")</f>
        <v>490127</v>
      </c>
      <c r="AL87">
        <f ca="1">_xll.BDP($B$24,$C$24,CONCATENATE("PX391=", $AL$71), CONCATENATE("PX392=",$AL$72), CONCATENATE("DS004=",$B$64), "Fill=B")</f>
        <v>490115</v>
      </c>
      <c r="AM87">
        <f ca="1">_xll.BDP($B$24,$C$24,CONCATENATE("PX391=", $AM$71), CONCATENATE("PX392=",$AM$72), CONCATENATE("DS004=",$B$64), "Fill=B")</f>
        <v>412884</v>
      </c>
      <c r="AN87">
        <f ca="1">_xll.BDP($B$24,$C$24,CONCATENATE("PX391=", $AN$71), CONCATENATE("PX392=",$AN$72), CONCATENATE("DS004=",$B$64), "Fill=B")</f>
        <v>437609</v>
      </c>
      <c r="AO87">
        <f ca="1">_xll.BDP($B$24,$C$24,CONCATENATE("PX391=", $AO$71), CONCATENATE("PX392=",$AO$72), CONCATENATE("DS004=",$B$64), "Fill=B")</f>
        <v>460865</v>
      </c>
      <c r="AP87">
        <f ca="1">_xll.BDP($B$24,$C$24,CONCATENATE("PX391=", $AP$71), CONCATENATE("PX392=",$AP$72), CONCATENATE("DS004=",$B$64), "Fill=B")</f>
        <v>464820</v>
      </c>
      <c r="AQ87">
        <f ca="1">_xll.BDP($B$24,$C$24,CONCATENATE("PX391=", $AQ$71), CONCATENATE("PX392=",$AQ$72), CONCATENATE("DS004=",$B$64), "Fill=B")</f>
        <v>506613</v>
      </c>
      <c r="AR87">
        <f ca="1">_xll.BDP($B$24,$C$24,CONCATENATE("PX391=", $AR$71), CONCATENATE("PX392=",$AR$72), CONCATENATE("DS004=",$B$64), "Fill=B")</f>
        <v>471795</v>
      </c>
      <c r="AS87">
        <f ca="1">_xll.BDP($B$24,$C$24,CONCATENATE("PX391=", $AS$71), CONCATENATE("PX392=",$AS$72), CONCATENATE("DS004=",$B$64), "Fill=B")</f>
        <v>516286</v>
      </c>
      <c r="AT87">
        <f ca="1">_xll.BDP($B$24,$C$24,CONCATENATE("PX391=", $AT$71), CONCATENATE("PX392=",$AT$72), CONCATENATE("DS004=",$B$64), "Fill=B")</f>
        <v>456029</v>
      </c>
      <c r="AU87">
        <f ca="1">_xll.BDP($B$24,$C$24,CONCATENATE("PX391=", $AU$71), CONCATENATE("PX392=",$AU$72), CONCATENATE("DS004=",$B$64), "Fill=B")</f>
        <v>369189</v>
      </c>
      <c r="AV87">
        <f ca="1">_xll.BDP($B$24,$C$24,CONCATENATE("PX391=", $AV$71), CONCATENATE("PX392=",$AV$72), CONCATENATE("DS004=",$B$64), "Fill=B")</f>
        <v>306323</v>
      </c>
      <c r="AW87">
        <f ca="1">_xll.BDP($B$24,$C$24,CONCATENATE("PX391=", $AW$71), CONCATENATE("PX392=",$AW$72), CONCATENATE("DS004=",$B$64), "Fill=B")</f>
        <v>370111</v>
      </c>
      <c r="AX87">
        <f ca="1">_xll.BDP($B$24,$C$24,CONCATENATE("PX391=", $AX$71), CONCATENATE("PX392=",$AX$72), CONCATENATE("DS004=",$B$64), "Fill=B")</f>
        <v>220255</v>
      </c>
      <c r="AY87">
        <f ca="1">_xll.BDP($B$24,$C$24,CONCATENATE("PX391=", $AY$71), CONCATENATE("PX392=",$AY$72), CONCATENATE("DS004=",$B$64), "Fill=B")</f>
        <v>270025</v>
      </c>
      <c r="AZ87">
        <f ca="1">_xll.BDP($B$24,$C$24,CONCATENATE("PX391=", $AZ$71), CONCATENATE("PX392=",$AZ$72), CONCATENATE("DS004=",$B$64), "Fill=B")</f>
        <v>414731</v>
      </c>
      <c r="BA87">
        <f ca="1">_xll.BDP($B$24,$C$24,CONCATENATE("PX391=", $BA$71), CONCATENATE("PX392=",$BA$72), CONCATENATE("DS004=",$B$64), "Fill=B")</f>
        <v>373511</v>
      </c>
      <c r="BB87">
        <f ca="1">_xll.BDP($B$24,$C$24,CONCATENATE("PX391=", $BB$71), CONCATENATE("PX392=",$BB$72), CONCATENATE("DS004=",$B$64), "Fill=B")</f>
        <v>371350</v>
      </c>
      <c r="BC87">
        <f ca="1">_xll.BDP($B$24,$C$24,CONCATENATE("PX391=", $BC$71), CONCATENATE("PX392=",$BC$72), CONCATENATE("DS004=",$B$64), "Fill=B")</f>
        <v>392769</v>
      </c>
      <c r="BD87">
        <f ca="1">_xll.BDP($B$24,$C$24,CONCATENATE("PX391=", $BD$71), CONCATENATE("PX392=",$BD$72), CONCATENATE("DS004=",$B$64), "Fill=B")</f>
        <v>402320</v>
      </c>
      <c r="BE87">
        <f ca="1">_xll.BDP($B$24,$C$24,CONCATENATE("PX391=", $BE$71), CONCATENATE("PX392=",$BE$72), CONCATENATE("DS004=",$B$64), "Fill=B")</f>
        <v>437613</v>
      </c>
      <c r="BF87">
        <f ca="1">_xll.BDP($B$24,$C$24,CONCATENATE("PX391=", $BF$71), CONCATENATE("PX392=",$BF$72), CONCATENATE("DS004=",$B$64), "Fill=B")</f>
        <v>476438</v>
      </c>
      <c r="BG87">
        <f ca="1">_xll.BDP($B$24,$C$24,CONCATENATE("PX391=", $BG$71), CONCATENATE("PX392=",$BG$72), CONCATENATE("DS004=",$B$64), "Fill=B")</f>
        <v>396307</v>
      </c>
      <c r="BH87">
        <f ca="1">_xll.BDP($B$24,$C$24,CONCATENATE("PX391=", $BH$71), CONCATENATE("PX392=",$BH$72), CONCATENATE("DS004=",$B$64), "Fill=B")</f>
        <v>427789</v>
      </c>
      <c r="BI87">
        <f ca="1">_xll.BDP($B$24,$C$24,CONCATENATE("PX391=", $BI$71), CONCATENATE("PX392=",$BI$72), CONCATENATE("DS004=",$B$64), "Fill=B")</f>
        <v>360745</v>
      </c>
      <c r="BJ87">
        <f ca="1">_xll.BDP($B$24,$C$24,CONCATENATE("PX391=", $BJ$71), CONCATENATE("PX392=",$BJ$72), CONCATENATE("DS004=",$B$64), "Fill=B")</f>
        <v>297187</v>
      </c>
      <c r="BK87">
        <f ca="1">_xll.BDP($B$24,$C$24,CONCATENATE("PX391=", $BK$71), CONCATENATE("PX392=",$BK$72), CONCATENATE("DS004=",$B$64), "Fill=B")</f>
        <v>348316</v>
      </c>
      <c r="BL87">
        <f ca="1">_xll.BDP($B$24,$C$24,CONCATENATE("PX391=", $BL$71), CONCATENATE("PX392=",$BL$72), CONCATENATE("DS004=",$B$64), "Fill=B")</f>
        <v>429923</v>
      </c>
      <c r="BM87">
        <f ca="1">_xll.BDP($B$24,$C$24,CONCATENATE("PX391=", $BM$71), CONCATENATE("PX392=",$BM$72), CONCATENATE("DS004=",$B$64), "Fill=B")</f>
        <v>468906</v>
      </c>
      <c r="BN87">
        <f ca="1">_xll.BDP($B$24,$C$24,CONCATENATE("PX391=", $BN$71), CONCATENATE("PX392=",$BN$72), CONCATENATE("DS004=",$B$64), "Fill=B")</f>
        <v>422793</v>
      </c>
      <c r="BO87">
        <f ca="1">_xll.BDP($B$24,$C$24,CONCATENATE("PX391=", $BO$71), CONCATENATE("PX392=",$BO$72), CONCATENATE("DS004=",$B$64), "Fill=B")</f>
        <v>485824</v>
      </c>
      <c r="BP87">
        <f ca="1">_xll.BDP($B$24,$C$24,CONCATENATE("PX391=", $BP$71), CONCATENATE("PX392=",$BP$72), CONCATENATE("DS004=",$B$64), "Fill=B")</f>
        <v>414282</v>
      </c>
      <c r="BQ87">
        <f ca="1">_xll.BDP($B$24,$C$24,CONCATENATE("PX391=", $BQ$71), CONCATENATE("PX392=",$BQ$72), CONCATENATE("DS004=",$B$64), "Fill=B")</f>
        <v>420573</v>
      </c>
      <c r="BR87">
        <f ca="1">_xll.BDP($B$24,$C$24,CONCATENATE("PX391=", $BR$71), CONCATENATE("PX392=",$BR$72), CONCATENATE("DS004=",$B$64), "Fill=B")</f>
        <v>438165</v>
      </c>
      <c r="BS87">
        <f ca="1">_xll.BDP($B$24,$C$24,CONCATENATE("PX391=", $BS$71), CONCATENATE("PX392=",$BS$72), CONCATENATE("DS004=",$B$64), "Fill=B")</f>
        <v>382964</v>
      </c>
      <c r="BT87">
        <f ca="1">_xll.BDP($B$24,$C$24,CONCATENATE("PX391=", $BT$71), CONCATENATE("PX392=",$BT$72), CONCATENATE("DS004=",$B$64), "Fill=B")</f>
        <v>405587</v>
      </c>
      <c r="BU87">
        <f ca="1">_xll.BDP($B$24,$C$24,CONCATENATE("PX391=", $BU$71), CONCATENATE("PX392=",$BU$72), CONCATENATE("DS004=",$B$64), "Fill=B")</f>
        <v>361108</v>
      </c>
      <c r="BV87">
        <f ca="1">_xll.BDP($B$24,$C$24,CONCATENATE("PX391=", $BV$71), CONCATENATE("PX392=",$BV$72), CONCATENATE("DS004=",$B$64), "Fill=B")</f>
        <v>264460</v>
      </c>
      <c r="BW87">
        <f ca="1">_xll.BDP($B$24,$C$24,CONCATENATE("PX391=", $BW$71), CONCATENATE("PX392=",$BW$72), CONCATENATE("DS004=",$B$64), "Fill=B")</f>
        <v>383090</v>
      </c>
      <c r="BX87">
        <f ca="1">_xll.BDP($B$24,$C$24,CONCATENATE("PX391=", $BX$71), CONCATENATE("PX392=",$BX$72), CONCATENATE("DS004=",$B$64), "Fill=B")</f>
        <v>422832</v>
      </c>
      <c r="BY87">
        <f ca="1">_xll.BDP($B$24,$C$24,CONCATENATE("PX391=", $BY$71), CONCATENATE("PX392=",$BY$72), CONCATENATE("DS004=",$B$64), "Fill=B")</f>
        <v>385492</v>
      </c>
      <c r="BZ87">
        <f ca="1">_xll.BDP($B$24,$C$24,CONCATENATE("PX391=", $BZ$71), CONCATENATE("PX392=",$BZ$72), CONCATENATE("DS004=",$B$64), "Fill=B")</f>
        <v>463691</v>
      </c>
      <c r="CA87">
        <f ca="1">_xll.BDP($B$24,$C$24,CONCATENATE("PX391=", $CA$71), CONCATENATE("PX392=",$CA$72), CONCATENATE("DS004=",$B$64), "Fill=B")</f>
        <v>383385</v>
      </c>
      <c r="CB87">
        <f ca="1">_xll.BDP($B$24,$C$24,CONCATENATE("PX391=", $CB$71), CONCATENATE("PX392=",$CB$72), CONCATENATE("DS004=",$B$64), "Fill=B")</f>
        <v>388670</v>
      </c>
      <c r="CC87">
        <f ca="1">_xll.BDP($B$24,$C$24,CONCATENATE("PX391=", $CC$71), CONCATENATE("PX392=",$CC$72), CONCATENATE("DS004=",$B$64), "Fill=B")</f>
        <v>432479</v>
      </c>
      <c r="CD87">
        <f ca="1">_xll.BDP($B$24,$C$24,CONCATENATE("PX391=", $CD$71), CONCATENATE("PX392=",$CD$72), CONCATENATE("DS004=",$B$64), "Fill=B")</f>
        <v>417091</v>
      </c>
      <c r="CE87">
        <f ca="1">_xll.BDP($B$24,$C$24,CONCATENATE("PX391=", $CE$71), CONCATENATE("PX392=",$CE$72), CONCATENATE("DS004=",$B$64), "Fill=B")</f>
        <v>372272</v>
      </c>
      <c r="CF87">
        <f ca="1">_xll.BDP($B$24,$C$24,CONCATENATE("PX391=", $CF$71), CONCATENATE("PX392=",$CF$72), CONCATENATE("DS004=",$B$64), "Fill=B")</f>
        <v>413021</v>
      </c>
      <c r="CG87">
        <f ca="1">_xll.BDP($B$24,$C$24,CONCATENATE("PX391=", $CG$71), CONCATENATE("PX392=",$CG$72), CONCATENATE("DS004=",$B$64), "Fill=B")</f>
        <v>372041</v>
      </c>
      <c r="CH87">
        <f ca="1">_xll.BDP($B$24,$C$24,CONCATENATE("PX391=", $CH$71), CONCATENATE("PX392=",$CH$72), CONCATENATE("DS004=",$B$64), "Fill=B")</f>
        <v>373549</v>
      </c>
      <c r="CI87">
        <f ca="1">_xll.BDP($B$24,$C$24,CONCATENATE("PX391=", $CI$71), CONCATENATE("PX392=",$CI$72), CONCATENATE("DS004=",$B$64), "Fill=B")</f>
        <v>298975</v>
      </c>
      <c r="CJ87">
        <f ca="1">_xll.BDP($B$24,$C$24,CONCATENATE("PX391=", $CJ$71), CONCATENATE("PX392=",$CJ$72), CONCATENATE("DS004=",$B$64), "Fill=B")</f>
        <v>415423</v>
      </c>
      <c r="CK87">
        <f ca="1">_xll.BDP($B$24,$C$24,CONCATENATE("PX391=", $CK$71), CONCATENATE("PX392=",$CK$72), CONCATENATE("DS004=",$B$64), "Fill=B")</f>
        <v>394218</v>
      </c>
      <c r="CL87" t="str">
        <f>""</f>
        <v/>
      </c>
      <c r="CM87" t="str">
        <f>""</f>
        <v/>
      </c>
      <c r="CN87" t="str">
        <f>""</f>
        <v/>
      </c>
      <c r="CO87" t="str">
        <f>""</f>
        <v/>
      </c>
      <c r="CP87" t="str">
        <f>""</f>
        <v/>
      </c>
      <c r="CQ87" t="str">
        <f>""</f>
        <v/>
      </c>
      <c r="CR87" t="str">
        <f>""</f>
        <v/>
      </c>
      <c r="CS87" t="str">
        <f>""</f>
        <v/>
      </c>
      <c r="CT87" t="str">
        <f>""</f>
        <v/>
      </c>
      <c r="CU87" t="str">
        <f>""</f>
        <v/>
      </c>
      <c r="CV87" t="str">
        <f>""</f>
        <v/>
      </c>
      <c r="CW87" t="str">
        <f>""</f>
        <v/>
      </c>
      <c r="CX87" t="str">
        <f>""</f>
        <v/>
      </c>
      <c r="CY87" t="str">
        <f>""</f>
        <v/>
      </c>
      <c r="CZ87" t="str">
        <f>""</f>
        <v/>
      </c>
      <c r="DA87" t="str">
        <f>""</f>
        <v/>
      </c>
      <c r="DB87" t="str">
        <f>""</f>
        <v/>
      </c>
      <c r="DC87" t="str">
        <f>""</f>
        <v/>
      </c>
      <c r="DD87" t="str">
        <f>""</f>
        <v/>
      </c>
      <c r="DE87" t="str">
        <f>""</f>
        <v/>
      </c>
      <c r="DF87" t="str">
        <f>""</f>
        <v/>
      </c>
      <c r="DG87" t="str">
        <f>""</f>
        <v/>
      </c>
      <c r="DH87" t="str">
        <f>""</f>
        <v/>
      </c>
      <c r="DI87" t="str">
        <f>""</f>
        <v/>
      </c>
      <c r="DJ87" t="str">
        <f>""</f>
        <v/>
      </c>
      <c r="DK87" t="str">
        <f>""</f>
        <v/>
      </c>
      <c r="DL87" t="str">
        <f>""</f>
        <v/>
      </c>
      <c r="DM87" t="str">
        <f>""</f>
        <v/>
      </c>
      <c r="DN87" t="str">
        <f>""</f>
        <v/>
      </c>
      <c r="DO87" t="str">
        <f>""</f>
        <v/>
      </c>
      <c r="DP87" t="str">
        <f>""</f>
        <v/>
      </c>
      <c r="DQ87" t="str">
        <f>""</f>
        <v/>
      </c>
      <c r="DR87" t="str">
        <f>""</f>
        <v/>
      </c>
      <c r="DS87" t="str">
        <f>""</f>
        <v/>
      </c>
      <c r="DT87" t="str">
        <f>""</f>
        <v/>
      </c>
      <c r="DU87" t="str">
        <f>""</f>
        <v/>
      </c>
      <c r="DV87" t="str">
        <f>""</f>
        <v/>
      </c>
      <c r="DW87" t="str">
        <f>""</f>
        <v/>
      </c>
      <c r="DX87" t="str">
        <f>""</f>
        <v/>
      </c>
      <c r="DY87" t="str">
        <f>""</f>
        <v/>
      </c>
      <c r="DZ87" t="str">
        <f>""</f>
        <v/>
      </c>
      <c r="EA87" t="str">
        <f>""</f>
        <v/>
      </c>
      <c r="EB87" t="str">
        <f>""</f>
        <v/>
      </c>
      <c r="EC87" t="str">
        <f>""</f>
        <v/>
      </c>
      <c r="ED87" t="str">
        <f>""</f>
        <v/>
      </c>
      <c r="EE87" t="str">
        <f>""</f>
        <v/>
      </c>
      <c r="EF87" t="str">
        <f>""</f>
        <v/>
      </c>
      <c r="EG87" t="str">
        <f>""</f>
        <v/>
      </c>
      <c r="EH87" t="str">
        <f>""</f>
        <v/>
      </c>
      <c r="EI87" t="str">
        <f>""</f>
        <v/>
      </c>
      <c r="EJ87" t="str">
        <f>""</f>
        <v/>
      </c>
      <c r="EK87" t="str">
        <f>""</f>
        <v/>
      </c>
      <c r="EL87" t="str">
        <f>""</f>
        <v/>
      </c>
      <c r="EM87" t="str">
        <f>""</f>
        <v/>
      </c>
      <c r="EN87" t="str">
        <f>""</f>
        <v/>
      </c>
      <c r="EO87" t="str">
        <f>""</f>
        <v/>
      </c>
      <c r="EP87" t="str">
        <f>""</f>
        <v/>
      </c>
      <c r="EQ87" t="str">
        <f>""</f>
        <v/>
      </c>
      <c r="ER87" t="str">
        <f>""</f>
        <v/>
      </c>
      <c r="ES87" t="str">
        <f>""</f>
        <v/>
      </c>
      <c r="ET87" t="str">
        <f>""</f>
        <v/>
      </c>
      <c r="EU87" t="str">
        <f>""</f>
        <v/>
      </c>
      <c r="EV87" t="str">
        <f>""</f>
        <v/>
      </c>
      <c r="EW87" t="str">
        <f>""</f>
        <v/>
      </c>
      <c r="EX87" t="str">
        <f>""</f>
        <v/>
      </c>
      <c r="EY87" t="str">
        <f>""</f>
        <v/>
      </c>
      <c r="EZ87" t="str">
        <f>""</f>
        <v/>
      </c>
      <c r="FA87" t="str">
        <f>""</f>
        <v/>
      </c>
      <c r="FB87" t="str">
        <f>""</f>
        <v/>
      </c>
      <c r="FC87" t="str">
        <f>""</f>
        <v/>
      </c>
      <c r="FD87" t="str">
        <f>""</f>
        <v/>
      </c>
      <c r="FE87" t="str">
        <f>""</f>
        <v/>
      </c>
      <c r="FF87" t="str">
        <f>""</f>
        <v/>
      </c>
      <c r="FG87" t="str">
        <f>""</f>
        <v/>
      </c>
      <c r="FH87" t="str">
        <f>""</f>
        <v/>
      </c>
      <c r="FI87" t="str">
        <f>""</f>
        <v/>
      </c>
      <c r="FJ87" t="str">
        <f>""</f>
        <v/>
      </c>
      <c r="FK87" t="str">
        <f>""</f>
        <v/>
      </c>
      <c r="FL87" t="str">
        <f>""</f>
        <v/>
      </c>
      <c r="FM87" t="str">
        <f>""</f>
        <v/>
      </c>
      <c r="FN87" t="str">
        <f>""</f>
        <v/>
      </c>
      <c r="FO87" t="str">
        <f>""</f>
        <v/>
      </c>
      <c r="FP87" t="str">
        <f>""</f>
        <v/>
      </c>
      <c r="FQ87" t="str">
        <f>""</f>
        <v/>
      </c>
    </row>
    <row r="88" spans="1:173" x14ac:dyDescent="0.25">
      <c r="A88" t="str">
        <f>$A$25</f>
        <v xml:space="preserve">        Loaded Container Exports (TEU)</v>
      </c>
      <c r="B88" t="str">
        <f>$B$25</f>
        <v>LALBLAEX Index</v>
      </c>
      <c r="C88" t="str">
        <f>$C$25</f>
        <v>PX385</v>
      </c>
      <c r="D88" t="str">
        <f>$D$25</f>
        <v>INTERVAL_SUM</v>
      </c>
      <c r="E88" t="str">
        <f>$E$25</f>
        <v>Dynamic</v>
      </c>
      <c r="F88" t="str">
        <f ca="1">_xll.BDP($B$25,$C$25,CONCATENATE("PX391=", $F$71), CONCATENATE("PX392=",$F$72), CONCATENATE("DS004=",$B$64), "Fill=B")</f>
        <v/>
      </c>
      <c r="G88" t="str">
        <f ca="1">_xll.BDP($B$25,$C$25,CONCATENATE("PX391=", $G$71), CONCATENATE("PX392=",$G$72), CONCATENATE("DS004=",$B$64), "Fill=B")</f>
        <v/>
      </c>
      <c r="H88">
        <f ca="1">_xll.BDP($B$25,$C$25,CONCATENATE("PX391=", $H$71), CONCATENATE("PX392=",$H$72), CONCATENATE("DS004=",$B$64), "Fill=B")</f>
        <v>120635</v>
      </c>
      <c r="I88">
        <f ca="1">_xll.BDP($B$25,$C$25,CONCATENATE("PX391=", $I$71), CONCATENATE("PX392=",$I$72), CONCATENATE("DS004=",$B$64), "Fill=B")</f>
        <v>124988</v>
      </c>
      <c r="J88">
        <f ca="1">_xll.BDP($B$25,$C$25,CONCATENATE("PX391=", $J$71), CONCATENATE("PX392=",$J$72), CONCATENATE("DS004=",$B$64), "Fill=B")</f>
        <v>110372</v>
      </c>
      <c r="K88">
        <f ca="1">_xll.BDP($B$25,$C$25,CONCATENATE("PX391=", $K$71), CONCATENATE("PX392=",$K$72), CONCATENATE("DS004=",$B$64), "Fill=B")</f>
        <v>108050</v>
      </c>
      <c r="L88">
        <f ca="1">_xll.BDP($B$25,$C$25,CONCATENATE("PX391=", $L$71), CONCATENATE("PX392=",$L$72), CONCATENATE("DS004=",$B$64), "Fill=B")</f>
        <v>101741</v>
      </c>
      <c r="M88">
        <f ca="1">_xll.BDP($B$25,$C$25,CONCATENATE("PX391=", $M$71), CONCATENATE("PX392=",$M$72), CONCATENATE("DS004=",$B$64), "Fill=B")</f>
        <v>88202</v>
      </c>
      <c r="N88">
        <f ca="1">_xll.BDP($B$25,$C$25,CONCATENATE("PX391=", $N$71), CONCATENATE("PX392=",$N$72), CONCATENATE("DS004=",$B$64), "Fill=B")</f>
        <v>98276</v>
      </c>
      <c r="O88">
        <f ca="1">_xll.BDP($B$25,$C$25,CONCATENATE("PX391=", $O$71), CONCATENATE("PX392=",$O$72), CONCATENATE("DS004=",$B$64), "Fill=B")</f>
        <v>82404</v>
      </c>
      <c r="P88">
        <f ca="1">_xll.BDP($B$25,$C$25,CONCATENATE("PX391=", $P$71), CONCATENATE("PX392=",$P$72), CONCATENATE("DS004=",$B$64), "Fill=B")</f>
        <v>102723</v>
      </c>
      <c r="Q88">
        <f ca="1">_xll.BDP($B$25,$C$25,CONCATENATE("PX391=", $Q$71), CONCATENATE("PX392=",$Q$72), CONCATENATE("DS004=",$B$64), "Fill=B")</f>
        <v>96518</v>
      </c>
      <c r="R88">
        <f ca="1">_xll.BDP($B$25,$C$25,CONCATENATE("PX391=", $R$71), CONCATENATE("PX392=",$R$72), CONCATENATE("DS004=",$B$64), "Fill=B")</f>
        <v>90116</v>
      </c>
      <c r="S88">
        <f ca="1">_xll.BDP($B$25,$C$25,CONCATENATE("PX391=", $S$71), CONCATENATE("PX392=",$S$72), CONCATENATE("DS004=",$B$64), "Fill=B")</f>
        <v>89722</v>
      </c>
      <c r="T88">
        <f ca="1">_xll.BDP($B$25,$C$25,CONCATENATE("PX391=", $T$71), CONCATENATE("PX392=",$T$72), CONCATENATE("DS004=",$B$64), "Fill=B")</f>
        <v>77680</v>
      </c>
      <c r="U88">
        <f ca="1">_xll.BDP($B$25,$C$25,CONCATENATE("PX391=", $U$71), CONCATENATE("PX392=",$U$72), CONCATENATE("DS004=",$B$64), "Fill=B")</f>
        <v>102319</v>
      </c>
      <c r="V88">
        <f ca="1">_xll.BDP($B$25,$C$25,CONCATENATE("PX391=", $V$71), CONCATENATE("PX392=",$V$72), CONCATENATE("DS004=",$B$64), "Fill=B")</f>
        <v>103899</v>
      </c>
      <c r="W88">
        <f ca="1">_xll.BDP($B$25,$C$25,CONCATENATE("PX391=", $W$71), CONCATENATE("PX392=",$W$72), CONCATENATE("DS004=",$B$64), "Fill=B")</f>
        <v>93890</v>
      </c>
      <c r="X88">
        <f ca="1">_xll.BDP($B$25,$C$25,CONCATENATE("PX391=", $X$71), CONCATENATE("PX392=",$X$72), CONCATENATE("DS004=",$B$64), "Fill=B")</f>
        <v>125656</v>
      </c>
      <c r="Y88">
        <f ca="1">_xll.BDP($B$25,$C$25,CONCATENATE("PX391=", $Y$71), CONCATENATE("PX392=",$Y$72), CONCATENATE("DS004=",$B$64), "Fill=B")</f>
        <v>99878</v>
      </c>
      <c r="Z88">
        <f ca="1">_xll.BDP($B$25,$C$25,CONCATENATE("PX391=", $Z$71), CONCATENATE("PX392=",$Z$72), CONCATENATE("DS004=",$B$64), "Fill=B")</f>
        <v>111781</v>
      </c>
      <c r="AA88">
        <f ca="1">_xll.BDP($B$25,$C$25,CONCATENATE("PX391=", $AA$71), CONCATENATE("PX392=",$AA$72), CONCATENATE("DS004=",$B$64), "Fill=B")</f>
        <v>95441</v>
      </c>
      <c r="AB88">
        <f ca="1">_xll.BDP($B$25,$C$25,CONCATENATE("PX391=", $AB$71), CONCATENATE("PX392=",$AB$72), CONCATENATE("DS004=",$B$64), "Fill=B")</f>
        <v>100185</v>
      </c>
      <c r="AC88">
        <f ca="1">_xll.BDP($B$25,$C$25,CONCATENATE("PX391=", $AC$71), CONCATENATE("PX392=",$AC$72), CONCATENATE("DS004=",$B$64), "Fill=B")</f>
        <v>70872</v>
      </c>
      <c r="AD88">
        <f ca="1">_xll.BDP($B$25,$C$25,CONCATENATE("PX391=", $AD$71), CONCATENATE("PX392=",$AD$72), CONCATENATE("DS004=",$B$64), "Fill=B")</f>
        <v>82741</v>
      </c>
      <c r="AE88">
        <f ca="1">_xll.BDP($B$25,$C$25,CONCATENATE("PX391=", $AE$71), CONCATENATE("PX392=",$AE$72), CONCATENATE("DS004=",$B$64), "Fill=B")</f>
        <v>98251</v>
      </c>
      <c r="AF88">
        <f ca="1">_xll.BDP($B$25,$C$25,CONCATENATE("PX391=", $AF$71), CONCATENATE("PX392=",$AF$72), CONCATENATE("DS004=",$B$64), "Fill=B")</f>
        <v>75714</v>
      </c>
      <c r="AG88">
        <f ca="1">_xll.BDP($B$25,$C$25,CONCATENATE("PX391=", $AG$71), CONCATENATE("PX392=",$AG$72), CONCATENATE("DS004=",$B$64), "Fill=B")</f>
        <v>101292</v>
      </c>
      <c r="AH88">
        <f ca="1">_xll.BDP($B$25,$C$25,CONCATENATE("PX391=", $AH$71), CONCATENATE("PX392=",$AH$72), CONCATENATE("DS004=",$B$64), "Fill=B")</f>
        <v>91440</v>
      </c>
      <c r="AI88">
        <f ca="1">_xll.BDP($B$25,$C$25,CONCATENATE("PX391=", $AI$71), CONCATENATE("PX392=",$AI$72), CONCATENATE("DS004=",$B$64), "Fill=B")</f>
        <v>96067</v>
      </c>
      <c r="AJ88">
        <f ca="1">_xll.BDP($B$25,$C$25,CONCATENATE("PX391=", $AJ$71), CONCATENATE("PX392=",$AJ$72), CONCATENATE("DS004=",$B$64), "Fill=B")</f>
        <v>109886</v>
      </c>
      <c r="AK88">
        <f ca="1">_xll.BDP($B$25,$C$25,CONCATENATE("PX391=", $AK$71), CONCATENATE("PX392=",$AK$72), CONCATENATE("DS004=",$B$64), "Fill=B")</f>
        <v>114449</v>
      </c>
      <c r="AL88">
        <f ca="1">_xll.BDP($B$25,$C$25,CONCATENATE("PX391=", $AL$71), CONCATENATE("PX392=",$AL$72), CONCATENATE("DS004=",$B$64), "Fill=B")</f>
        <v>122899</v>
      </c>
      <c r="AM88">
        <f ca="1">_xll.BDP($B$25,$C$25,CONCATENATE("PX391=", $AM$71), CONCATENATE("PX392=",$AM$72), CONCATENATE("DS004=",$B$64), "Fill=B")</f>
        <v>101208</v>
      </c>
      <c r="AN88">
        <f ca="1">_xll.BDP($B$25,$C$25,CONCATENATE("PX391=", $AN$71), CONCATENATE("PX392=",$AN$72), CONCATENATE("DS004=",$B$64), "Fill=B")</f>
        <v>119327</v>
      </c>
      <c r="AO88">
        <f ca="1">_xll.BDP($B$25,$C$25,CONCATENATE("PX391=", $AO$71), CONCATENATE("PX392=",$AO$72), CONCATENATE("DS004=",$B$64), "Fill=B")</f>
        <v>120265</v>
      </c>
      <c r="AP88">
        <f ca="1">_xll.BDP($B$25,$C$25,CONCATENATE("PX391=", $AP$71), CONCATENATE("PX392=",$AP$72), CONCATENATE("DS004=",$B$64), "Fill=B")</f>
        <v>130917</v>
      </c>
      <c r="AQ88">
        <f ca="1">_xll.BDP($B$25,$C$25,CONCATENATE("PX391=", $AQ$71), CONCATENATE("PX392=",$AQ$72), CONCATENATE("DS004=",$B$64), "Fill=B")</f>
        <v>143936</v>
      </c>
      <c r="AR88">
        <f ca="1">_xll.BDP($B$25,$C$25,CONCATENATE("PX391=", $AR$71), CONCATENATE("PX392=",$AR$72), CONCATENATE("DS004=",$B$64), "Fill=B")</f>
        <v>130397</v>
      </c>
      <c r="AS88">
        <f ca="1">_xll.BDP($B$25,$C$25,CONCATENATE("PX391=", $AS$71), CONCATENATE("PX392=",$AS$72), CONCATENATE("DS004=",$B$64), "Fill=B")</f>
        <v>131429</v>
      </c>
      <c r="AT88">
        <f ca="1">_xll.BDP($B$25,$C$25,CONCATENATE("PX391=", $AT$71), CONCATENATE("PX392=",$AT$72), CONCATENATE("DS004=",$B$64), "Fill=B")</f>
        <v>126354</v>
      </c>
      <c r="AU88">
        <f ca="1">_xll.BDP($B$25,$C$25,CONCATENATE("PX391=", $AU$71), CONCATENATE("PX392=",$AU$72), CONCATENATE("DS004=",$B$64), "Fill=B")</f>
        <v>109586</v>
      </c>
      <c r="AV88">
        <f ca="1">_xll.BDP($B$25,$C$25,CONCATENATE("PX391=", $AV$71), CONCATENATE("PX392=",$AV$72), CONCATENATE("DS004=",$B$64), "Fill=B")</f>
        <v>104382</v>
      </c>
      <c r="AW88">
        <f ca="1">_xll.BDP($B$25,$C$25,CONCATENATE("PX391=", $AW$71), CONCATENATE("PX392=",$AW$72), CONCATENATE("DS004=",$B$64), "Fill=B")</f>
        <v>130321</v>
      </c>
      <c r="AX88">
        <f ca="1">_xll.BDP($B$25,$C$25,CONCATENATE("PX391=", $AX$71), CONCATENATE("PX392=",$AX$72), CONCATENATE("DS004=",$B$64), "Fill=B")</f>
        <v>121146</v>
      </c>
      <c r="AY88">
        <f ca="1">_xll.BDP($B$25,$C$25,CONCATENATE("PX391=", $AY$71), CONCATENATE("PX392=",$AY$72), CONCATENATE("DS004=",$B$64), "Fill=B")</f>
        <v>134469</v>
      </c>
      <c r="AZ88">
        <f ca="1">_xll.BDP($B$25,$C$25,CONCATENATE("PX391=", $AZ$71), CONCATENATE("PX392=",$AZ$72), CONCATENATE("DS004=",$B$64), "Fill=B")</f>
        <v>148206</v>
      </c>
      <c r="BA88">
        <f ca="1">_xll.BDP($B$25,$C$25,CONCATENATE("PX391=", $BA$71), CONCATENATE("PX392=",$BA$72), CONCATENATE("DS004=",$B$64), "Fill=B")</f>
        <v>130229</v>
      </c>
      <c r="BB88">
        <f ca="1">_xll.BDP($B$25,$C$25,CONCATENATE("PX391=", $BB$71), CONCATENATE("PX392=",$BB$72), CONCATENATE("DS004=",$B$64), "Fill=B")</f>
        <v>138545</v>
      </c>
      <c r="BC88">
        <f ca="1">_xll.BDP($B$25,$C$25,CONCATENATE("PX391=", $BC$71), CONCATENATE("PX392=",$BC$72), CONCATENATE("DS004=",$B$64), "Fill=B")</f>
        <v>140332</v>
      </c>
      <c r="BD88">
        <f ca="1">_xll.BDP($B$25,$C$25,CONCATENATE("PX391=", $BD$71), CONCATENATE("PX392=",$BD$72), CONCATENATE("DS004=",$B$64), "Fill=B")</f>
        <v>130769</v>
      </c>
      <c r="BE88">
        <f ca="1">_xll.BDP($B$25,$C$25,CONCATENATE("PX391=", $BE$71), CONCATENATE("PX392=",$BE$72), CONCATENATE("DS004=",$B$64), "Fill=B")</f>
        <v>146284</v>
      </c>
      <c r="BF88">
        <f ca="1">_xll.BDP($B$25,$C$25,CONCATENATE("PX391=", $BF$71), CONCATENATE("PX392=",$BF$72), CONCATENATE("DS004=",$B$64), "Fill=B")</f>
        <v>161340</v>
      </c>
      <c r="BG88">
        <f ca="1">_xll.BDP($B$25,$C$25,CONCATENATE("PX391=", $BG$71), CONCATENATE("PX392=",$BG$72), CONCATENATE("DS004=",$B$64), "Fill=B")</f>
        <v>139318</v>
      </c>
      <c r="BH88">
        <f ca="1">_xll.BDP($B$25,$C$25,CONCATENATE("PX391=", $BH$71), CONCATENATE("PX392=",$BH$72), CONCATENATE("DS004=",$B$64), "Fill=B")</f>
        <v>167357</v>
      </c>
      <c r="BI88">
        <f ca="1">_xll.BDP($B$25,$C$25,CONCATENATE("PX391=", $BI$71), CONCATENATE("PX392=",$BI$72), CONCATENATE("DS004=",$B$64), "Fill=B")</f>
        <v>155533</v>
      </c>
      <c r="BJ88">
        <f ca="1">_xll.BDP($B$25,$C$25,CONCATENATE("PX391=", $BJ$71), CONCATENATE("PX392=",$BJ$72), CONCATENATE("DS004=",$B$64), "Fill=B")</f>
        <v>158924</v>
      </c>
      <c r="BK88">
        <f ca="1">_xll.BDP($B$25,$C$25,CONCATENATE("PX391=", $BK$71), CONCATENATE("PX392=",$BK$72), CONCATENATE("DS004=",$B$64), "Fill=B")</f>
        <v>142555</v>
      </c>
      <c r="BL88">
        <f ca="1">_xll.BDP($B$25,$C$25,CONCATENATE("PX391=", $BL$71), CONCATENATE("PX392=",$BL$72), CONCATENATE("DS004=",$B$64), "Fill=B")</f>
        <v>144993</v>
      </c>
      <c r="BM88">
        <f ca="1">_xll.BDP($B$25,$C$25,CONCATENATE("PX391=", $BM$71), CONCATENATE("PX392=",$BM$72), CONCATENATE("DS004=",$B$64), "Fill=B")</f>
        <v>147965</v>
      </c>
      <c r="BN88">
        <f ca="1">_xll.BDP($B$25,$C$25,CONCATENATE("PX391=", $BN$71), CONCATENATE("PX392=",$BN$72), CONCATENATE("DS004=",$B$64), "Fill=B")</f>
        <v>152527</v>
      </c>
      <c r="BO88">
        <f ca="1">_xll.BDP($B$25,$C$25,CONCATENATE("PX391=", $BO$71), CONCATENATE("PX392=",$BO$72), CONCATENATE("DS004=",$B$64), "Fill=B")</f>
        <v>173824</v>
      </c>
      <c r="BP88">
        <f ca="1">_xll.BDP($B$25,$C$25,CONCATENATE("PX391=", $BP$71), CONCATENATE("PX392=",$BP$72), CONCATENATE("DS004=",$B$64), "Fill=B")</f>
        <v>147000</v>
      </c>
      <c r="BQ88">
        <f ca="1">_xll.BDP($B$25,$C$25,CONCATENATE("PX391=", $BQ$71), CONCATENATE("PX392=",$BQ$72), CONCATENATE("DS004=",$B$64), "Fill=B")</f>
        <v>162466</v>
      </c>
      <c r="BR88">
        <f ca="1">_xll.BDP($B$25,$C$25,CONCATENATE("PX391=", $BR$71), CONCATENATE("PX392=",$BR$72), CONCATENATE("DS004=",$B$64), "Fill=B")</f>
        <v>167992</v>
      </c>
      <c r="BS88">
        <f ca="1">_xll.BDP($B$25,$C$25,CONCATENATE("PX391=", $BS$71), CONCATENATE("PX392=",$BS$72), CONCATENATE("DS004=",$B$64), "Fill=B")</f>
        <v>147563</v>
      </c>
      <c r="BT88">
        <f ca="1">_xll.BDP($B$25,$C$25,CONCATENATE("PX391=", $BT$71), CONCATENATE("PX392=",$BT$72), CONCATENATE("DS004=",$B$64), "Fill=B")</f>
        <v>168681</v>
      </c>
      <c r="BU88">
        <f ca="1">_xll.BDP($B$25,$C$25,CONCATENATE("PX391=", $BU$71), CONCATENATE("PX392=",$BU$72), CONCATENATE("DS004=",$B$64), "Fill=B")</f>
        <v>164704</v>
      </c>
      <c r="BV88">
        <f ca="1">_xll.BDP($B$25,$C$25,CONCATENATE("PX391=", $BV$71), CONCATENATE("PX392=",$BV$72), CONCATENATE("DS004=",$B$64), "Fill=B")</f>
        <v>163707</v>
      </c>
      <c r="BW88">
        <f ca="1">_xll.BDP($B$25,$C$25,CONCATENATE("PX391=", $BW$71), CONCATENATE("PX392=",$BW$72), CONCATENATE("DS004=",$B$64), "Fill=B")</f>
        <v>157591</v>
      </c>
      <c r="BX88">
        <f ca="1">_xll.BDP($B$25,$C$25,CONCATENATE("PX391=", $BX$71), CONCATENATE("PX392=",$BX$72), CONCATENATE("DS004=",$B$64), "Fill=B")</f>
        <v>150035</v>
      </c>
      <c r="BY88">
        <f ca="1">_xll.BDP($B$25,$C$25,CONCATENATE("PX391=", $BY$71), CONCATENATE("PX392=",$BY$72), CONCATENATE("DS004=",$B$64), "Fill=B")</f>
        <v>152866</v>
      </c>
      <c r="BZ88">
        <f ca="1">_xll.BDP($B$25,$C$25,CONCATENATE("PX391=", $BZ$71), CONCATENATE("PX392=",$BZ$72), CONCATENATE("DS004=",$B$64), "Fill=B")</f>
        <v>177913</v>
      </c>
      <c r="CA88">
        <f ca="1">_xll.BDP($B$25,$C$25,CONCATENATE("PX391=", $CA$71), CONCATENATE("PX392=",$CA$72), CONCATENATE("DS004=",$B$64), "Fill=B")</f>
        <v>144210</v>
      </c>
      <c r="CB88">
        <f ca="1">_xll.BDP($B$25,$C$25,CONCATENATE("PX391=", $CB$71), CONCATENATE("PX392=",$CB$72), CONCATENATE("DS004=",$B$64), "Fill=B")</f>
        <v>128446</v>
      </c>
      <c r="CC88">
        <f ca="1">_xll.BDP($B$25,$C$25,CONCATENATE("PX391=", $CC$71), CONCATENATE("PX392=",$CC$72), CONCATENATE("DS004=",$B$64), "Fill=B")</f>
        <v>159197</v>
      </c>
      <c r="CD88">
        <f ca="1">_xll.BDP($B$25,$C$25,CONCATENATE("PX391=", $CD$71), CONCATENATE("PX392=",$CD$72), CONCATENATE("DS004=",$B$64), "Fill=B")</f>
        <v>154926</v>
      </c>
      <c r="CE88">
        <f ca="1">_xll.BDP($B$25,$C$25,CONCATENATE("PX391=", $CE$71), CONCATENATE("PX392=",$CE$72), CONCATENATE("DS004=",$B$64), "Fill=B")</f>
        <v>145528</v>
      </c>
      <c r="CF88">
        <f ca="1">_xll.BDP($B$25,$C$25,CONCATENATE("PX391=", $CF$71), CONCATENATE("PX392=",$CF$72), CONCATENATE("DS004=",$B$64), "Fill=B")</f>
        <v>169639</v>
      </c>
      <c r="CG88">
        <f ca="1">_xll.BDP($B$25,$C$25,CONCATENATE("PX391=", $CG$71), CONCATENATE("PX392=",$CG$72), CONCATENATE("DS004=",$B$64), "Fill=B")</f>
        <v>157662</v>
      </c>
      <c r="CH88">
        <f ca="1">_xll.BDP($B$25,$C$25,CONCATENATE("PX391=", $CH$71), CONCATENATE("PX392=",$CH$72), CONCATENATE("DS004=",$B$64), "Fill=B")</f>
        <v>191772</v>
      </c>
      <c r="CI88">
        <f ca="1">_xll.BDP($B$25,$C$25,CONCATENATE("PX391=", $CI$71), CONCATENATE("PX392=",$CI$72), CONCATENATE("DS004=",$B$64), "Fill=B")</f>
        <v>155358</v>
      </c>
      <c r="CJ88">
        <f ca="1">_xll.BDP($B$25,$C$25,CONCATENATE("PX391=", $CJ$71), CONCATENATE("PX392=",$CJ$72), CONCATENATE("DS004=",$B$64), "Fill=B")</f>
        <v>162420</v>
      </c>
      <c r="CK88">
        <f ca="1">_xll.BDP($B$25,$C$25,CONCATENATE("PX391=", $CK$71), CONCATENATE("PX392=",$CK$72), CONCATENATE("DS004=",$B$64), "Fill=B")</f>
        <v>164901</v>
      </c>
      <c r="CL88" t="str">
        <f>""</f>
        <v/>
      </c>
      <c r="CM88" t="str">
        <f>""</f>
        <v/>
      </c>
      <c r="CN88" t="str">
        <f>""</f>
        <v/>
      </c>
      <c r="CO88" t="str">
        <f>""</f>
        <v/>
      </c>
      <c r="CP88" t="str">
        <f>""</f>
        <v/>
      </c>
      <c r="CQ88" t="str">
        <f>""</f>
        <v/>
      </c>
      <c r="CR88" t="str">
        <f>""</f>
        <v/>
      </c>
      <c r="CS88" t="str">
        <f>""</f>
        <v/>
      </c>
      <c r="CT88" t="str">
        <f>""</f>
        <v/>
      </c>
      <c r="CU88" t="str">
        <f>""</f>
        <v/>
      </c>
      <c r="CV88" t="str">
        <f>""</f>
        <v/>
      </c>
      <c r="CW88" t="str">
        <f>""</f>
        <v/>
      </c>
      <c r="CX88" t="str">
        <f>""</f>
        <v/>
      </c>
      <c r="CY88" t="str">
        <f>""</f>
        <v/>
      </c>
      <c r="CZ88" t="str">
        <f>""</f>
        <v/>
      </c>
      <c r="DA88" t="str">
        <f>""</f>
        <v/>
      </c>
      <c r="DB88" t="str">
        <f>""</f>
        <v/>
      </c>
      <c r="DC88" t="str">
        <f>""</f>
        <v/>
      </c>
      <c r="DD88" t="str">
        <f>""</f>
        <v/>
      </c>
      <c r="DE88" t="str">
        <f>""</f>
        <v/>
      </c>
      <c r="DF88" t="str">
        <f>""</f>
        <v/>
      </c>
      <c r="DG88" t="str">
        <f>""</f>
        <v/>
      </c>
      <c r="DH88" t="str">
        <f>""</f>
        <v/>
      </c>
      <c r="DI88" t="str">
        <f>""</f>
        <v/>
      </c>
      <c r="DJ88" t="str">
        <f>""</f>
        <v/>
      </c>
      <c r="DK88" t="str">
        <f>""</f>
        <v/>
      </c>
      <c r="DL88" t="str">
        <f>""</f>
        <v/>
      </c>
      <c r="DM88" t="str">
        <f>""</f>
        <v/>
      </c>
      <c r="DN88" t="str">
        <f>""</f>
        <v/>
      </c>
      <c r="DO88" t="str">
        <f>""</f>
        <v/>
      </c>
      <c r="DP88" t="str">
        <f>""</f>
        <v/>
      </c>
      <c r="DQ88" t="str">
        <f>""</f>
        <v/>
      </c>
      <c r="DR88" t="str">
        <f>""</f>
        <v/>
      </c>
      <c r="DS88" t="str">
        <f>""</f>
        <v/>
      </c>
      <c r="DT88" t="str">
        <f>""</f>
        <v/>
      </c>
      <c r="DU88" t="str">
        <f>""</f>
        <v/>
      </c>
      <c r="DV88" t="str">
        <f>""</f>
        <v/>
      </c>
      <c r="DW88" t="str">
        <f>""</f>
        <v/>
      </c>
      <c r="DX88" t="str">
        <f>""</f>
        <v/>
      </c>
      <c r="DY88" t="str">
        <f>""</f>
        <v/>
      </c>
      <c r="DZ88" t="str">
        <f>""</f>
        <v/>
      </c>
      <c r="EA88" t="str">
        <f>""</f>
        <v/>
      </c>
      <c r="EB88" t="str">
        <f>""</f>
        <v/>
      </c>
      <c r="EC88" t="str">
        <f>""</f>
        <v/>
      </c>
      <c r="ED88" t="str">
        <f>""</f>
        <v/>
      </c>
      <c r="EE88" t="str">
        <f>""</f>
        <v/>
      </c>
      <c r="EF88" t="str">
        <f>""</f>
        <v/>
      </c>
      <c r="EG88" t="str">
        <f>""</f>
        <v/>
      </c>
      <c r="EH88" t="str">
        <f>""</f>
        <v/>
      </c>
      <c r="EI88" t="str">
        <f>""</f>
        <v/>
      </c>
      <c r="EJ88" t="str">
        <f>""</f>
        <v/>
      </c>
      <c r="EK88" t="str">
        <f>""</f>
        <v/>
      </c>
      <c r="EL88" t="str">
        <f>""</f>
        <v/>
      </c>
      <c r="EM88" t="str">
        <f>""</f>
        <v/>
      </c>
      <c r="EN88" t="str">
        <f>""</f>
        <v/>
      </c>
      <c r="EO88" t="str">
        <f>""</f>
        <v/>
      </c>
      <c r="EP88" t="str">
        <f>""</f>
        <v/>
      </c>
      <c r="EQ88" t="str">
        <f>""</f>
        <v/>
      </c>
      <c r="ER88" t="str">
        <f>""</f>
        <v/>
      </c>
      <c r="ES88" t="str">
        <f>""</f>
        <v/>
      </c>
      <c r="ET88" t="str">
        <f>""</f>
        <v/>
      </c>
      <c r="EU88" t="str">
        <f>""</f>
        <v/>
      </c>
      <c r="EV88" t="str">
        <f>""</f>
        <v/>
      </c>
      <c r="EW88" t="str">
        <f>""</f>
        <v/>
      </c>
      <c r="EX88" t="str">
        <f>""</f>
        <v/>
      </c>
      <c r="EY88" t="str">
        <f>""</f>
        <v/>
      </c>
      <c r="EZ88" t="str">
        <f>""</f>
        <v/>
      </c>
      <c r="FA88" t="str">
        <f>""</f>
        <v/>
      </c>
      <c r="FB88" t="str">
        <f>""</f>
        <v/>
      </c>
      <c r="FC88" t="str">
        <f>""</f>
        <v/>
      </c>
      <c r="FD88" t="str">
        <f>""</f>
        <v/>
      </c>
      <c r="FE88" t="str">
        <f>""</f>
        <v/>
      </c>
      <c r="FF88" t="str">
        <f>""</f>
        <v/>
      </c>
      <c r="FG88" t="str">
        <f>""</f>
        <v/>
      </c>
      <c r="FH88" t="str">
        <f>""</f>
        <v/>
      </c>
      <c r="FI88" t="str">
        <f>""</f>
        <v/>
      </c>
      <c r="FJ88" t="str">
        <f>""</f>
        <v/>
      </c>
      <c r="FK88" t="str">
        <f>""</f>
        <v/>
      </c>
      <c r="FL88" t="str">
        <f>""</f>
        <v/>
      </c>
      <c r="FM88" t="str">
        <f>""</f>
        <v/>
      </c>
      <c r="FN88" t="str">
        <f>""</f>
        <v/>
      </c>
      <c r="FO88" t="str">
        <f>""</f>
        <v/>
      </c>
      <c r="FP88" t="str">
        <f>""</f>
        <v/>
      </c>
      <c r="FQ88" t="str">
        <f>""</f>
        <v/>
      </c>
    </row>
    <row r="89" spans="1:173" x14ac:dyDescent="0.25">
      <c r="A89" t="str">
        <f>$A$26</f>
        <v xml:space="preserve">        Empty Containers (TEU)</v>
      </c>
      <c r="B89" t="str">
        <f>$B$26</f>
        <v>LALBLAEM Index</v>
      </c>
      <c r="C89" t="str">
        <f>$C$26</f>
        <v>PX385</v>
      </c>
      <c r="D89" t="str">
        <f>$D$26</f>
        <v>INTERVAL_SUM</v>
      </c>
      <c r="E89" t="str">
        <f>$E$26</f>
        <v>Dynamic</v>
      </c>
      <c r="F89" t="str">
        <f ca="1">_xll.BDP($B$26,$C$26,CONCATENATE("PX391=", $F$71), CONCATENATE("PX392=",$F$72), CONCATENATE("DS004=",$B$64), "Fill=B")</f>
        <v/>
      </c>
      <c r="G89" t="str">
        <f ca="1">_xll.BDP($B$26,$C$26,CONCATENATE("PX391=", $G$71), CONCATENATE("PX392=",$G$72), CONCATENATE("DS004=",$B$64), "Fill=B")</f>
        <v/>
      </c>
      <c r="H89">
        <f ca="1">_xll.BDP($B$26,$C$26,CONCATENATE("PX391=", $H$71), CONCATENATE("PX392=",$H$72), CONCATENATE("DS004=",$B$64), "Fill=B")</f>
        <v>235197</v>
      </c>
      <c r="I89">
        <f ca="1">_xll.BDP($B$26,$C$26,CONCATENATE("PX391=", $I$71), CONCATENATE("PX392=",$I$72), CONCATENATE("DS004=",$B$64), "Fill=B")</f>
        <v>269804</v>
      </c>
      <c r="J89">
        <f ca="1">_xll.BDP($B$26,$C$26,CONCATENATE("PX391=", $J$71), CONCATENATE("PX392=",$J$72), CONCATENATE("DS004=",$B$64), "Fill=B")</f>
        <v>209710</v>
      </c>
      <c r="K89">
        <f ca="1">_xll.BDP($B$26,$C$26,CONCATENATE("PX391=", $K$71), CONCATENATE("PX392=",$K$72), CONCATENATE("DS004=",$B$64), "Fill=B")</f>
        <v>289679</v>
      </c>
      <c r="L89">
        <f ca="1">_xll.BDP($B$26,$C$26,CONCATENATE("PX391=", $L$71), CONCATENATE("PX392=",$L$72), CONCATENATE("DS004=",$B$64), "Fill=B")</f>
        <v>268249</v>
      </c>
      <c r="M89">
        <f ca="1">_xll.BDP($B$26,$C$26,CONCATENATE("PX391=", $M$71), CONCATENATE("PX392=",$M$72), CONCATENATE("DS004=",$B$64), "Fill=B")</f>
        <v>256220</v>
      </c>
      <c r="N89">
        <f ca="1">_xll.BDP($B$26,$C$26,CONCATENATE("PX391=", $N$71), CONCATENATE("PX392=",$N$72), CONCATENATE("DS004=",$B$64), "Fill=B")</f>
        <v>204996</v>
      </c>
      <c r="O89">
        <f ca="1">_xll.BDP($B$26,$C$26,CONCATENATE("PX391=", $O$71), CONCATENATE("PX392=",$O$72), CONCATENATE("DS004=",$B$64), "Fill=B")</f>
        <v>156035</v>
      </c>
      <c r="P89">
        <f ca="1">_xll.BDP($B$26,$C$26,CONCATENATE("PX391=", $P$71), CONCATENATE("PX392=",$P$72), CONCATENATE("DS004=",$B$64), "Fill=B")</f>
        <v>251251</v>
      </c>
      <c r="Q89">
        <f ca="1">_xll.BDP($B$26,$C$26,CONCATENATE("PX391=", $Q$71), CONCATENATE("PX392=",$Q$72), CONCATENATE("DS004=",$B$64), "Fill=B")</f>
        <v>280307</v>
      </c>
      <c r="R89">
        <f ca="1">_xll.BDP($B$26,$C$26,CONCATENATE("PX391=", $R$71), CONCATENATE("PX392=",$R$72), CONCATENATE("DS004=",$B$64), "Fill=B")</f>
        <v>242148</v>
      </c>
      <c r="S89">
        <f ca="1">_xll.BDP($B$26,$C$26,CONCATENATE("PX391=", $S$71), CONCATENATE("PX392=",$S$72), CONCATENATE("DS004=",$B$64), "Fill=B")</f>
        <v>252401</v>
      </c>
      <c r="T89">
        <f ca="1">_xll.BDP($B$26,$C$26,CONCATENATE("PX391=", $T$71), CONCATENATE("PX392=",$T$72), CONCATENATE("DS004=",$B$64), "Fill=B")</f>
        <v>288731</v>
      </c>
      <c r="U89">
        <f ca="1">_xll.BDP($B$26,$C$26,CONCATENATE("PX391=", $U$71), CONCATENATE("PX392=",$U$72), CONCATENATE("DS004=",$B$64), "Fill=B")</f>
        <v>299394</v>
      </c>
      <c r="V89">
        <f ca="1">_xll.BDP($B$26,$C$26,CONCATENATE("PX391=", $V$71), CONCATENATE("PX392=",$V$72), CONCATENATE("DS004=",$B$64), "Fill=B")</f>
        <v>346073</v>
      </c>
      <c r="W89">
        <f ca="1">_xll.BDP($B$26,$C$26,CONCATENATE("PX391=", $W$71), CONCATENATE("PX392=",$W$72), CONCATENATE("DS004=",$B$64), "Fill=B")</f>
        <v>338041</v>
      </c>
      <c r="X89">
        <f ca="1">_xll.BDP($B$26,$C$26,CONCATENATE("PX391=", $X$71), CONCATENATE("PX392=",$X$72), CONCATENATE("DS004=",$B$64), "Fill=B")</f>
        <v>342285</v>
      </c>
      <c r="Y89">
        <f ca="1">_xll.BDP($B$26,$C$26,CONCATENATE("PX391=", $Y$71), CONCATENATE("PX392=",$Y$72), CONCATENATE("DS004=",$B$64), "Fill=B")</f>
        <v>330810</v>
      </c>
      <c r="Z89">
        <f ca="1">_xll.BDP($B$26,$C$26,CONCATENATE("PX391=", $Z$71), CONCATENATE("PX392=",$Z$72), CONCATENATE("DS004=",$B$64), "Fill=B")</f>
        <v>351697</v>
      </c>
      <c r="AA89">
        <f ca="1">_xll.BDP($B$26,$C$26,CONCATENATE("PX391=", $AA$71), CONCATENATE("PX392=",$AA$72), CONCATENATE("DS004=",$B$64), "Fill=B")</f>
        <v>338251</v>
      </c>
      <c r="AB89">
        <f ca="1">_xll.BDP($B$26,$C$26,CONCATENATE("PX391=", $AB$71), CONCATENATE("PX392=",$AB$72), CONCATENATE("DS004=",$B$64), "Fill=B")</f>
        <v>338202</v>
      </c>
      <c r="AC89">
        <f ca="1">_xll.BDP($B$26,$C$26,CONCATENATE("PX391=", $AC$71), CONCATENATE("PX392=",$AC$72), CONCATENATE("DS004=",$B$64), "Fill=B")</f>
        <v>330466</v>
      </c>
      <c r="AD89">
        <f ca="1">_xll.BDP($B$26,$C$26,CONCATENATE("PX391=", $AD$71), CONCATENATE("PX392=",$AD$72), CONCATENATE("DS004=",$B$64), "Fill=B")</f>
        <v>325275</v>
      </c>
      <c r="AE89">
        <f ca="1">_xll.BDP($B$26,$C$26,CONCATENATE("PX391=", $AE$71), CONCATENATE("PX392=",$AE$72), CONCATENATE("DS004=",$B$64), "Fill=B")</f>
        <v>337106</v>
      </c>
      <c r="AF89">
        <f ca="1">_xll.BDP($B$26,$C$26,CONCATENATE("PX391=", $AF$71), CONCATENATE("PX392=",$AF$72), CONCATENATE("DS004=",$B$64), "Fill=B")</f>
        <v>360092</v>
      </c>
      <c r="AG89">
        <f ca="1">_xll.BDP($B$26,$C$26,CONCATENATE("PX391=", $AG$71), CONCATENATE("PX392=",$AG$72), CONCATENATE("DS004=",$B$64), "Fill=B")</f>
        <v>367413</v>
      </c>
      <c r="AH89">
        <f ca="1">_xll.BDP($B$26,$C$26,CONCATENATE("PX391=", $AH$71), CONCATENATE("PX392=",$AH$72), CONCATENATE("DS004=",$B$64), "Fill=B")</f>
        <v>329999</v>
      </c>
      <c r="AI89">
        <f ca="1">_xll.BDP($B$26,$C$26,CONCATENATE("PX391=", $AI$71), CONCATENATE("PX392=",$AI$72), CONCATENATE("DS004=",$B$64), "Fill=B")</f>
        <v>312600</v>
      </c>
      <c r="AJ89">
        <f ca="1">_xll.BDP($B$26,$C$26,CONCATENATE("PX391=", $AJ$71), CONCATENATE("PX392=",$AJ$72), CONCATENATE("DS004=",$B$64), "Fill=B")</f>
        <v>366448</v>
      </c>
      <c r="AK89">
        <f ca="1">_xll.BDP($B$26,$C$26,CONCATENATE("PX391=", $AK$71), CONCATENATE("PX392=",$AK$72), CONCATENATE("DS004=",$B$64), "Fill=B")</f>
        <v>342391</v>
      </c>
      <c r="AL89">
        <f ca="1">_xll.BDP($B$26,$C$26,CONCATENATE("PX391=", $AL$71), CONCATENATE("PX392=",$AL$72), CONCATENATE("DS004=",$B$64), "Fill=B")</f>
        <v>344585</v>
      </c>
      <c r="AM89">
        <f ca="1">_xll.BDP($B$26,$C$26,CONCATENATE("PX391=", $AM$71), CONCATENATE("PX392=",$AM$72), CONCATENATE("DS004=",$B$64), "Fill=B")</f>
        <v>285223</v>
      </c>
      <c r="AN89">
        <f ca="1">_xll.BDP($B$26,$C$26,CONCATENATE("PX391=", $AN$71), CONCATENATE("PX392=",$AN$72), CONCATENATE("DS004=",$B$64), "Fill=B")</f>
        <v>278580</v>
      </c>
      <c r="AO89">
        <f ca="1">_xll.BDP($B$26,$C$26,CONCATENATE("PX391=", $AO$71), CONCATENATE("PX392=",$AO$72), CONCATENATE("DS004=",$B$64), "Fill=B")</f>
        <v>298056</v>
      </c>
      <c r="AP89">
        <f ca="1">_xll.BDP($B$26,$C$26,CONCATENATE("PX391=", $AP$71), CONCATENATE("PX392=",$AP$72), CONCATENATE("DS004=",$B$64), "Fill=B")</f>
        <v>294010</v>
      </c>
      <c r="AQ89">
        <f ca="1">_xll.BDP($B$26,$C$26,CONCATENATE("PX391=", $AQ$71), CONCATENATE("PX392=",$AQ$72), CONCATENATE("DS004=",$B$64), "Fill=B")</f>
        <v>330180</v>
      </c>
      <c r="AR89">
        <f ca="1">_xll.BDP($B$26,$C$26,CONCATENATE("PX391=", $AR$71), CONCATENATE("PX392=",$AR$72), CONCATENATE("DS004=",$B$64), "Fill=B")</f>
        <v>281434</v>
      </c>
      <c r="AS89">
        <f ca="1">_xll.BDP($B$26,$C$26,CONCATENATE("PX391=", $AS$71), CONCATENATE("PX392=",$AS$72), CONCATENATE("DS004=",$B$64), "Fill=B")</f>
        <v>314118</v>
      </c>
      <c r="AT89">
        <f ca="1">_xll.BDP($B$26,$C$26,CONCATENATE("PX391=", $AT$71), CONCATENATE("PX392=",$AT$72), CONCATENATE("DS004=",$B$64), "Fill=B")</f>
        <v>274007</v>
      </c>
      <c r="AU89">
        <f ca="1">_xll.BDP($B$26,$C$26,CONCATENATE("PX391=", $AU$71), CONCATENATE("PX392=",$AU$72), CONCATENATE("DS004=",$B$64), "Fill=B")</f>
        <v>212701</v>
      </c>
      <c r="AV89">
        <f ca="1">_xll.BDP($B$26,$C$26,CONCATENATE("PX391=", $AV$71), CONCATENATE("PX392=",$AV$72), CONCATENATE("DS004=",$B$64), "Fill=B")</f>
        <v>170960</v>
      </c>
      <c r="AW89">
        <f ca="1">_xll.BDP($B$26,$C$26,CONCATENATE("PX391=", $AW$71), CONCATENATE("PX392=",$AW$72), CONCATENATE("DS004=",$B$64), "Fill=B")</f>
        <v>188567</v>
      </c>
      <c r="AX89">
        <f ca="1">_xll.BDP($B$26,$C$26,CONCATENATE("PX391=", $AX$71), CONCATENATE("PX392=",$AX$72), CONCATENATE("DS004=",$B$64), "Fill=B")</f>
        <v>108168</v>
      </c>
      <c r="AY89">
        <f ca="1">_xll.BDP($B$26,$C$26,CONCATENATE("PX391=", $AY$71), CONCATENATE("PX392=",$AY$72), CONCATENATE("DS004=",$B$64), "Fill=B")</f>
        <v>139544</v>
      </c>
      <c r="AZ89">
        <f ca="1">_xll.BDP($B$26,$C$26,CONCATENATE("PX391=", $AZ$71), CONCATENATE("PX392=",$AZ$72), CONCATENATE("DS004=",$B$64), "Fill=B")</f>
        <v>243207</v>
      </c>
      <c r="BA89">
        <f ca="1">_xll.BDP($B$26,$C$26,CONCATENATE("PX391=", $BA$71), CONCATENATE("PX392=",$BA$72), CONCATENATE("DS004=",$B$64), "Fill=B")</f>
        <v>243010</v>
      </c>
      <c r="BB89">
        <f ca="1">_xll.BDP($B$26,$C$26,CONCATENATE("PX391=", $BB$71), CONCATENATE("PX392=",$BB$72), CONCATENATE("DS004=",$B$64), "Fill=B")</f>
        <v>219024</v>
      </c>
      <c r="BC89">
        <f ca="1">_xll.BDP($B$26,$C$26,CONCATENATE("PX391=", $BC$71), CONCATENATE("PX392=",$BC$72), CONCATENATE("DS004=",$B$64), "Fill=B")</f>
        <v>237088</v>
      </c>
      <c r="BD89">
        <f ca="1">_xll.BDP($B$26,$C$26,CONCATENATE("PX391=", $BD$71), CONCATENATE("PX392=",$BD$72), CONCATENATE("DS004=",$B$64), "Fill=B")</f>
        <v>246814</v>
      </c>
      <c r="BE89">
        <f ca="1">_xll.BDP($B$26,$C$26,CONCATENATE("PX391=", $BE$71), CONCATENATE("PX392=",$BE$72), CONCATENATE("DS004=",$B$64), "Fill=B")</f>
        <v>277184</v>
      </c>
      <c r="BF89">
        <f ca="1">_xll.BDP($B$26,$C$26,CONCATENATE("PX391=", $BF$71), CONCATENATE("PX392=",$BF$72), CONCATENATE("DS004=",$B$64), "Fill=B")</f>
        <v>274376</v>
      </c>
      <c r="BG89">
        <f ca="1">_xll.BDP($B$26,$C$26,CONCATENATE("PX391=", $BG$71), CONCATENATE("PX392=",$BG$72), CONCATENATE("DS004=",$B$64), "Fill=B")</f>
        <v>229153</v>
      </c>
      <c r="BH89">
        <f ca="1">_xll.BDP($B$26,$C$26,CONCATENATE("PX391=", $BH$71), CONCATENATE("PX392=",$BH$72), CONCATENATE("DS004=",$B$64), "Fill=B")</f>
        <v>233516</v>
      </c>
      <c r="BI89">
        <f ca="1">_xll.BDP($B$26,$C$26,CONCATENATE("PX391=", $BI$71), CONCATENATE("PX392=",$BI$72), CONCATENATE("DS004=",$B$64), "Fill=B")</f>
        <v>220189</v>
      </c>
      <c r="BJ89">
        <f ca="1">_xll.BDP($B$26,$C$26,CONCATENATE("PX391=", $BJ$71), CONCATENATE("PX392=",$BJ$72), CONCATENATE("DS004=",$B$64), "Fill=B")</f>
        <v>194866</v>
      </c>
      <c r="BK89">
        <f ca="1">_xll.BDP($B$26,$C$26,CONCATENATE("PX391=", $BK$71), CONCATENATE("PX392=",$BK$72), CONCATENATE("DS004=",$B$64), "Fill=B")</f>
        <v>214436</v>
      </c>
      <c r="BL89">
        <f ca="1">_xll.BDP($B$26,$C$26,CONCATENATE("PX391=", $BL$71), CONCATENATE("PX392=",$BL$72), CONCATENATE("DS004=",$B$64), "Fill=B")</f>
        <v>277534</v>
      </c>
      <c r="BM89">
        <f ca="1">_xll.BDP($B$26,$C$26,CONCATENATE("PX391=", $BM$71), CONCATENATE("PX392=",$BM$72), CONCATENATE("DS004=",$B$64), "Fill=B")</f>
        <v>286387</v>
      </c>
      <c r="BN89">
        <f ca="1">_xll.BDP($B$26,$C$26,CONCATENATE("PX391=", $BN$71), CONCATENATE("PX392=",$BN$72), CONCATENATE("DS004=",$B$64), "Fill=B")</f>
        <v>257011</v>
      </c>
      <c r="BO89">
        <f ca="1">_xll.BDP($B$26,$C$26,CONCATENATE("PX391=", $BO$71), CONCATENATE("PX392=",$BO$72), CONCATENATE("DS004=",$B$64), "Fill=B")</f>
        <v>292906</v>
      </c>
      <c r="BP89">
        <f ca="1">_xll.BDP($B$26,$C$26,CONCATENATE("PX391=", $BP$71), CONCATENATE("PX392=",$BP$72), CONCATENATE("DS004=",$B$64), "Fill=B")</f>
        <v>239983</v>
      </c>
      <c r="BQ89">
        <f ca="1">_xll.BDP($B$26,$C$26,CONCATENATE("PX391=", $BQ$71), CONCATENATE("PX392=",$BQ$72), CONCATENATE("DS004=",$B$64), "Fill=B")</f>
        <v>243600</v>
      </c>
      <c r="BR89">
        <f ca="1">_xll.BDP($B$26,$C$26,CONCATENATE("PX391=", $BR$71), CONCATENATE("PX392=",$BR$72), CONCATENATE("DS004=",$B$64), "Fill=B")</f>
        <v>227412</v>
      </c>
      <c r="BS89">
        <f ca="1">_xll.BDP($B$26,$C$26,CONCATENATE("PX391=", $BS$71), CONCATENATE("PX392=",$BS$72), CONCATENATE("DS004=",$B$64), "Fill=B")</f>
        <v>192614</v>
      </c>
      <c r="BT89">
        <f ca="1">_xll.BDP($B$26,$C$26,CONCATENATE("PX391=", $BT$71), CONCATENATE("PX392=",$BT$72), CONCATENATE("DS004=",$B$64), "Fill=B")</f>
        <v>194537</v>
      </c>
      <c r="BU89">
        <f ca="1">_xll.BDP($B$26,$C$26,CONCATENATE("PX391=", $BU$71), CONCATENATE("PX392=",$BU$72), CONCATENATE("DS004=",$B$64), "Fill=B")</f>
        <v>179724</v>
      </c>
      <c r="BV89">
        <f ca="1">_xll.BDP($B$26,$C$26,CONCATENATE("PX391=", $BV$71), CONCATENATE("PX392=",$BV$72), CONCATENATE("DS004=",$B$64), "Fill=B")</f>
        <v>149699</v>
      </c>
      <c r="BW89">
        <f ca="1">_xll.BDP($B$26,$C$26,CONCATENATE("PX391=", $BW$71), CONCATENATE("PX392=",$BW$72), CONCATENATE("DS004=",$B$64), "Fill=B")</f>
        <v>184379</v>
      </c>
      <c r="BX89">
        <f ca="1">_xll.BDP($B$26,$C$26,CONCATENATE("PX391=", $BX$71), CONCATENATE("PX392=",$BX$72), CONCATENATE("DS004=",$B$64), "Fill=B")</f>
        <v>235861</v>
      </c>
      <c r="BY89">
        <f ca="1">_xll.BDP($B$26,$C$26,CONCATENATE("PX391=", $BY$71), CONCATENATE("PX392=",$BY$72), CONCATENATE("DS004=",$B$64), "Fill=B")</f>
        <v>240853</v>
      </c>
      <c r="BZ89">
        <f ca="1">_xll.BDP($B$26,$C$26,CONCATENATE("PX391=", $BZ$71), CONCATENATE("PX392=",$BZ$72), CONCATENATE("DS004=",$B$64), "Fill=B")</f>
        <v>282622</v>
      </c>
      <c r="CA89">
        <f ca="1">_xll.BDP($B$26,$C$26,CONCATENATE("PX391=", $CA$71), CONCATENATE("PX392=",$CA$72), CONCATENATE("DS004=",$B$64), "Fill=B")</f>
        <v>221167</v>
      </c>
      <c r="CB89">
        <f ca="1">_xll.BDP($B$26,$C$26,CONCATENATE("PX391=", $CB$71), CONCATENATE("PX392=",$CB$72), CONCATENATE("DS004=",$B$64), "Fill=B")</f>
        <v>246669</v>
      </c>
      <c r="CC89">
        <f ca="1">_xll.BDP($B$26,$C$26,CONCATENATE("PX391=", $CC$71), CONCATENATE("PX392=",$CC$72), CONCATENATE("DS004=",$B$64), "Fill=B")</f>
        <v>256181</v>
      </c>
      <c r="CD89">
        <f ca="1">_xll.BDP($B$26,$C$26,CONCATENATE("PX391=", $CD$71), CONCATENATE("PX392=",$CD$72), CONCATENATE("DS004=",$B$64), "Fill=B")</f>
        <v>224788</v>
      </c>
      <c r="CE89">
        <f ca="1">_xll.BDP($B$26,$C$26,CONCATENATE("PX391=", $CE$71), CONCATENATE("PX392=",$CE$72), CONCATENATE("DS004=",$B$64), "Fill=B")</f>
        <v>213233</v>
      </c>
      <c r="CF89">
        <f ca="1">_xll.BDP($B$26,$C$26,CONCATENATE("PX391=", $CF$71), CONCATENATE("PX392=",$CF$72), CONCATENATE("DS004=",$B$64), "Fill=B")</f>
        <v>213556</v>
      </c>
      <c r="CG89">
        <f ca="1">_xll.BDP($B$26,$C$26,CONCATENATE("PX391=", $CG$71), CONCATENATE("PX392=",$CG$72), CONCATENATE("DS004=",$B$64), "Fill=B")</f>
        <v>185053</v>
      </c>
      <c r="CH89">
        <f ca="1">_xll.BDP($B$26,$C$26,CONCATENATE("PX391=", $CH$71), CONCATENATE("PX392=",$CH$72), CONCATENATE("DS004=",$B$64), "Fill=B")</f>
        <v>223203</v>
      </c>
      <c r="CI89">
        <f ca="1">_xll.BDP($B$26,$C$26,CONCATENATE("PX391=", $CI$71), CONCATENATE("PX392=",$CI$72), CONCATENATE("DS004=",$B$64), "Fill=B")</f>
        <v>171049</v>
      </c>
      <c r="CJ89">
        <f ca="1">_xll.BDP($B$26,$C$26,CONCATENATE("PX391=", $CJ$71), CONCATENATE("PX392=",$CJ$72), CONCATENATE("DS004=",$B$64), "Fill=B")</f>
        <v>248797</v>
      </c>
      <c r="CK89">
        <f ca="1">_xll.BDP($B$26,$C$26,CONCATENATE("PX391=", $CK$71), CONCATENATE("PX392=",$CK$72), CONCATENATE("DS004=",$B$64), "Fill=B")</f>
        <v>237419</v>
      </c>
      <c r="CL89" t="str">
        <f>""</f>
        <v/>
      </c>
      <c r="CM89" t="str">
        <f>""</f>
        <v/>
      </c>
      <c r="CN89" t="str">
        <f>""</f>
        <v/>
      </c>
      <c r="CO89" t="str">
        <f>""</f>
        <v/>
      </c>
      <c r="CP89" t="str">
        <f>""</f>
        <v/>
      </c>
      <c r="CQ89" t="str">
        <f>""</f>
        <v/>
      </c>
      <c r="CR89" t="str">
        <f>""</f>
        <v/>
      </c>
      <c r="CS89" t="str">
        <f>""</f>
        <v/>
      </c>
      <c r="CT89" t="str">
        <f>""</f>
        <v/>
      </c>
      <c r="CU89" t="str">
        <f>""</f>
        <v/>
      </c>
      <c r="CV89" t="str">
        <f>""</f>
        <v/>
      </c>
      <c r="CW89" t="str">
        <f>""</f>
        <v/>
      </c>
      <c r="CX89" t="str">
        <f>""</f>
        <v/>
      </c>
      <c r="CY89" t="str">
        <f>""</f>
        <v/>
      </c>
      <c r="CZ89" t="str">
        <f>""</f>
        <v/>
      </c>
      <c r="DA89" t="str">
        <f>""</f>
        <v/>
      </c>
      <c r="DB89" t="str">
        <f>""</f>
        <v/>
      </c>
      <c r="DC89" t="str">
        <f>""</f>
        <v/>
      </c>
      <c r="DD89" t="str">
        <f>""</f>
        <v/>
      </c>
      <c r="DE89" t="str">
        <f>""</f>
        <v/>
      </c>
      <c r="DF89" t="str">
        <f>""</f>
        <v/>
      </c>
      <c r="DG89" t="str">
        <f>""</f>
        <v/>
      </c>
      <c r="DH89" t="str">
        <f>""</f>
        <v/>
      </c>
      <c r="DI89" t="str">
        <f>""</f>
        <v/>
      </c>
      <c r="DJ89" t="str">
        <f>""</f>
        <v/>
      </c>
      <c r="DK89" t="str">
        <f>""</f>
        <v/>
      </c>
      <c r="DL89" t="str">
        <f>""</f>
        <v/>
      </c>
      <c r="DM89" t="str">
        <f>""</f>
        <v/>
      </c>
      <c r="DN89" t="str">
        <f>""</f>
        <v/>
      </c>
      <c r="DO89" t="str">
        <f>""</f>
        <v/>
      </c>
      <c r="DP89" t="str">
        <f>""</f>
        <v/>
      </c>
      <c r="DQ89" t="str">
        <f>""</f>
        <v/>
      </c>
      <c r="DR89" t="str">
        <f>""</f>
        <v/>
      </c>
      <c r="DS89" t="str">
        <f>""</f>
        <v/>
      </c>
      <c r="DT89" t="str">
        <f>""</f>
        <v/>
      </c>
      <c r="DU89" t="str">
        <f>""</f>
        <v/>
      </c>
      <c r="DV89" t="str">
        <f>""</f>
        <v/>
      </c>
      <c r="DW89" t="str">
        <f>""</f>
        <v/>
      </c>
      <c r="DX89" t="str">
        <f>""</f>
        <v/>
      </c>
      <c r="DY89" t="str">
        <f>""</f>
        <v/>
      </c>
      <c r="DZ89" t="str">
        <f>""</f>
        <v/>
      </c>
      <c r="EA89" t="str">
        <f>""</f>
        <v/>
      </c>
      <c r="EB89" t="str">
        <f>""</f>
        <v/>
      </c>
      <c r="EC89" t="str">
        <f>""</f>
        <v/>
      </c>
      <c r="ED89" t="str">
        <f>""</f>
        <v/>
      </c>
      <c r="EE89" t="str">
        <f>""</f>
        <v/>
      </c>
      <c r="EF89" t="str">
        <f>""</f>
        <v/>
      </c>
      <c r="EG89" t="str">
        <f>""</f>
        <v/>
      </c>
      <c r="EH89" t="str">
        <f>""</f>
        <v/>
      </c>
      <c r="EI89" t="str">
        <f>""</f>
        <v/>
      </c>
      <c r="EJ89" t="str">
        <f>""</f>
        <v/>
      </c>
      <c r="EK89" t="str">
        <f>""</f>
        <v/>
      </c>
      <c r="EL89" t="str">
        <f>""</f>
        <v/>
      </c>
      <c r="EM89" t="str">
        <f>""</f>
        <v/>
      </c>
      <c r="EN89" t="str">
        <f>""</f>
        <v/>
      </c>
      <c r="EO89" t="str">
        <f>""</f>
        <v/>
      </c>
      <c r="EP89" t="str">
        <f>""</f>
        <v/>
      </c>
      <c r="EQ89" t="str">
        <f>""</f>
        <v/>
      </c>
      <c r="ER89" t="str">
        <f>""</f>
        <v/>
      </c>
      <c r="ES89" t="str">
        <f>""</f>
        <v/>
      </c>
      <c r="ET89" t="str">
        <f>""</f>
        <v/>
      </c>
      <c r="EU89" t="str">
        <f>""</f>
        <v/>
      </c>
      <c r="EV89" t="str">
        <f>""</f>
        <v/>
      </c>
      <c r="EW89" t="str">
        <f>""</f>
        <v/>
      </c>
      <c r="EX89" t="str">
        <f>""</f>
        <v/>
      </c>
      <c r="EY89" t="str">
        <f>""</f>
        <v/>
      </c>
      <c r="EZ89" t="str">
        <f>""</f>
        <v/>
      </c>
      <c r="FA89" t="str">
        <f>""</f>
        <v/>
      </c>
      <c r="FB89" t="str">
        <f>""</f>
        <v/>
      </c>
      <c r="FC89" t="str">
        <f>""</f>
        <v/>
      </c>
      <c r="FD89" t="str">
        <f>""</f>
        <v/>
      </c>
      <c r="FE89" t="str">
        <f>""</f>
        <v/>
      </c>
      <c r="FF89" t="str">
        <f>""</f>
        <v/>
      </c>
      <c r="FG89" t="str">
        <f>""</f>
        <v/>
      </c>
      <c r="FH89" t="str">
        <f>""</f>
        <v/>
      </c>
      <c r="FI89" t="str">
        <f>""</f>
        <v/>
      </c>
      <c r="FJ89" t="str">
        <f>""</f>
        <v/>
      </c>
      <c r="FK89" t="str">
        <f>""</f>
        <v/>
      </c>
      <c r="FL89" t="str">
        <f>""</f>
        <v/>
      </c>
      <c r="FM89" t="str">
        <f>""</f>
        <v/>
      </c>
      <c r="FN89" t="str">
        <f>""</f>
        <v/>
      </c>
      <c r="FO89" t="str">
        <f>""</f>
        <v/>
      </c>
      <c r="FP89" t="str">
        <f>""</f>
        <v/>
      </c>
      <c r="FQ89" t="str">
        <f>""</f>
        <v/>
      </c>
    </row>
    <row r="90" spans="1:173" x14ac:dyDescent="0.25">
      <c r="A90" t="str">
        <f>$A$28</f>
        <v xml:space="preserve">        Loaded Inbound Containers (TEU)</v>
      </c>
      <c r="B90" t="str">
        <f>$B$28</f>
        <v>LALBLBIM Index</v>
      </c>
      <c r="C90" t="str">
        <f>$C$28</f>
        <v>PX385</v>
      </c>
      <c r="D90" t="str">
        <f>$D$28</f>
        <v>INTERVAL_SUM</v>
      </c>
      <c r="E90" t="str">
        <f>$E$28</f>
        <v>Dynamic</v>
      </c>
      <c r="F90" t="str">
        <f ca="1">_xll.BDP($B$28,$C$28,CONCATENATE("PX391=", $F$71), CONCATENATE("PX392=",$F$72), CONCATENATE("DS004=",$B$64), "Fill=B")</f>
        <v/>
      </c>
      <c r="G90" t="str">
        <f ca="1">_xll.BDP($B$28,$C$28,CONCATENATE("PX391=", $G$71), CONCATENATE("PX392=",$G$72), CONCATENATE("DS004=",$B$64), "Fill=B")</f>
        <v/>
      </c>
      <c r="H90">
        <f ca="1">_xll.BDP($B$28,$C$28,CONCATENATE("PX391=", $H$71), CONCATENATE("PX392=",$H$72), CONCATENATE("DS004=",$B$64), "Fill=B")</f>
        <v>408926</v>
      </c>
      <c r="I90">
        <f ca="1">_xll.BDP($B$28,$C$28,CONCATENATE("PX391=", $I$71), CONCATENATE("PX392=",$I$72), CONCATENATE("DS004=",$B$64), "Fill=B")</f>
        <v>325436</v>
      </c>
      <c r="J90">
        <f ca="1">_xll.BDP($B$28,$C$28,CONCATENATE("PX391=", $J$71), CONCATENATE("PX392=",$J$72), CONCATENATE("DS004=",$B$64), "Fill=B")</f>
        <v>271086</v>
      </c>
      <c r="K90">
        <f ca="1">_xll.BDP($B$28,$C$28,CONCATENATE("PX391=", $K$71), CONCATENATE("PX392=",$K$72), CONCATENATE("DS004=",$B$64), "Fill=B")</f>
        <v>274325</v>
      </c>
      <c r="L90">
        <f ca="1">_xll.BDP($B$28,$C$28,CONCATENATE("PX391=", $L$71), CONCATENATE("PX392=",$L$72), CONCATENATE("DS004=",$B$64), "Fill=B")</f>
        <v>361661</v>
      </c>
      <c r="M90">
        <f ca="1">_xll.BDP($B$28,$C$28,CONCATENATE("PX391=", $M$71), CONCATENATE("PX392=",$M$72), CONCATENATE("DS004=",$B$64), "Fill=B")</f>
        <v>313444</v>
      </c>
      <c r="N90">
        <f ca="1">_xll.BDP($B$28,$C$28,CONCATENATE("PX391=", $N$71), CONCATENATE("PX392=",$N$72), CONCATENATE("DS004=",$B$64), "Fill=B")</f>
        <v>279148</v>
      </c>
      <c r="O90">
        <f ca="1">_xll.BDP($B$28,$C$28,CONCATENATE("PX391=", $O$71), CONCATENATE("PX392=",$O$72), CONCATENATE("DS004=",$B$64), "Fill=B")</f>
        <v>254970</v>
      </c>
      <c r="P90">
        <f ca="1">_xll.BDP($B$28,$C$28,CONCATENATE("PX391=", $P$71), CONCATENATE("PX392=",$P$72), CONCATENATE("DS004=",$B$64), "Fill=B")</f>
        <v>263394</v>
      </c>
      <c r="Q90">
        <f ca="1">_xll.BDP($B$28,$C$28,CONCATENATE("PX391=", $Q$71), CONCATENATE("PX392=",$Q$72), CONCATENATE("DS004=",$B$64), "Fill=B")</f>
        <v>241643</v>
      </c>
      <c r="R90">
        <f ca="1">_xll.BDP($B$28,$C$28,CONCATENATE("PX391=", $R$71), CONCATENATE("PX392=",$R$72), CONCATENATE("DS004=",$B$64), "Fill=B")</f>
        <v>259442</v>
      </c>
      <c r="S90">
        <f ca="1">_xll.BDP($B$28,$C$28,CONCATENATE("PX391=", $S$71), CONCATENATE("PX392=",$S$72), CONCATENATE("DS004=",$B$64), "Fill=B")</f>
        <v>293924</v>
      </c>
      <c r="T90">
        <f ca="1">_xll.BDP($B$28,$C$28,CONCATENATE("PX391=", $T$71), CONCATENATE("PX392=",$T$72), CONCATENATE("DS004=",$B$64), "Fill=B")</f>
        <v>342671</v>
      </c>
      <c r="U90">
        <f ca="1">_xll.BDP($B$28,$C$28,CONCATENATE("PX391=", $U$71), CONCATENATE("PX392=",$U$72), CONCATENATE("DS004=",$B$64), "Fill=B")</f>
        <v>384530</v>
      </c>
      <c r="V90">
        <f ca="1">_xll.BDP($B$28,$C$28,CONCATENATE("PX391=", $V$71), CONCATENATE("PX392=",$V$72), CONCATENATE("DS004=",$B$64), "Fill=B")</f>
        <v>376175</v>
      </c>
      <c r="W90">
        <f ca="1">_xll.BDP($B$28,$C$28,CONCATENATE("PX391=", $W$71), CONCATENATE("PX392=",$W$72), CONCATENATE("DS004=",$B$64), "Fill=B")</f>
        <v>415677</v>
      </c>
      <c r="X90">
        <f ca="1">_xll.BDP($B$28,$C$28,CONCATENATE("PX391=", $X$71), CONCATENATE("PX392=",$X$72), CONCATENATE("DS004=",$B$64), "Fill=B")</f>
        <v>436977</v>
      </c>
      <c r="Y90">
        <f ca="1">_xll.BDP($B$28,$C$28,CONCATENATE("PX391=", $Y$71), CONCATENATE("PX392=",$Y$72), CONCATENATE("DS004=",$B$64), "Fill=B")</f>
        <v>400803</v>
      </c>
      <c r="Z90">
        <f ca="1">_xll.BDP($B$28,$C$28,CONCATENATE("PX391=", $Z$71), CONCATENATE("PX392=",$Z$72), CONCATENATE("DS004=",$B$64), "Fill=B")</f>
        <v>427280</v>
      </c>
      <c r="AA90">
        <f ca="1">_xll.BDP($B$28,$C$28,CONCATENATE("PX391=", $AA$71), CONCATENATE("PX392=",$AA$72), CONCATENATE("DS004=",$B$64), "Fill=B")</f>
        <v>390335</v>
      </c>
      <c r="AB90">
        <f ca="1">_xll.BDP($B$28,$C$28,CONCATENATE("PX391=", $AB$71), CONCATENATE("PX392=",$AB$72), CONCATENATE("DS004=",$B$64), "Fill=B")</f>
        <v>389334</v>
      </c>
      <c r="AC90">
        <f ca="1">_xll.BDP($B$28,$C$28,CONCATENATE("PX391=", $AC$71), CONCATENATE("PX392=",$AC$72), CONCATENATE("DS004=",$B$64), "Fill=B")</f>
        <v>358687</v>
      </c>
      <c r="AD90">
        <f ca="1">_xll.BDP($B$28,$C$28,CONCATENATE("PX391=", $AD$71), CONCATENATE("PX392=",$AD$72), CONCATENATE("DS004=",$B$64), "Fill=B")</f>
        <v>362394</v>
      </c>
      <c r="AE90">
        <f ca="1">_xll.BDP($B$28,$C$28,CONCATENATE("PX391=", $AE$71), CONCATENATE("PX392=",$AE$72), CONCATENATE("DS004=",$B$64), "Fill=B")</f>
        <v>385000</v>
      </c>
      <c r="AF90">
        <f ca="1">_xll.BDP($B$28,$C$28,CONCATENATE("PX391=", $AF$71), CONCATENATE("PX392=",$AF$72), CONCATENATE("DS004=",$B$64), "Fill=B")</f>
        <v>370230</v>
      </c>
      <c r="AG90">
        <f ca="1">_xll.BDP($B$28,$C$28,CONCATENATE("PX391=", $AG$71), CONCATENATE("PX392=",$AG$72), CONCATENATE("DS004=",$B$64), "Fill=B")</f>
        <v>407426</v>
      </c>
      <c r="AH90">
        <f ca="1">_xll.BDP($B$28,$C$28,CONCATENATE("PX391=", $AH$71), CONCATENATE("PX392=",$AH$72), CONCATENATE("DS004=",$B$64), "Fill=B")</f>
        <v>382940</v>
      </c>
      <c r="AI90">
        <f ca="1">_xll.BDP($B$28,$C$28,CONCATENATE("PX391=", $AI$71), CONCATENATE("PX392=",$AI$72), CONCATENATE("DS004=",$B$64), "Fill=B")</f>
        <v>357101</v>
      </c>
      <c r="AJ90">
        <f ca="1">_xll.BDP($B$28,$C$28,CONCATENATE("PX391=", $AJ$71), CONCATENATE("PX392=",$AJ$72), CONCATENATE("DS004=",$B$64), "Fill=B")</f>
        <v>444736</v>
      </c>
      <c r="AK90">
        <f ca="1">_xll.BDP($B$28,$C$28,CONCATENATE("PX391=", $AK$71), CONCATENATE("PX392=",$AK$72), CONCATENATE("DS004=",$B$64), "Fill=B")</f>
        <v>367151</v>
      </c>
      <c r="AL90">
        <f ca="1">_xll.BDP($B$28,$C$28,CONCATENATE("PX391=", $AL$71), CONCATENATE("PX392=",$AL$72), CONCATENATE("DS004=",$B$64), "Fill=B")</f>
        <v>408172</v>
      </c>
      <c r="AM90">
        <f ca="1">_xll.BDP($B$28,$C$28,CONCATENATE("PX391=", $AM$71), CONCATENATE("PX392=",$AM$72), CONCATENATE("DS004=",$B$64), "Fill=B")</f>
        <v>373756</v>
      </c>
      <c r="AN90">
        <f ca="1">_xll.BDP($B$28,$C$28,CONCATENATE("PX391=", $AN$71), CONCATENATE("PX392=",$AN$72), CONCATENATE("DS004=",$B$64), "Fill=B")</f>
        <v>364255</v>
      </c>
      <c r="AO90">
        <f ca="1">_xll.BDP($B$28,$C$28,CONCATENATE("PX391=", $AO$71), CONCATENATE("PX392=",$AO$72), CONCATENATE("DS004=",$B$64), "Fill=B")</f>
        <v>406072</v>
      </c>
      <c r="AP90">
        <f ca="1">_xll.BDP($B$28,$C$28,CONCATENATE("PX391=", $AP$71), CONCATENATE("PX392=",$AP$72), CONCATENATE("DS004=",$B$64), "Fill=B")</f>
        <v>382677</v>
      </c>
      <c r="AQ90">
        <f ca="1">_xll.BDP($B$28,$C$28,CONCATENATE("PX391=", $AQ$71), CONCATENATE("PX392=",$AQ$72), CONCATENATE("DS004=",$B$64), "Fill=B")</f>
        <v>402408</v>
      </c>
      <c r="AR90">
        <f ca="1">_xll.BDP($B$28,$C$28,CONCATENATE("PX391=", $AR$71), CONCATENATE("PX392=",$AR$72), CONCATENATE("DS004=",$B$64), "Fill=B")</f>
        <v>405618</v>
      </c>
      <c r="AS90">
        <f ca="1">_xll.BDP($B$28,$C$28,CONCATENATE("PX391=", $AS$71), CONCATENATE("PX392=",$AS$72), CONCATENATE("DS004=",$B$64), "Fill=B")</f>
        <v>364792</v>
      </c>
      <c r="AT90">
        <f ca="1">_xll.BDP($B$28,$C$28,CONCATENATE("PX391=", $AT$71), CONCATENATE("PX392=",$AT$72), CONCATENATE("DS004=",$B$64), "Fill=B")</f>
        <v>376807</v>
      </c>
      <c r="AU90">
        <f ca="1">_xll.BDP($B$28,$C$28,CONCATENATE("PX391=", $AU$71), CONCATENATE("PX392=",$AU$72), CONCATENATE("DS004=",$B$64), "Fill=B")</f>
        <v>300714</v>
      </c>
      <c r="AV90">
        <f ca="1">_xll.BDP($B$28,$C$28,CONCATENATE("PX391=", $AV$71), CONCATENATE("PX392=",$AV$72), CONCATENATE("DS004=",$B$64), "Fill=B")</f>
        <v>312590</v>
      </c>
      <c r="AW90">
        <f ca="1">_xll.BDP($B$28,$C$28,CONCATENATE("PX391=", $AW$71), CONCATENATE("PX392=",$AW$72), CONCATENATE("DS004=",$B$64), "Fill=B")</f>
        <v>253540</v>
      </c>
      <c r="AX90">
        <f ca="1">_xll.BDP($B$28,$C$28,CONCATENATE("PX391=", $AX$71), CONCATENATE("PX392=",$AX$72), CONCATENATE("DS004=",$B$64), "Fill=B")</f>
        <v>234570</v>
      </c>
      <c r="AY90">
        <f ca="1">_xll.BDP($B$28,$C$28,CONCATENATE("PX391=", $AY$71), CONCATENATE("PX392=",$AY$72), CONCATENATE("DS004=",$B$64), "Fill=B")</f>
        <v>248592</v>
      </c>
      <c r="AZ90">
        <f ca="1">_xll.BDP($B$28,$C$28,CONCATENATE("PX391=", $AZ$71), CONCATENATE("PX392=",$AZ$72), CONCATENATE("DS004=",$B$64), "Fill=B")</f>
        <v>309961</v>
      </c>
      <c r="BA90">
        <f ca="1">_xll.BDP($B$28,$C$28,CONCATENATE("PX391=", $BA$71), CONCATENATE("PX392=",$BA$72), CONCATENATE("DS004=",$B$64), "Fill=B")</f>
        <v>323231</v>
      </c>
      <c r="BB90">
        <f ca="1">_xll.BDP($B$28,$C$28,CONCATENATE("PX391=", $BB$71), CONCATENATE("PX392=",$BB$72), CONCATENATE("DS004=",$B$64), "Fill=B")</f>
        <v>293287</v>
      </c>
      <c r="BC90">
        <f ca="1">_xll.BDP($B$28,$C$28,CONCATENATE("PX391=", $BC$71), CONCATENATE("PX392=",$BC$72), CONCATENATE("DS004=",$B$64), "Fill=B")</f>
        <v>337062</v>
      </c>
      <c r="BD90">
        <f ca="1">_xll.BDP($B$28,$C$28,CONCATENATE("PX391=", $BD$71), CONCATENATE("PX392=",$BD$72), CONCATENATE("DS004=",$B$64), "Fill=B")</f>
        <v>354919</v>
      </c>
      <c r="BE90">
        <f ca="1">_xll.BDP($B$28,$C$28,CONCATENATE("PX391=", $BE$71), CONCATENATE("PX392=",$BE$72), CONCATENATE("DS004=",$B$64), "Fill=B")</f>
        <v>322780</v>
      </c>
      <c r="BF90">
        <f ca="1">_xll.BDP($B$28,$C$28,CONCATENATE("PX391=", $BF$71), CONCATENATE("PX392=",$BF$72), CONCATENATE("DS004=",$B$64), "Fill=B")</f>
        <v>313350</v>
      </c>
      <c r="BG90">
        <f ca="1">_xll.BDP($B$28,$C$28,CONCATENATE("PX391=", $BG$71), CONCATENATE("PX392=",$BG$72), CONCATENATE("DS004=",$B$64), "Fill=B")</f>
        <v>331617</v>
      </c>
      <c r="BH90">
        <f ca="1">_xll.BDP($B$28,$C$28,CONCATENATE("PX391=", $BH$71), CONCATENATE("PX392=",$BH$72), CONCATENATE("DS004=",$B$64), "Fill=B")</f>
        <v>290568</v>
      </c>
      <c r="BI90">
        <f ca="1">_xll.BDP($B$28,$C$28,CONCATENATE("PX391=", $BI$71), CONCATENATE("PX392=",$BI$72), CONCATENATE("DS004=",$B$64), "Fill=B")</f>
        <v>317883</v>
      </c>
      <c r="BJ90">
        <f ca="1">_xll.BDP($B$28,$C$28,CONCATENATE("PX391=", $BJ$71), CONCATENATE("PX392=",$BJ$72), CONCATENATE("DS004=",$B$64), "Fill=B")</f>
        <v>247039</v>
      </c>
      <c r="BK90">
        <f ca="1">_xll.BDP($B$28,$C$28,CONCATENATE("PX391=", $BK$71), CONCATENATE("PX392=",$BK$72), CONCATENATE("DS004=",$B$64), "Fill=B")</f>
        <v>302865</v>
      </c>
      <c r="BL90">
        <f ca="1">_xll.BDP($B$28,$C$28,CONCATENATE("PX391=", $BL$71), CONCATENATE("PX392=",$BL$72), CONCATENATE("DS004=",$B$64), "Fill=B")</f>
        <v>323838</v>
      </c>
      <c r="BM90">
        <f ca="1">_xll.BDP($B$28,$C$28,CONCATENATE("PX391=", $BM$71), CONCATENATE("PX392=",$BM$72), CONCATENATE("DS004=",$B$64), "Fill=B")</f>
        <v>373098</v>
      </c>
      <c r="BN90">
        <f ca="1">_xll.BDP($B$28,$C$28,CONCATENATE("PX391=", $BN$71), CONCATENATE("PX392=",$BN$72), CONCATENATE("DS004=",$B$64), "Fill=B")</f>
        <v>319877</v>
      </c>
      <c r="BO90">
        <f ca="1">_xll.BDP($B$28,$C$28,CONCATENATE("PX391=", $BO$71), CONCATENATE("PX392=",$BO$72), CONCATENATE("DS004=",$B$64), "Fill=B")</f>
        <v>364084</v>
      </c>
      <c r="BP90">
        <f ca="1">_xll.BDP($B$28,$C$28,CONCATENATE("PX391=", $BP$71), CONCATENATE("PX392=",$BP$72), CONCATENATE("DS004=",$B$64), "Fill=B")</f>
        <v>357301</v>
      </c>
      <c r="BQ90">
        <f ca="1">_xll.BDP($B$28,$C$28,CONCATENATE("PX391=", $BQ$71), CONCATENATE("PX392=",$BQ$72), CONCATENATE("DS004=",$B$64), "Fill=B")</f>
        <v>343029</v>
      </c>
      <c r="BR90">
        <f ca="1">_xll.BDP($B$28,$C$28,CONCATENATE("PX391=", $BR$71), CONCATENATE("PX392=",$BR$72), CONCATENATE("DS004=",$B$64), "Fill=B")</f>
        <v>347736</v>
      </c>
      <c r="BS90">
        <f ca="1">_xll.BDP($B$28,$C$28,CONCATENATE("PX391=", $BS$71), CONCATENATE("PX392=",$BS$72), CONCATENATE("DS004=",$B$64), "Fill=B")</f>
        <v>384095</v>
      </c>
      <c r="BT90">
        <f ca="1">_xll.BDP($B$28,$C$28,CONCATENATE("PX391=", $BT$71), CONCATENATE("PX392=",$BT$72), CONCATENATE("DS004=",$B$64), "Fill=B")</f>
        <v>361056</v>
      </c>
      <c r="BU90">
        <f ca="1">_xll.BDP($B$28,$C$28,CONCATENATE("PX391=", $BU$71), CONCATENATE("PX392=",$BU$72), CONCATENATE("DS004=",$B$64), "Fill=B")</f>
        <v>312376</v>
      </c>
      <c r="BV90">
        <f ca="1">_xll.BDP($B$28,$C$28,CONCATENATE("PX391=", $BV$71), CONCATENATE("PX392=",$BV$72), CONCATENATE("DS004=",$B$64), "Fill=B")</f>
        <v>267824</v>
      </c>
      <c r="BW90">
        <f ca="1">_xll.BDP($B$28,$C$28,CONCATENATE("PX391=", $BW$71), CONCATENATE("PX392=",$BW$72), CONCATENATE("DS004=",$B$64), "Fill=B")</f>
        <v>342247</v>
      </c>
      <c r="BX90">
        <f ca="1">_xll.BDP($B$28,$C$28,CONCATENATE("PX391=", $BX$71), CONCATENATE("PX392=",$BX$72), CONCATENATE("DS004=",$B$64), "Fill=B")</f>
        <v>324656</v>
      </c>
      <c r="BY90">
        <f ca="1">_xll.BDP($B$28,$C$28,CONCATENATE("PX391=", $BY$71), CONCATENATE("PX392=",$BY$72), CONCATENATE("DS004=",$B$64), "Fill=B")</f>
        <v>345721</v>
      </c>
      <c r="BZ90">
        <f ca="1">_xll.BDP($B$28,$C$28,CONCATENATE("PX391=", $BZ$71), CONCATENATE("PX392=",$BZ$72), CONCATENATE("DS004=",$B$64), "Fill=B")</f>
        <v>319210</v>
      </c>
      <c r="CA90">
        <f ca="1">_xll.BDP($B$28,$C$28,CONCATENATE("PX391=", $CA$71), CONCATENATE("PX392=",$CA$72), CONCATENATE("DS004=",$B$64), "Fill=B")</f>
        <v>339013</v>
      </c>
      <c r="CB90">
        <f ca="1">_xll.BDP($B$28,$C$28,CONCATENATE("PX391=", $CB$71), CONCATENATE("PX392=",$CB$72), CONCATENATE("DS004=",$B$64), "Fill=B")</f>
        <v>366298</v>
      </c>
      <c r="CC90">
        <f ca="1">_xll.BDP($B$28,$C$28,CONCATENATE("PX391=", $CC$71), CONCATENATE("PX392=",$CC$72), CONCATENATE("DS004=",$B$64), "Fill=B")</f>
        <v>355715</v>
      </c>
      <c r="CD90">
        <f ca="1">_xll.BDP($B$28,$C$28,CONCATENATE("PX391=", $CD$71), CONCATENATE("PX392=",$CD$72), CONCATENATE("DS004=",$B$64), "Fill=B")</f>
        <v>378820</v>
      </c>
      <c r="CE90">
        <f ca="1">_xll.BDP($B$28,$C$28,CONCATENATE("PX391=", $CE$71), CONCATENATE("PX392=",$CE$72), CONCATENATE("DS004=",$B$64), "Fill=B")</f>
        <v>335328</v>
      </c>
      <c r="CF90">
        <f ca="1">_xll.BDP($B$28,$C$28,CONCATENATE("PX391=", $CF$71), CONCATENATE("PX392=",$CF$72), CONCATENATE("DS004=",$B$64), "Fill=B")</f>
        <v>336594</v>
      </c>
      <c r="CG90">
        <f ca="1">_xll.BDP($B$28,$C$28,CONCATENATE("PX391=", $CG$71), CONCATENATE("PX392=",$CG$72), CONCATENATE("DS004=",$B$64), "Fill=B")</f>
        <v>288207</v>
      </c>
      <c r="CH90">
        <f ca="1">_xll.BDP($B$28,$C$28,CONCATENATE("PX391=", $CH$71), CONCATENATE("PX392=",$CH$72), CONCATENATE("DS004=",$B$64), "Fill=B")</f>
        <v>249534</v>
      </c>
      <c r="CI90">
        <f ca="1">_xll.BDP($B$28,$C$28,CONCATENATE("PX391=", $CI$71), CONCATENATE("PX392=",$CI$72), CONCATENATE("DS004=",$B$64), "Fill=B")</f>
        <v>249759</v>
      </c>
      <c r="CJ90">
        <f ca="1">_xll.BDP($B$28,$C$28,CONCATENATE("PX391=", $CJ$71), CONCATENATE("PX392=",$CJ$72), CONCATENATE("DS004=",$B$64), "Fill=B")</f>
        <v>298990</v>
      </c>
      <c r="CK90">
        <f ca="1">_xll.BDP($B$28,$C$28,CONCATENATE("PX391=", $CK$71), CONCATENATE("PX392=",$CK$72), CONCATENATE("DS004=",$B$64), "Fill=B")</f>
        <v>271599</v>
      </c>
      <c r="CL90" t="str">
        <f>""</f>
        <v/>
      </c>
      <c r="CM90" t="str">
        <f>""</f>
        <v/>
      </c>
      <c r="CN90" t="str">
        <f>""</f>
        <v/>
      </c>
      <c r="CO90" t="str">
        <f>""</f>
        <v/>
      </c>
      <c r="CP90" t="str">
        <f>""</f>
        <v/>
      </c>
      <c r="CQ90" t="str">
        <f>""</f>
        <v/>
      </c>
      <c r="CR90" t="str">
        <f>""</f>
        <v/>
      </c>
      <c r="CS90" t="str">
        <f>""</f>
        <v/>
      </c>
      <c r="CT90" t="str">
        <f>""</f>
        <v/>
      </c>
      <c r="CU90" t="str">
        <f>""</f>
        <v/>
      </c>
      <c r="CV90" t="str">
        <f>""</f>
        <v/>
      </c>
      <c r="CW90" t="str">
        <f>""</f>
        <v/>
      </c>
      <c r="CX90" t="str">
        <f>""</f>
        <v/>
      </c>
      <c r="CY90" t="str">
        <f>""</f>
        <v/>
      </c>
      <c r="CZ90" t="str">
        <f>""</f>
        <v/>
      </c>
      <c r="DA90" t="str">
        <f>""</f>
        <v/>
      </c>
      <c r="DB90" t="str">
        <f>""</f>
        <v/>
      </c>
      <c r="DC90" t="str">
        <f>""</f>
        <v/>
      </c>
      <c r="DD90" t="str">
        <f>""</f>
        <v/>
      </c>
      <c r="DE90" t="str">
        <f>""</f>
        <v/>
      </c>
      <c r="DF90" t="str">
        <f>""</f>
        <v/>
      </c>
      <c r="DG90" t="str">
        <f>""</f>
        <v/>
      </c>
      <c r="DH90" t="str">
        <f>""</f>
        <v/>
      </c>
      <c r="DI90" t="str">
        <f>""</f>
        <v/>
      </c>
      <c r="DJ90" t="str">
        <f>""</f>
        <v/>
      </c>
      <c r="DK90" t="str">
        <f>""</f>
        <v/>
      </c>
      <c r="DL90" t="str">
        <f>""</f>
        <v/>
      </c>
      <c r="DM90" t="str">
        <f>""</f>
        <v/>
      </c>
      <c r="DN90" t="str">
        <f>""</f>
        <v/>
      </c>
      <c r="DO90" t="str">
        <f>""</f>
        <v/>
      </c>
      <c r="DP90" t="str">
        <f>""</f>
        <v/>
      </c>
      <c r="DQ90" t="str">
        <f>""</f>
        <v/>
      </c>
      <c r="DR90" t="str">
        <f>""</f>
        <v/>
      </c>
      <c r="DS90" t="str">
        <f>""</f>
        <v/>
      </c>
      <c r="DT90" t="str">
        <f>""</f>
        <v/>
      </c>
      <c r="DU90" t="str">
        <f>""</f>
        <v/>
      </c>
      <c r="DV90" t="str">
        <f>""</f>
        <v/>
      </c>
      <c r="DW90" t="str">
        <f>""</f>
        <v/>
      </c>
      <c r="DX90" t="str">
        <f>""</f>
        <v/>
      </c>
      <c r="DY90" t="str">
        <f>""</f>
        <v/>
      </c>
      <c r="DZ90" t="str">
        <f>""</f>
        <v/>
      </c>
      <c r="EA90" t="str">
        <f>""</f>
        <v/>
      </c>
      <c r="EB90" t="str">
        <f>""</f>
        <v/>
      </c>
      <c r="EC90" t="str">
        <f>""</f>
        <v/>
      </c>
      <c r="ED90" t="str">
        <f>""</f>
        <v/>
      </c>
      <c r="EE90" t="str">
        <f>""</f>
        <v/>
      </c>
      <c r="EF90" t="str">
        <f>""</f>
        <v/>
      </c>
      <c r="EG90" t="str">
        <f>""</f>
        <v/>
      </c>
      <c r="EH90" t="str">
        <f>""</f>
        <v/>
      </c>
      <c r="EI90" t="str">
        <f>""</f>
        <v/>
      </c>
      <c r="EJ90" t="str">
        <f>""</f>
        <v/>
      </c>
      <c r="EK90" t="str">
        <f>""</f>
        <v/>
      </c>
      <c r="EL90" t="str">
        <f>""</f>
        <v/>
      </c>
      <c r="EM90" t="str">
        <f>""</f>
        <v/>
      </c>
      <c r="EN90" t="str">
        <f>""</f>
        <v/>
      </c>
      <c r="EO90" t="str">
        <f>""</f>
        <v/>
      </c>
      <c r="EP90" t="str">
        <f>""</f>
        <v/>
      </c>
      <c r="EQ90" t="str">
        <f>""</f>
        <v/>
      </c>
      <c r="ER90" t="str">
        <f>""</f>
        <v/>
      </c>
      <c r="ES90" t="str">
        <f>""</f>
        <v/>
      </c>
      <c r="ET90" t="str">
        <f>""</f>
        <v/>
      </c>
      <c r="EU90" t="str">
        <f>""</f>
        <v/>
      </c>
      <c r="EV90" t="str">
        <f>""</f>
        <v/>
      </c>
      <c r="EW90" t="str">
        <f>""</f>
        <v/>
      </c>
      <c r="EX90" t="str">
        <f>""</f>
        <v/>
      </c>
      <c r="EY90" t="str">
        <f>""</f>
        <v/>
      </c>
      <c r="EZ90" t="str">
        <f>""</f>
        <v/>
      </c>
      <c r="FA90" t="str">
        <f>""</f>
        <v/>
      </c>
      <c r="FB90" t="str">
        <f>""</f>
        <v/>
      </c>
      <c r="FC90" t="str">
        <f>""</f>
        <v/>
      </c>
      <c r="FD90" t="str">
        <f>""</f>
        <v/>
      </c>
      <c r="FE90" t="str">
        <f>""</f>
        <v/>
      </c>
      <c r="FF90" t="str">
        <f>""</f>
        <v/>
      </c>
      <c r="FG90" t="str">
        <f>""</f>
        <v/>
      </c>
      <c r="FH90" t="str">
        <f>""</f>
        <v/>
      </c>
      <c r="FI90" t="str">
        <f>""</f>
        <v/>
      </c>
      <c r="FJ90" t="str">
        <f>""</f>
        <v/>
      </c>
      <c r="FK90" t="str">
        <f>""</f>
        <v/>
      </c>
      <c r="FL90" t="str">
        <f>""</f>
        <v/>
      </c>
      <c r="FM90" t="str">
        <f>""</f>
        <v/>
      </c>
      <c r="FN90" t="str">
        <f>""</f>
        <v/>
      </c>
      <c r="FO90" t="str">
        <f>""</f>
        <v/>
      </c>
      <c r="FP90" t="str">
        <f>""</f>
        <v/>
      </c>
      <c r="FQ90" t="str">
        <f>""</f>
        <v/>
      </c>
    </row>
    <row r="91" spans="1:173" x14ac:dyDescent="0.25">
      <c r="A91" t="str">
        <f>$A$29</f>
        <v xml:space="preserve">        Loaded Outbound Containers (TEU)</v>
      </c>
      <c r="B91" t="str">
        <f>$B$29</f>
        <v>LALBLBEX Index</v>
      </c>
      <c r="C91" t="str">
        <f>$C$29</f>
        <v>PX385</v>
      </c>
      <c r="D91" t="str">
        <f>$D$29</f>
        <v>INTERVAL_SUM</v>
      </c>
      <c r="E91" t="str">
        <f>$E$29</f>
        <v>Dynamic</v>
      </c>
      <c r="F91" t="str">
        <f ca="1">_xll.BDP($B$29,$C$29,CONCATENATE("PX391=", $F$71), CONCATENATE("PX392=",$F$72), CONCATENATE("DS004=",$B$64), "Fill=B")</f>
        <v/>
      </c>
      <c r="G91" t="str">
        <f ca="1">_xll.BDP($B$29,$C$29,CONCATENATE("PX391=", $G$71), CONCATENATE("PX392=",$G$72), CONCATENATE("DS004=",$B$64), "Fill=B")</f>
        <v/>
      </c>
      <c r="H91">
        <f ca="1">_xll.BDP($B$29,$C$29,CONCATENATE("PX391=", $H$71), CONCATENATE("PX392=",$H$72), CONCATENATE("DS004=",$B$64), "Fill=B")</f>
        <v>101248</v>
      </c>
      <c r="I91">
        <f ca="1">_xll.BDP($B$29,$C$29,CONCATENATE("PX391=", $I$71), CONCATENATE("PX392=",$I$72), CONCATENATE("DS004=",$B$64), "Fill=B")</f>
        <v>93402</v>
      </c>
      <c r="J91">
        <f ca="1">_xll.BDP($B$29,$C$29,CONCATENATE("PX391=", $J$71), CONCATENATE("PX392=",$J$72), CONCATENATE("DS004=",$B$64), "Fill=B")</f>
        <v>90134</v>
      </c>
      <c r="K91">
        <f ca="1">_xll.BDP($B$29,$C$29,CONCATENATE("PX391=", $K$71), CONCATENATE("PX392=",$K$72), CONCATENATE("DS004=",$B$64), "Fill=B")</f>
        <v>94508</v>
      </c>
      <c r="L91">
        <f ca="1">_xll.BDP($B$29,$C$29,CONCATENATE("PX391=", $L$71), CONCATENATE("PX392=",$L$72), CONCATENATE("DS004=",$B$64), "Fill=B")</f>
        <v>127870</v>
      </c>
      <c r="M91">
        <f ca="1">_xll.BDP($B$29,$C$29,CONCATENATE("PX391=", $M$71), CONCATENATE("PX392=",$M$72), CONCATENATE("DS004=",$B$64), "Fill=B")</f>
        <v>122663</v>
      </c>
      <c r="N91">
        <f ca="1">_xll.BDP($B$29,$C$29,CONCATENATE("PX391=", $N$71), CONCATENATE("PX392=",$N$72), CONCATENATE("DS004=",$B$64), "Fill=B")</f>
        <v>133512</v>
      </c>
      <c r="O91">
        <f ca="1">_xll.BDP($B$29,$C$29,CONCATENATE("PX391=", $O$71), CONCATENATE("PX392=",$O$72), CONCATENATE("DS004=",$B$64), "Fill=B")</f>
        <v>110919</v>
      </c>
      <c r="P91">
        <f ca="1">_xll.BDP($B$29,$C$29,CONCATENATE("PX391=", $P$71), CONCATENATE("PX392=",$P$72), CONCATENATE("DS004=",$B$64), "Fill=B")</f>
        <v>105623</v>
      </c>
      <c r="Q91">
        <f ca="1">_xll.BDP($B$29,$C$29,CONCATENATE("PX391=", $Q$71), CONCATENATE("PX392=",$Q$72), CONCATENATE("DS004=",$B$64), "Fill=B")</f>
        <v>115782</v>
      </c>
      <c r="R91">
        <f ca="1">_xll.BDP($B$29,$C$29,CONCATENATE("PX391=", $R$71), CONCATENATE("PX392=",$R$72), CONCATENATE("DS004=",$B$64), "Fill=B")</f>
        <v>124988</v>
      </c>
      <c r="S91">
        <f ca="1">_xll.BDP($B$29,$C$29,CONCATENATE("PX391=", $S$71), CONCATENATE("PX392=",$S$72), CONCATENATE("DS004=",$B$64), "Fill=B")</f>
        <v>119761</v>
      </c>
      <c r="T91">
        <f ca="1">_xll.BDP($B$29,$C$29,CONCATENATE("PX391=", $T$71), CONCATENATE("PX392=",$T$72), CONCATENATE("DS004=",$B$64), "Fill=B")</f>
        <v>112940</v>
      </c>
      <c r="U91">
        <f ca="1">_xll.BDP($B$29,$C$29,CONCATENATE("PX391=", $U$71), CONCATENATE("PX392=",$U$72), CONCATENATE("DS004=",$B$64), "Fill=B")</f>
        <v>121408</v>
      </c>
      <c r="V91">
        <f ca="1">_xll.BDP($B$29,$C$29,CONCATENATE("PX391=", $V$71), CONCATENATE("PX392=",$V$72), CONCATENATE("DS004=",$B$64), "Fill=B")</f>
        <v>109411</v>
      </c>
      <c r="W91">
        <f ca="1">_xll.BDP($B$29,$C$29,CONCATENATE("PX391=", $W$71), CONCATENATE("PX392=",$W$72), CONCATENATE("DS004=",$B$64), "Fill=B")</f>
        <v>115303</v>
      </c>
      <c r="X91">
        <f ca="1">_xll.BDP($B$29,$C$29,CONCATENATE("PX391=", $X$71), CONCATENATE("PX392=",$X$72), CONCATENATE("DS004=",$B$64), "Fill=B")</f>
        <v>118234</v>
      </c>
      <c r="Y91">
        <f ca="1">_xll.BDP($B$29,$C$29,CONCATENATE("PX391=", $Y$71), CONCATENATE("PX392=",$Y$72), CONCATENATE("DS004=",$B$64), "Fill=B")</f>
        <v>121876</v>
      </c>
      <c r="Z91">
        <f ca="1">_xll.BDP($B$29,$C$29,CONCATENATE("PX391=", $Z$71), CONCATENATE("PX392=",$Z$72), CONCATENATE("DS004=",$B$64), "Fill=B")</f>
        <v>114185</v>
      </c>
      <c r="AA91">
        <f ca="1">_xll.BDP($B$29,$C$29,CONCATENATE("PX391=", $AA$71), CONCATENATE("PX392=",$AA$72), CONCATENATE("DS004=",$B$64), "Fill=B")</f>
        <v>117935</v>
      </c>
      <c r="AB91">
        <f ca="1">_xll.BDP($B$29,$C$29,CONCATENATE("PX391=", $AB$71), CONCATENATE("PX392=",$AB$72), CONCATENATE("DS004=",$B$64), "Fill=B")</f>
        <v>123060</v>
      </c>
      <c r="AC91">
        <f ca="1">_xll.BDP($B$29,$C$29,CONCATENATE("PX391=", $AC$71), CONCATENATE("PX392=",$AC$72), CONCATENATE("DS004=",$B$64), "Fill=B")</f>
        <v>113918</v>
      </c>
      <c r="AD91">
        <f ca="1">_xll.BDP($B$29,$C$29,CONCATENATE("PX391=", $AD$71), CONCATENATE("PX392=",$AD$72), CONCATENATE("DS004=",$B$64), "Fill=B")</f>
        <v>109821</v>
      </c>
      <c r="AE91">
        <f ca="1">_xll.BDP($B$29,$C$29,CONCATENATE("PX391=", $AE$71), CONCATENATE("PX392=",$AE$72), CONCATENATE("DS004=",$B$64), "Fill=B")</f>
        <v>122214</v>
      </c>
      <c r="AF91">
        <f ca="1">_xll.BDP($B$29,$C$29,CONCATENATE("PX391=", $AF$71), CONCATENATE("PX392=",$AF$72), CONCATENATE("DS004=",$B$64), "Fill=B")</f>
        <v>110787</v>
      </c>
      <c r="AG91">
        <f ca="1">_xll.BDP($B$29,$C$29,CONCATENATE("PX391=", $AG$71), CONCATENATE("PX392=",$AG$72), CONCATENATE("DS004=",$B$64), "Fill=B")</f>
        <v>119485</v>
      </c>
      <c r="AH91">
        <f ca="1">_xll.BDP($B$29,$C$29,CONCATENATE("PX391=", $AH$71), CONCATENATE("PX392=",$AH$72), CONCATENATE("DS004=",$B$64), "Fill=B")</f>
        <v>109951</v>
      </c>
      <c r="AI91">
        <f ca="1">_xll.BDP($B$29,$C$29,CONCATENATE("PX391=", $AI$71), CONCATENATE("PX392=",$AI$72), CONCATENATE("DS004=",$B$64), "Fill=B")</f>
        <v>116947</v>
      </c>
      <c r="AJ91">
        <f ca="1">_xll.BDP($B$29,$C$29,CONCATENATE("PX391=", $AJ$71), CONCATENATE("PX392=",$AJ$72), CONCATENATE("DS004=",$B$64), "Fill=B")</f>
        <v>135345</v>
      </c>
      <c r="AK91">
        <f ca="1">_xll.BDP($B$29,$C$29,CONCATENATE("PX391=", $AK$71), CONCATENATE("PX392=",$AK$72), CONCATENATE("DS004=",$B$64), "Fill=B")</f>
        <v>124069</v>
      </c>
      <c r="AL91">
        <f ca="1">_xll.BDP($B$29,$C$29,CONCATENATE("PX391=", $AL$71), CONCATENATE("PX392=",$AL$72), CONCATENATE("DS004=",$B$64), "Fill=B")</f>
        <v>139710</v>
      </c>
      <c r="AM91">
        <f ca="1">_xll.BDP($B$29,$C$29,CONCATENATE("PX391=", $AM$71), CONCATENATE("PX392=",$AM$72), CONCATENATE("DS004=",$B$64), "Fill=B")</f>
        <v>119416</v>
      </c>
      <c r="AN91">
        <f ca="1">_xll.BDP($B$29,$C$29,CONCATENATE("PX391=", $AN$71), CONCATENATE("PX392=",$AN$72), CONCATENATE("DS004=",$B$64), "Fill=B")</f>
        <v>116254</v>
      </c>
      <c r="AO91">
        <f ca="1">_xll.BDP($B$29,$C$29,CONCATENATE("PX391=", $AO$71), CONCATENATE("PX392=",$AO$72), CONCATENATE("DS004=",$B$64), "Fill=B")</f>
        <v>132374</v>
      </c>
      <c r="AP91">
        <f ca="1">_xll.BDP($B$29,$C$29,CONCATENATE("PX391=", $AP$71), CONCATENATE("PX392=",$AP$72), CONCATENATE("DS004=",$B$64), "Fill=B")</f>
        <v>117283</v>
      </c>
      <c r="AQ91">
        <f ca="1">_xll.BDP($B$29,$C$29,CONCATENATE("PX391=", $AQ$71), CONCATENATE("PX392=",$AQ$72), CONCATENATE("DS004=",$B$64), "Fill=B")</f>
        <v>114679</v>
      </c>
      <c r="AR91">
        <f ca="1">_xll.BDP($B$29,$C$29,CONCATENATE("PX391=", $AR$71), CONCATENATE("PX392=",$AR$72), CONCATENATE("DS004=",$B$64), "Fill=B")</f>
        <v>112556</v>
      </c>
      <c r="AS91">
        <f ca="1">_xll.BDP($B$29,$C$29,CONCATENATE("PX391=", $AS$71), CONCATENATE("PX392=",$AS$72), CONCATENATE("DS004=",$B$64), "Fill=B")</f>
        <v>126177</v>
      </c>
      <c r="AT91">
        <f ca="1">_xll.BDP($B$29,$C$29,CONCATENATE("PX391=", $AT$71), CONCATENATE("PX392=",$AT$72), CONCATENATE("DS004=",$B$64), "Fill=B")</f>
        <v>138602</v>
      </c>
      <c r="AU91">
        <f ca="1">_xll.BDP($B$29,$C$29,CONCATENATE("PX391=", $AU$71), CONCATENATE("PX392=",$AU$72), CONCATENATE("DS004=",$B$64), "Fill=B")</f>
        <v>117538</v>
      </c>
      <c r="AV91">
        <f ca="1">_xll.BDP($B$29,$C$29,CONCATENATE("PX391=", $AV$71), CONCATENATE("PX392=",$AV$72), CONCATENATE("DS004=",$B$64), "Fill=B")</f>
        <v>134556</v>
      </c>
      <c r="AW91">
        <f ca="1">_xll.BDP($B$29,$C$29,CONCATENATE("PX391=", $AW$71), CONCATENATE("PX392=",$AW$72), CONCATENATE("DS004=",$B$64), "Fill=B")</f>
        <v>102502</v>
      </c>
      <c r="AX91">
        <f ca="1">_xll.BDP($B$29,$C$29,CONCATENATE("PX391=", $AX$71), CONCATENATE("PX392=",$AX$72), CONCATENATE("DS004=",$B$64), "Fill=B")</f>
        <v>145442</v>
      </c>
      <c r="AY91">
        <f ca="1">_xll.BDP($B$29,$C$29,CONCATENATE("PX391=", $AY$71), CONCATENATE("PX392=",$AY$72), CONCATENATE("DS004=",$B$64), "Fill=B")</f>
        <v>125559</v>
      </c>
      <c r="AZ91">
        <f ca="1">_xll.BDP($B$29,$C$29,CONCATENATE("PX391=", $AZ$71), CONCATENATE("PX392=",$AZ$72), CONCATENATE("DS004=",$B$64), "Fill=B")</f>
        <v>108624</v>
      </c>
      <c r="BA91">
        <f ca="1">_xll.BDP($B$29,$C$29,CONCATENATE("PX391=", $BA$71), CONCATENATE("PX392=",$BA$72), CONCATENATE("DS004=",$B$64), "Fill=B")</f>
        <v>125395</v>
      </c>
      <c r="BB91">
        <f ca="1">_xll.BDP($B$29,$C$29,CONCATENATE("PX391=", $BB$71), CONCATENATE("PX392=",$BB$72), CONCATENATE("DS004=",$B$64), "Fill=B")</f>
        <v>123705</v>
      </c>
      <c r="BC91">
        <f ca="1">_xll.BDP($B$29,$C$29,CONCATENATE("PX391=", $BC$71), CONCATENATE("PX392=",$BC$72), CONCATENATE("DS004=",$B$64), "Fill=B")</f>
        <v>131635</v>
      </c>
      <c r="BD91">
        <f ca="1">_xll.BDP($B$29,$C$29,CONCATENATE("PX391=", $BD$71), CONCATENATE("PX392=",$BD$72), CONCATENATE("DS004=",$B$64), "Fill=B")</f>
        <v>123215</v>
      </c>
      <c r="BE91">
        <f ca="1">_xll.BDP($B$29,$C$29,CONCATENATE("PX391=", $BE$71), CONCATENATE("PX392=",$BE$72), CONCATENATE("DS004=",$B$64), "Fill=B")</f>
        <v>124975</v>
      </c>
      <c r="BF91">
        <f ca="1">_xll.BDP($B$29,$C$29,CONCATENATE("PX391=", $BF$71), CONCATENATE("PX392=",$BF$72), CONCATENATE("DS004=",$B$64), "Fill=B")</f>
        <v>111654</v>
      </c>
      <c r="BG91">
        <f ca="1">_xll.BDP($B$29,$C$29,CONCATENATE("PX391=", $BG$71), CONCATENATE("PX392=",$BG$72), CONCATENATE("DS004=",$B$64), "Fill=B")</f>
        <v>133833</v>
      </c>
      <c r="BH91">
        <f ca="1">_xll.BDP($B$29,$C$29,CONCATENATE("PX391=", $BH$71), CONCATENATE("PX392=",$BH$72), CONCATENATE("DS004=",$B$64), "Fill=B")</f>
        <v>120577</v>
      </c>
      <c r="BI91">
        <f ca="1">_xll.BDP($B$29,$C$29,CONCATENATE("PX391=", $BI$71), CONCATENATE("PX392=",$BI$72), CONCATENATE("DS004=",$B$64), "Fill=B")</f>
        <v>123804</v>
      </c>
      <c r="BJ91">
        <f ca="1">_xll.BDP($B$29,$C$29,CONCATENATE("PX391=", $BJ$71), CONCATENATE("PX392=",$BJ$72), CONCATENATE("DS004=",$B$64), "Fill=B")</f>
        <v>131436</v>
      </c>
      <c r="BK91">
        <f ca="1">_xll.BDP($B$29,$C$29,CONCATENATE("PX391=", $BK$71), CONCATENATE("PX392=",$BK$72), CONCATENATE("DS004=",$B$64), "Fill=B")</f>
        <v>105287</v>
      </c>
      <c r="BL91">
        <f ca="1">_xll.BDP($B$29,$C$29,CONCATENATE("PX391=", $BL$71), CONCATENATE("PX392=",$BL$72), CONCATENATE("DS004=",$B$64), "Fill=B")</f>
        <v>117288</v>
      </c>
      <c r="BM91">
        <f ca="1">_xll.BDP($B$29,$C$29,CONCATENATE("PX391=", $BM$71), CONCATENATE("PX392=",$BM$72), CONCATENATE("DS004=",$B$64), "Fill=B")</f>
        <v>113329</v>
      </c>
      <c r="BN91">
        <f ca="1">_xll.BDP($B$29,$C$29,CONCATENATE("PX391=", $BN$71), CONCATENATE("PX392=",$BN$72), CONCATENATE("DS004=",$B$64), "Fill=B")</f>
        <v>115774</v>
      </c>
      <c r="BO91">
        <f ca="1">_xll.BDP($B$29,$C$29,CONCATENATE("PX391=", $BO$71), CONCATENATE("PX392=",$BO$72), CONCATENATE("DS004=",$B$64), "Fill=B")</f>
        <v>119837</v>
      </c>
      <c r="BP91">
        <f ca="1">_xll.BDP($B$29,$C$29,CONCATENATE("PX391=", $BP$71), CONCATENATE("PX392=",$BP$72), CONCATENATE("DS004=",$B$64), "Fill=B")</f>
        <v>121561</v>
      </c>
      <c r="BQ91">
        <f ca="1">_xll.BDP($B$29,$C$29,CONCATENATE("PX391=", $BQ$71), CONCATENATE("PX392=",$BQ$72), CONCATENATE("DS004=",$B$64), "Fill=B")</f>
        <v>119546</v>
      </c>
      <c r="BR91">
        <f ca="1">_xll.BDP($B$29,$C$29,CONCATENATE("PX391=", $BR$71), CONCATENATE("PX392=",$BR$72), CONCATENATE("DS004=",$B$64), "Fill=B")</f>
        <v>119747</v>
      </c>
      <c r="BS91">
        <f ca="1">_xll.BDP($B$29,$C$29,CONCATENATE("PX391=", $BS$71), CONCATENATE("PX392=",$BS$72), CONCATENATE("DS004=",$B$64), "Fill=B")</f>
        <v>135168</v>
      </c>
      <c r="BT91">
        <f ca="1">_xll.BDP($B$29,$C$29,CONCATENATE("PX391=", $BT$71), CONCATENATE("PX392=",$BT$72), CONCATENATE("DS004=",$B$64), "Fill=B")</f>
        <v>142412</v>
      </c>
      <c r="BU91">
        <f ca="1">_xll.BDP($B$29,$C$29,CONCATENATE("PX391=", $BU$71), CONCATENATE("PX392=",$BU$72), CONCATENATE("DS004=",$B$64), "Fill=B")</f>
        <v>141799</v>
      </c>
      <c r="BV91">
        <f ca="1">_xll.BDP($B$29,$C$29,CONCATENATE("PX391=", $BV$71), CONCATENATE("PX392=",$BV$72), CONCATENATE("DS004=",$B$64), "Fill=B")</f>
        <v>142419</v>
      </c>
      <c r="BW91">
        <f ca="1">_xll.BDP($B$29,$C$29,CONCATENATE("PX391=", $BW$71), CONCATENATE("PX392=",$BW$72), CONCATENATE("DS004=",$B$64), "Fill=B")</f>
        <v>130916</v>
      </c>
      <c r="BX91">
        <f ca="1">_xll.BDP($B$29,$C$29,CONCATENATE("PX391=", $BX$71), CONCATENATE("PX392=",$BX$72), CONCATENATE("DS004=",$B$64), "Fill=B")</f>
        <v>120503</v>
      </c>
      <c r="BY91">
        <f ca="1">_xll.BDP($B$29,$C$29,CONCATENATE("PX391=", $BY$71), CONCATENATE("PX392=",$BY$72), CONCATENATE("DS004=",$B$64), "Fill=B")</f>
        <v>137449</v>
      </c>
      <c r="BZ91">
        <f ca="1">_xll.BDP($B$29,$C$29,CONCATENATE("PX391=", $BZ$71), CONCATENATE("PX392=",$BZ$72), CONCATENATE("DS004=",$B$64), "Fill=B")</f>
        <v>126364</v>
      </c>
      <c r="CA91">
        <f ca="1">_xll.BDP($B$29,$C$29,CONCATENATE("PX391=", $CA$71), CONCATENATE("PX392=",$CA$72), CONCATENATE("DS004=",$B$64), "Fill=B")</f>
        <v>126150</v>
      </c>
      <c r="CB91">
        <f ca="1">_xll.BDP($B$29,$C$29,CONCATENATE("PX391=", $CB$71), CONCATENATE("PX392=",$CB$72), CONCATENATE("DS004=",$B$64), "Fill=B")</f>
        <v>125336</v>
      </c>
      <c r="CC91">
        <f ca="1">_xll.BDP($B$29,$C$29,CONCATENATE("PX391=", $CC$71), CONCATENATE("PX392=",$CC$72), CONCATENATE("DS004=",$B$64), "Fill=B")</f>
        <v>117290</v>
      </c>
      <c r="CD91">
        <f ca="1">_xll.BDP($B$29,$C$29,CONCATENATE("PX391=", $CD$71), CONCATENATE("PX392=",$CD$72), CONCATENATE("DS004=",$B$64), "Fill=B")</f>
        <v>126098</v>
      </c>
      <c r="CE91">
        <f ca="1">_xll.BDP($B$29,$C$29,CONCATENATE("PX391=", $CE$71), CONCATENATE("PX392=",$CE$72), CONCATENATE("DS004=",$B$64), "Fill=B")</f>
        <v>118304</v>
      </c>
      <c r="CF91">
        <f ca="1">_xll.BDP($B$29,$C$29,CONCATENATE("PX391=", $CF$71), CONCATENATE("PX392=",$CF$72), CONCATENATE("DS004=",$B$64), "Fill=B")</f>
        <v>118786</v>
      </c>
      <c r="CG91">
        <f ca="1">_xll.BDP($B$29,$C$29,CONCATENATE("PX391=", $CG$71), CONCATENATE("PX392=",$CG$72), CONCATENATE("DS004=",$B$64), "Fill=B")</f>
        <v>116260</v>
      </c>
      <c r="CH91">
        <f ca="1">_xll.BDP($B$29,$C$29,CONCATENATE("PX391=", $CH$71), CONCATENATE("PX392=",$CH$72), CONCATENATE("DS004=",$B$64), "Fill=B")</f>
        <v>120435</v>
      </c>
      <c r="CI91">
        <f ca="1">_xll.BDP($B$29,$C$29,CONCATENATE("PX391=", $CI$71), CONCATENATE("PX392=",$CI$72), CONCATENATE("DS004=",$B$64), "Fill=B")</f>
        <v>119811</v>
      </c>
      <c r="CJ91">
        <f ca="1">_xll.BDP($B$29,$C$29,CONCATENATE("PX391=", $CJ$71), CONCATENATE("PX392=",$CJ$72), CONCATENATE("DS004=",$B$64), "Fill=B")</f>
        <v>118234</v>
      </c>
      <c r="CK91">
        <f ca="1">_xll.BDP($B$29,$C$29,CONCATENATE("PX391=", $CK$71), CONCATENATE("PX392=",$CK$72), CONCATENATE("DS004=",$B$64), "Fill=B")</f>
        <v>122933</v>
      </c>
      <c r="CL91" t="str">
        <f>""</f>
        <v/>
      </c>
      <c r="CM91" t="str">
        <f>""</f>
        <v/>
      </c>
      <c r="CN91" t="str">
        <f>""</f>
        <v/>
      </c>
      <c r="CO91" t="str">
        <f>""</f>
        <v/>
      </c>
      <c r="CP91" t="str">
        <f>""</f>
        <v/>
      </c>
      <c r="CQ91" t="str">
        <f>""</f>
        <v/>
      </c>
      <c r="CR91" t="str">
        <f>""</f>
        <v/>
      </c>
      <c r="CS91" t="str">
        <f>""</f>
        <v/>
      </c>
      <c r="CT91" t="str">
        <f>""</f>
        <v/>
      </c>
      <c r="CU91" t="str">
        <f>""</f>
        <v/>
      </c>
      <c r="CV91" t="str">
        <f>""</f>
        <v/>
      </c>
      <c r="CW91" t="str">
        <f>""</f>
        <v/>
      </c>
      <c r="CX91" t="str">
        <f>""</f>
        <v/>
      </c>
      <c r="CY91" t="str">
        <f>""</f>
        <v/>
      </c>
      <c r="CZ91" t="str">
        <f>""</f>
        <v/>
      </c>
      <c r="DA91" t="str">
        <f>""</f>
        <v/>
      </c>
      <c r="DB91" t="str">
        <f>""</f>
        <v/>
      </c>
      <c r="DC91" t="str">
        <f>""</f>
        <v/>
      </c>
      <c r="DD91" t="str">
        <f>""</f>
        <v/>
      </c>
      <c r="DE91" t="str">
        <f>""</f>
        <v/>
      </c>
      <c r="DF91" t="str">
        <f>""</f>
        <v/>
      </c>
      <c r="DG91" t="str">
        <f>""</f>
        <v/>
      </c>
      <c r="DH91" t="str">
        <f>""</f>
        <v/>
      </c>
      <c r="DI91" t="str">
        <f>""</f>
        <v/>
      </c>
      <c r="DJ91" t="str">
        <f>""</f>
        <v/>
      </c>
      <c r="DK91" t="str">
        <f>""</f>
        <v/>
      </c>
      <c r="DL91" t="str">
        <f>""</f>
        <v/>
      </c>
      <c r="DM91" t="str">
        <f>""</f>
        <v/>
      </c>
      <c r="DN91" t="str">
        <f>""</f>
        <v/>
      </c>
      <c r="DO91" t="str">
        <f>""</f>
        <v/>
      </c>
      <c r="DP91" t="str">
        <f>""</f>
        <v/>
      </c>
      <c r="DQ91" t="str">
        <f>""</f>
        <v/>
      </c>
      <c r="DR91" t="str">
        <f>""</f>
        <v/>
      </c>
      <c r="DS91" t="str">
        <f>""</f>
        <v/>
      </c>
      <c r="DT91" t="str">
        <f>""</f>
        <v/>
      </c>
      <c r="DU91" t="str">
        <f>""</f>
        <v/>
      </c>
      <c r="DV91" t="str">
        <f>""</f>
        <v/>
      </c>
      <c r="DW91" t="str">
        <f>""</f>
        <v/>
      </c>
      <c r="DX91" t="str">
        <f>""</f>
        <v/>
      </c>
      <c r="DY91" t="str">
        <f>""</f>
        <v/>
      </c>
      <c r="DZ91" t="str">
        <f>""</f>
        <v/>
      </c>
      <c r="EA91" t="str">
        <f>""</f>
        <v/>
      </c>
      <c r="EB91" t="str">
        <f>""</f>
        <v/>
      </c>
      <c r="EC91" t="str">
        <f>""</f>
        <v/>
      </c>
      <c r="ED91" t="str">
        <f>""</f>
        <v/>
      </c>
      <c r="EE91" t="str">
        <f>""</f>
        <v/>
      </c>
      <c r="EF91" t="str">
        <f>""</f>
        <v/>
      </c>
      <c r="EG91" t="str">
        <f>""</f>
        <v/>
      </c>
      <c r="EH91" t="str">
        <f>""</f>
        <v/>
      </c>
      <c r="EI91" t="str">
        <f>""</f>
        <v/>
      </c>
      <c r="EJ91" t="str">
        <f>""</f>
        <v/>
      </c>
      <c r="EK91" t="str">
        <f>""</f>
        <v/>
      </c>
      <c r="EL91" t="str">
        <f>""</f>
        <v/>
      </c>
      <c r="EM91" t="str">
        <f>""</f>
        <v/>
      </c>
      <c r="EN91" t="str">
        <f>""</f>
        <v/>
      </c>
      <c r="EO91" t="str">
        <f>""</f>
        <v/>
      </c>
      <c r="EP91" t="str">
        <f>""</f>
        <v/>
      </c>
      <c r="EQ91" t="str">
        <f>""</f>
        <v/>
      </c>
      <c r="ER91" t="str">
        <f>""</f>
        <v/>
      </c>
      <c r="ES91" t="str">
        <f>""</f>
        <v/>
      </c>
      <c r="ET91" t="str">
        <f>""</f>
        <v/>
      </c>
      <c r="EU91" t="str">
        <f>""</f>
        <v/>
      </c>
      <c r="EV91" t="str">
        <f>""</f>
        <v/>
      </c>
      <c r="EW91" t="str">
        <f>""</f>
        <v/>
      </c>
      <c r="EX91" t="str">
        <f>""</f>
        <v/>
      </c>
      <c r="EY91" t="str">
        <f>""</f>
        <v/>
      </c>
      <c r="EZ91" t="str">
        <f>""</f>
        <v/>
      </c>
      <c r="FA91" t="str">
        <f>""</f>
        <v/>
      </c>
      <c r="FB91" t="str">
        <f>""</f>
        <v/>
      </c>
      <c r="FC91" t="str">
        <f>""</f>
        <v/>
      </c>
      <c r="FD91" t="str">
        <f>""</f>
        <v/>
      </c>
      <c r="FE91" t="str">
        <f>""</f>
        <v/>
      </c>
      <c r="FF91" t="str">
        <f>""</f>
        <v/>
      </c>
      <c r="FG91" t="str">
        <f>""</f>
        <v/>
      </c>
      <c r="FH91" t="str">
        <f>""</f>
        <v/>
      </c>
      <c r="FI91" t="str">
        <f>""</f>
        <v/>
      </c>
      <c r="FJ91" t="str">
        <f>""</f>
        <v/>
      </c>
      <c r="FK91" t="str">
        <f>""</f>
        <v/>
      </c>
      <c r="FL91" t="str">
        <f>""</f>
        <v/>
      </c>
      <c r="FM91" t="str">
        <f>""</f>
        <v/>
      </c>
      <c r="FN91" t="str">
        <f>""</f>
        <v/>
      </c>
      <c r="FO91" t="str">
        <f>""</f>
        <v/>
      </c>
      <c r="FP91" t="str">
        <f>""</f>
        <v/>
      </c>
      <c r="FQ91" t="str">
        <f>""</f>
        <v/>
      </c>
    </row>
    <row r="92" spans="1:173" x14ac:dyDescent="0.25">
      <c r="A92" t="str">
        <f>$A$30</f>
        <v xml:space="preserve">        Empty Containers (TEU)</v>
      </c>
      <c r="B92" t="str">
        <f>$B$30</f>
        <v>LALBLBEM Index</v>
      </c>
      <c r="C92" t="str">
        <f>$C$30</f>
        <v>PX385</v>
      </c>
      <c r="D92" t="str">
        <f>$D$30</f>
        <v>INTERVAL_SUM</v>
      </c>
      <c r="E92" t="str">
        <f>$E$30</f>
        <v>Dynamic</v>
      </c>
      <c r="F92" t="str">
        <f ca="1">_xll.BDP($B$30,$C$30,CONCATENATE("PX391=", $F$71), CONCATENATE("PX392=",$F$72), CONCATENATE("DS004=",$B$64), "Fill=B")</f>
        <v/>
      </c>
      <c r="G92" t="str">
        <f ca="1">_xll.BDP($B$30,$C$30,CONCATENATE("PX391=", $G$71), CONCATENATE("PX392=",$G$72), CONCATENATE("DS004=",$B$64), "Fill=B")</f>
        <v/>
      </c>
      <c r="H92">
        <f ca="1">_xll.BDP($B$30,$C$30,CONCATENATE("PX391=", $H$71), CONCATENATE("PX392=",$H$72), CONCATENATE("DS004=",$B$64), "Fill=B")</f>
        <v>319255</v>
      </c>
      <c r="I92">
        <f ca="1">_xll.BDP($B$30,$C$30,CONCATENATE("PX391=", $I$71), CONCATENATE("PX392=",$I$72), CONCATENATE("DS004=",$B$64), "Fill=B")</f>
        <v>263475</v>
      </c>
      <c r="J92">
        <f ca="1">_xll.BDP($B$30,$C$30,CONCATENATE("PX391=", $J$71), CONCATENATE("PX392=",$J$72), CONCATENATE("DS004=",$B$64), "Fill=B")</f>
        <v>217030</v>
      </c>
      <c r="K92">
        <f ca="1">_xll.BDP($B$30,$C$30,CONCATENATE("PX391=", $K$71), CONCATENATE("PX392=",$K$72), CONCATENATE("DS004=",$B$64), "Fill=B")</f>
        <v>228243</v>
      </c>
      <c r="L92">
        <f ca="1">_xll.BDP($B$30,$C$30,CONCATENATE("PX391=", $L$71), CONCATENATE("PX392=",$L$72), CONCATENATE("DS004=",$B$64), "Fill=B")</f>
        <v>268695</v>
      </c>
      <c r="M92">
        <f ca="1">_xll.BDP($B$30,$C$30,CONCATENATE("PX391=", $M$71), CONCATENATE("PX392=",$M$72), CONCATENATE("DS004=",$B$64), "Fill=B")</f>
        <v>219942</v>
      </c>
      <c r="N92">
        <f ca="1">_xll.BDP($B$30,$C$30,CONCATENATE("PX391=", $N$71), CONCATENATE("PX392=",$N$72), CONCATENATE("DS004=",$B$64), "Fill=B")</f>
        <v>191219</v>
      </c>
      <c r="O92">
        <f ca="1">_xll.BDP($B$30,$C$30,CONCATENATE("PX391=", $O$71), CONCATENATE("PX392=",$O$72), CONCATENATE("DS004=",$B$64), "Fill=B")</f>
        <v>177787</v>
      </c>
      <c r="P92">
        <f ca="1">_xll.BDP($B$30,$C$30,CONCATENATE("PX391=", $P$71), CONCATENATE("PX392=",$P$72), CONCATENATE("DS004=",$B$64), "Fill=B")</f>
        <v>204756</v>
      </c>
      <c r="Q92">
        <f ca="1">_xll.BDP($B$30,$C$30,CONCATENATE("PX391=", $Q$71), CONCATENATE("PX392=",$Q$72), CONCATENATE("DS004=",$B$64), "Fill=B")</f>
        <v>186680</v>
      </c>
      <c r="R92">
        <f ca="1">_xll.BDP($B$30,$C$30,CONCATENATE("PX391=", $R$71), CONCATENATE("PX392=",$R$72), CONCATENATE("DS004=",$B$64), "Fill=B")</f>
        <v>204313</v>
      </c>
      <c r="S92">
        <f ca="1">_xll.BDP($B$30,$C$30,CONCATENATE("PX391=", $S$71), CONCATENATE("PX392=",$S$72), CONCATENATE("DS004=",$B$64), "Fill=B")</f>
        <v>244743</v>
      </c>
      <c r="T92">
        <f ca="1">_xll.BDP($B$30,$C$30,CONCATENATE("PX391=", $T$71), CONCATENATE("PX392=",$T$72), CONCATENATE("DS004=",$B$64), "Fill=B")</f>
        <v>286212</v>
      </c>
      <c r="U92">
        <f ca="1">_xll.BDP($B$30,$C$30,CONCATENATE("PX391=", $U$71), CONCATENATE("PX392=",$U$72), CONCATENATE("DS004=",$B$64), "Fill=B")</f>
        <v>301002</v>
      </c>
      <c r="V92">
        <f ca="1">_xll.BDP($B$30,$C$30,CONCATENATE("PX391=", $V$71), CONCATENATE("PX392=",$V$72), CONCATENATE("DS004=",$B$64), "Fill=B")</f>
        <v>300257</v>
      </c>
      <c r="W92">
        <f ca="1">_xll.BDP($B$30,$C$30,CONCATENATE("PX391=", $W$71), CONCATENATE("PX392=",$W$72), CONCATENATE("DS004=",$B$64), "Fill=B")</f>
        <v>304432</v>
      </c>
      <c r="X92">
        <f ca="1">_xll.BDP($B$30,$C$30,CONCATENATE("PX391=", $X$71), CONCATENATE("PX392=",$X$72), CONCATENATE("DS004=",$B$64), "Fill=B")</f>
        <v>335778</v>
      </c>
      <c r="Y92">
        <f ca="1">_xll.BDP($B$30,$C$30,CONCATENATE("PX391=", $Y$71), CONCATENATE("PX392=",$Y$72), CONCATENATE("DS004=",$B$64), "Fill=B")</f>
        <v>298040</v>
      </c>
      <c r="Z92">
        <f ca="1">_xll.BDP($B$30,$C$30,CONCATENATE("PX391=", $Z$71), CONCATENATE("PX392=",$Z$72), CONCATENATE("DS004=",$B$64), "Fill=B")</f>
        <v>321691</v>
      </c>
      <c r="AA92">
        <f ca="1">_xll.BDP($B$30,$C$30,CONCATENATE("PX391=", $AA$71), CONCATENATE("PX392=",$AA$72), CONCATENATE("DS004=",$B$64), "Fill=B")</f>
        <v>288290</v>
      </c>
      <c r="AB92">
        <f ca="1">_xll.BDP($B$30,$C$30,CONCATENATE("PX391=", $AB$71), CONCATENATE("PX392=",$AB$72), CONCATENATE("DS004=",$B$64), "Fill=B")</f>
        <v>288550</v>
      </c>
      <c r="AC92">
        <f ca="1">_xll.BDP($B$30,$C$30,CONCATENATE("PX391=", $AC$71), CONCATENATE("PX392=",$AC$72), CONCATENATE("DS004=",$B$64), "Fill=B")</f>
        <v>281709</v>
      </c>
      <c r="AD92">
        <f ca="1">_xll.BDP($B$30,$C$30,CONCATENATE("PX391=", $AD$71), CONCATENATE("PX392=",$AD$72), CONCATENATE("DS004=",$B$64), "Fill=B")</f>
        <v>273274</v>
      </c>
      <c r="AE92">
        <f ca="1">_xll.BDP($B$30,$C$30,CONCATENATE("PX391=", $AE$71), CONCATENATE("PX392=",$AE$72), CONCATENATE("DS004=",$B$64), "Fill=B")</f>
        <v>282502</v>
      </c>
      <c r="AF92">
        <f ca="1">_xll.BDP($B$30,$C$30,CONCATENATE("PX391=", $AF$71), CONCATENATE("PX392=",$AF$72), CONCATENATE("DS004=",$B$64), "Fill=B")</f>
        <v>267456</v>
      </c>
      <c r="AG92">
        <f ca="1">_xll.BDP($B$30,$C$30,CONCATENATE("PX391=", $AG$71), CONCATENATE("PX392=",$AG$72), CONCATENATE("DS004=",$B$64), "Fill=B")</f>
        <v>280794</v>
      </c>
      <c r="AH92">
        <f ca="1">_xll.BDP($B$30,$C$30,CONCATENATE("PX391=", $AH$71), CONCATENATE("PX392=",$AH$72), CONCATENATE("DS004=",$B$64), "Fill=B")</f>
        <v>291955</v>
      </c>
      <c r="AI92">
        <f ca="1">_xll.BDP($B$30,$C$30,CONCATENATE("PX391=", $AI$71), CONCATENATE("PX392=",$AI$72), CONCATENATE("DS004=",$B$64), "Fill=B")</f>
        <v>250249</v>
      </c>
      <c r="AJ92">
        <f ca="1">_xll.BDP($B$30,$C$30,CONCATENATE("PX391=", $AJ$71), CONCATENATE("PX392=",$AJ$72), CONCATENATE("DS004=",$B$64), "Fill=B")</f>
        <v>327135</v>
      </c>
      <c r="AK92">
        <f ca="1">_xll.BDP($B$30,$C$30,CONCATENATE("PX391=", $AK$71), CONCATENATE("PX392=",$AK$72), CONCATENATE("DS004=",$B$64), "Fill=B")</f>
        <v>254969</v>
      </c>
      <c r="AL92">
        <f ca="1">_xll.BDP($B$30,$C$30,CONCATENATE("PX391=", $AL$71), CONCATENATE("PX392=",$AL$72), CONCATENATE("DS004=",$B$64), "Fill=B")</f>
        <v>292504</v>
      </c>
      <c r="AM92">
        <f ca="1">_xll.BDP($B$30,$C$30,CONCATENATE("PX391=", $AM$71), CONCATENATE("PX392=",$AM$72), CONCATENATE("DS004=",$B$64), "Fill=B")</f>
        <v>278563</v>
      </c>
      <c r="AN92">
        <f ca="1">_xll.BDP($B$30,$C$30,CONCATENATE("PX391=", $AN$71), CONCATENATE("PX392=",$AN$72), CONCATENATE("DS004=",$B$64), "Fill=B")</f>
        <v>283498</v>
      </c>
      <c r="AO92">
        <f ca="1">_xll.BDP($B$30,$C$30,CONCATENATE("PX391=", $AO$71), CONCATENATE("PX392=",$AO$72), CONCATENATE("DS004=",$B$64), "Fill=B")</f>
        <v>277440</v>
      </c>
      <c r="AP92">
        <f ca="1">_xll.BDP($B$30,$C$30,CONCATENATE("PX391=", $AP$71), CONCATENATE("PX392=",$AP$72), CONCATENATE("DS004=",$B$64), "Fill=B")</f>
        <v>283563</v>
      </c>
      <c r="AQ92">
        <f ca="1">_xll.BDP($B$30,$C$30,CONCATENATE("PX391=", $AQ$71), CONCATENATE("PX392=",$AQ$72), CONCATENATE("DS004=",$B$64), "Fill=B")</f>
        <v>289517</v>
      </c>
      <c r="AR92">
        <f ca="1">_xll.BDP($B$30,$C$30,CONCATENATE("PX391=", $AR$71), CONCATENATE("PX392=",$AR$72), CONCATENATE("DS004=",$B$64), "Fill=B")</f>
        <v>277406</v>
      </c>
      <c r="AS92">
        <f ca="1">_xll.BDP($B$30,$C$30,CONCATENATE("PX391=", $AS$71), CONCATENATE("PX392=",$AS$72), CONCATENATE("DS004=",$B$64), "Fill=B")</f>
        <v>234642</v>
      </c>
      <c r="AT92">
        <f ca="1">_xll.BDP($B$30,$C$30,CONCATENATE("PX391=", $AT$71), CONCATENATE("PX392=",$AT$72), CONCATENATE("DS004=",$B$64), "Fill=B")</f>
        <v>237672</v>
      </c>
      <c r="AU92">
        <f ca="1">_xll.BDP($B$30,$C$30,CONCATENATE("PX391=", $AU$71), CONCATENATE("PX392=",$AU$72), CONCATENATE("DS004=",$B$64), "Fill=B")</f>
        <v>183928</v>
      </c>
      <c r="AV92">
        <f ca="1">_xll.BDP($B$30,$C$30,CONCATENATE("PX391=", $AV$71), CONCATENATE("PX392=",$AV$72), CONCATENATE("DS004=",$B$64), "Fill=B")</f>
        <v>181060</v>
      </c>
      <c r="AW92">
        <f ca="1">_xll.BDP($B$30,$C$30,CONCATENATE("PX391=", $AW$71), CONCATENATE("PX392=",$AW$72), CONCATENATE("DS004=",$B$64), "Fill=B")</f>
        <v>163689</v>
      </c>
      <c r="AX92">
        <f ca="1">_xll.BDP($B$30,$C$30,CONCATENATE("PX391=", $AX$71), CONCATENATE("PX392=",$AX$72), CONCATENATE("DS004=",$B$64), "Fill=B")</f>
        <v>137652</v>
      </c>
      <c r="AY92">
        <f ca="1">_xll.BDP($B$30,$C$30,CONCATENATE("PX391=", $AY$71), CONCATENATE("PX392=",$AY$72), CONCATENATE("DS004=",$B$64), "Fill=B")</f>
        <v>164277</v>
      </c>
      <c r="AZ92">
        <f ca="1">_xll.BDP($B$30,$C$30,CONCATENATE("PX391=", $AZ$71), CONCATENATE("PX392=",$AZ$72), CONCATENATE("DS004=",$B$64), "Fill=B")</f>
        <v>208244</v>
      </c>
      <c r="BA92">
        <f ca="1">_xll.BDP($B$30,$C$30,CONCATENATE("PX391=", $BA$71), CONCATENATE("PX392=",$BA$72), CONCATENATE("DS004=",$B$64), "Fill=B")</f>
        <v>216635</v>
      </c>
      <c r="BB92">
        <f ca="1">_xll.BDP($B$30,$C$30,CONCATENATE("PX391=", $BB$71), CONCATENATE("PX392=",$BB$72), CONCATENATE("DS004=",$B$64), "Fill=B")</f>
        <v>182992</v>
      </c>
      <c r="BC92">
        <f ca="1">_xll.BDP($B$30,$C$30,CONCATENATE("PX391=", $BC$71), CONCATENATE("PX392=",$BC$72), CONCATENATE("DS004=",$B$64), "Fill=B")</f>
        <v>219728</v>
      </c>
      <c r="BD92">
        <f ca="1">_xll.BDP($B$30,$C$30,CONCATENATE("PX391=", $BD$71), CONCATENATE("PX392=",$BD$72), CONCATENATE("DS004=",$B$64), "Fill=B")</f>
        <v>228821</v>
      </c>
      <c r="BE92">
        <f ca="1">_xll.BDP($B$30,$C$30,CONCATENATE("PX391=", $BE$71), CONCATENATE("PX392=",$BE$72), CONCATENATE("DS004=",$B$64), "Fill=B")</f>
        <v>216238</v>
      </c>
      <c r="BF92">
        <f ca="1">_xll.BDP($B$30,$C$30,CONCATENATE("PX391=", $BF$71), CONCATENATE("PX392=",$BF$72), CONCATENATE("DS004=",$B$64), "Fill=B")</f>
        <v>196777</v>
      </c>
      <c r="BG92">
        <f ca="1">_xll.BDP($B$30,$C$30,CONCATENATE("PX391=", $BG$71), CONCATENATE("PX392=",$BG$72), CONCATENATE("DS004=",$B$64), "Fill=B")</f>
        <v>211718</v>
      </c>
      <c r="BH92">
        <f ca="1">_xll.BDP($B$30,$C$30,CONCATENATE("PX391=", $BH$71), CONCATENATE("PX392=",$BH$72), CONCATENATE("DS004=",$B$64), "Fill=B")</f>
        <v>162479</v>
      </c>
      <c r="BI92">
        <f ca="1">_xll.BDP($B$30,$C$30,CONCATENATE("PX391=", $BI$71), CONCATENATE("PX392=",$BI$72), CONCATENATE("DS004=",$B$64), "Fill=B")</f>
        <v>186435</v>
      </c>
      <c r="BJ92">
        <f ca="1">_xll.BDP($B$30,$C$30,CONCATENATE("PX391=", $BJ$71), CONCATENATE("PX392=",$BJ$72), CONCATENATE("DS004=",$B$64), "Fill=B")</f>
        <v>174346</v>
      </c>
      <c r="BK92">
        <f ca="1">_xll.BDP($B$30,$C$30,CONCATENATE("PX391=", $BK$71), CONCATENATE("PX392=",$BK$72), CONCATENATE("DS004=",$B$64), "Fill=B")</f>
        <v>188465</v>
      </c>
      <c r="BL92">
        <f ca="1">_xll.BDP($B$30,$C$30,CONCATENATE("PX391=", $BL$71), CONCATENATE("PX392=",$BL$72), CONCATENATE("DS004=",$B$64), "Fill=B")</f>
        <v>216160</v>
      </c>
      <c r="BM92">
        <f ca="1">_xll.BDP($B$30,$C$30,CONCATENATE("PX391=", $BM$71), CONCATENATE("PX392=",$BM$72), CONCATENATE("DS004=",$B$64), "Fill=B")</f>
        <v>255220</v>
      </c>
      <c r="BN92">
        <f ca="1">_xll.BDP($B$30,$C$30,CONCATENATE("PX391=", $BN$71), CONCATENATE("PX392=",$BN$72), CONCATENATE("DS004=",$B$64), "Fill=B")</f>
        <v>186183</v>
      </c>
      <c r="BO92">
        <f ca="1">_xll.BDP($B$30,$C$30,CONCATENATE("PX391=", $BO$71), CONCATENATE("PX392=",$BO$72), CONCATENATE("DS004=",$B$64), "Fill=B")</f>
        <v>221487</v>
      </c>
      <c r="BP92">
        <f ca="1">_xll.BDP($B$30,$C$30,CONCATENATE("PX391=", $BP$71), CONCATENATE("PX392=",$BP$72), CONCATENATE("DS004=",$B$64), "Fill=B")</f>
        <v>222343</v>
      </c>
      <c r="BQ92">
        <f ca="1">_xll.BDP($B$30,$C$30,CONCATENATE("PX391=", $BQ$71), CONCATENATE("PX392=",$BQ$72), CONCATENATE("DS004=",$B$64), "Fill=B")</f>
        <v>216968</v>
      </c>
      <c r="BR92">
        <f ca="1">_xll.BDP($B$30,$C$30,CONCATENATE("PX391=", $BR$71), CONCATENATE("PX392=",$BR$72), CONCATENATE("DS004=",$B$64), "Fill=B")</f>
        <v>220975</v>
      </c>
      <c r="BS92">
        <f ca="1">_xll.BDP($B$30,$C$30,CONCATENATE("PX391=", $BS$71), CONCATENATE("PX392=",$BS$72), CONCATENATE("DS004=",$B$64), "Fill=B")</f>
        <v>232926</v>
      </c>
      <c r="BT92">
        <f ca="1">_xll.BDP($B$30,$C$30,CONCATENATE("PX391=", $BT$71), CONCATENATE("PX392=",$BT$72), CONCATENATE("DS004=",$B$64), "Fill=B")</f>
        <v>183959</v>
      </c>
      <c r="BU92">
        <f ca="1">_xll.BDP($B$30,$C$30,CONCATENATE("PX391=", $BU$71), CONCATENATE("PX392=",$BU$72), CONCATENATE("DS004=",$B$64), "Fill=B")</f>
        <v>164264</v>
      </c>
      <c r="BV92">
        <f ca="1">_xll.BDP($B$30,$C$30,CONCATENATE("PX391=", $BV$71), CONCATENATE("PX392=",$BV$72), CONCATENATE("DS004=",$B$64), "Fill=B")</f>
        <v>165015</v>
      </c>
      <c r="BW92">
        <f ca="1">_xll.BDP($B$30,$C$30,CONCATENATE("PX391=", $BW$71), CONCATENATE("PX392=",$BW$72), CONCATENATE("DS004=",$B$64), "Fill=B")</f>
        <v>188628</v>
      </c>
      <c r="BX92">
        <f ca="1">_xll.BDP($B$30,$C$30,CONCATENATE("PX391=", $BX$71), CONCATENATE("PX392=",$BX$72), CONCATENATE("DS004=",$B$64), "Fill=B")</f>
        <v>212671</v>
      </c>
      <c r="BY92">
        <f ca="1">_xll.BDP($B$30,$C$30,CONCATENATE("PX391=", $BY$71), CONCATENATE("PX392=",$BY$72), CONCATENATE("DS004=",$B$64), "Fill=B")</f>
        <v>213749</v>
      </c>
      <c r="BZ92">
        <f ca="1">_xll.BDP($B$30,$C$30,CONCATENATE("PX391=", $BZ$71), CONCATENATE("PX392=",$BZ$72), CONCATENATE("DS004=",$B$64), "Fill=B")</f>
        <v>167085</v>
      </c>
      <c r="CA92">
        <f ca="1">_xll.BDP($B$30,$C$30,CONCATENATE("PX391=", $CA$71), CONCATENATE("PX392=",$CA$72), CONCATENATE("DS004=",$B$64), "Fill=B")</f>
        <v>204055</v>
      </c>
      <c r="CB92">
        <f ca="1">_xll.BDP($B$30,$C$30,CONCATENATE("PX391=", $CB$71), CONCATENATE("PX392=",$CB$72), CONCATENATE("DS004=",$B$64), "Fill=B")</f>
        <v>209985</v>
      </c>
      <c r="CC92">
        <f ca="1">_xll.BDP($B$30,$C$30,CONCATENATE("PX391=", $CC$71), CONCATENATE("PX392=",$CC$72), CONCATENATE("DS004=",$B$64), "Fill=B")</f>
        <v>219370</v>
      </c>
      <c r="CD92">
        <f ca="1">_xll.BDP($B$30,$C$30,CONCATENATE("PX391=", $CD$71), CONCATENATE("PX392=",$CD$72), CONCATENATE("DS004=",$B$64), "Fill=B")</f>
        <v>215394</v>
      </c>
      <c r="CE92">
        <f ca="1">_xll.BDP($B$30,$C$30,CONCATENATE("PX391=", $CE$71), CONCATENATE("PX392=",$CE$72), CONCATENATE("DS004=",$B$64), "Fill=B")</f>
        <v>205095</v>
      </c>
      <c r="CF92">
        <f ca="1">_xll.BDP($B$30,$C$30,CONCATENATE("PX391=", $CF$71), CONCATENATE("PX392=",$CF$72), CONCATENATE("DS004=",$B$64), "Fill=B")</f>
        <v>192908</v>
      </c>
      <c r="CG92">
        <f ca="1">_xll.BDP($B$30,$C$30,CONCATENATE("PX391=", $CG$71), CONCATENATE("PX392=",$CG$72), CONCATENATE("DS004=",$B$64), "Fill=B")</f>
        <v>153547</v>
      </c>
      <c r="CH92">
        <f ca="1">_xll.BDP($B$30,$C$30,CONCATENATE("PX391=", $CH$71), CONCATENATE("PX392=",$CH$72), CONCATENATE("DS004=",$B$64), "Fill=B")</f>
        <v>135413</v>
      </c>
      <c r="CI92">
        <f ca="1">_xll.BDP($B$30,$C$30,CONCATENATE("PX391=", $CI$71), CONCATENATE("PX392=",$CI$72), CONCATENATE("DS004=",$B$64), "Fill=B")</f>
        <v>128742</v>
      </c>
      <c r="CJ92">
        <f ca="1">_xll.BDP($B$30,$C$30,CONCATENATE("PX391=", $CJ$71), CONCATENATE("PX392=",$CJ$72), CONCATENATE("DS004=",$B$64), "Fill=B")</f>
        <v>165465</v>
      </c>
      <c r="CK92">
        <f ca="1">_xll.BDP($B$30,$C$30,CONCATENATE("PX391=", $CK$71), CONCATENATE("PX392=",$CK$72), CONCATENATE("DS004=",$B$64), "Fill=B")</f>
        <v>154397</v>
      </c>
      <c r="CL92" t="str">
        <f>""</f>
        <v/>
      </c>
      <c r="CM92" t="str">
        <f>""</f>
        <v/>
      </c>
      <c r="CN92" t="str">
        <f>""</f>
        <v/>
      </c>
      <c r="CO92" t="str">
        <f>""</f>
        <v/>
      </c>
      <c r="CP92" t="str">
        <f>""</f>
        <v/>
      </c>
      <c r="CQ92" t="str">
        <f>""</f>
        <v/>
      </c>
      <c r="CR92" t="str">
        <f>""</f>
        <v/>
      </c>
      <c r="CS92" t="str">
        <f>""</f>
        <v/>
      </c>
      <c r="CT92" t="str">
        <f>""</f>
        <v/>
      </c>
      <c r="CU92" t="str">
        <f>""</f>
        <v/>
      </c>
      <c r="CV92" t="str">
        <f>""</f>
        <v/>
      </c>
      <c r="CW92" t="str">
        <f>""</f>
        <v/>
      </c>
      <c r="CX92" t="str">
        <f>""</f>
        <v/>
      </c>
      <c r="CY92" t="str">
        <f>""</f>
        <v/>
      </c>
      <c r="CZ92" t="str">
        <f>""</f>
        <v/>
      </c>
      <c r="DA92" t="str">
        <f>""</f>
        <v/>
      </c>
      <c r="DB92" t="str">
        <f>""</f>
        <v/>
      </c>
      <c r="DC92" t="str">
        <f>""</f>
        <v/>
      </c>
      <c r="DD92" t="str">
        <f>""</f>
        <v/>
      </c>
      <c r="DE92" t="str">
        <f>""</f>
        <v/>
      </c>
      <c r="DF92" t="str">
        <f>""</f>
        <v/>
      </c>
      <c r="DG92" t="str">
        <f>""</f>
        <v/>
      </c>
      <c r="DH92" t="str">
        <f>""</f>
        <v/>
      </c>
      <c r="DI92" t="str">
        <f>""</f>
        <v/>
      </c>
      <c r="DJ92" t="str">
        <f>""</f>
        <v/>
      </c>
      <c r="DK92" t="str">
        <f>""</f>
        <v/>
      </c>
      <c r="DL92" t="str">
        <f>""</f>
        <v/>
      </c>
      <c r="DM92" t="str">
        <f>""</f>
        <v/>
      </c>
      <c r="DN92" t="str">
        <f>""</f>
        <v/>
      </c>
      <c r="DO92" t="str">
        <f>""</f>
        <v/>
      </c>
      <c r="DP92" t="str">
        <f>""</f>
        <v/>
      </c>
      <c r="DQ92" t="str">
        <f>""</f>
        <v/>
      </c>
      <c r="DR92" t="str">
        <f>""</f>
        <v/>
      </c>
      <c r="DS92" t="str">
        <f>""</f>
        <v/>
      </c>
      <c r="DT92" t="str">
        <f>""</f>
        <v/>
      </c>
      <c r="DU92" t="str">
        <f>""</f>
        <v/>
      </c>
      <c r="DV92" t="str">
        <f>""</f>
        <v/>
      </c>
      <c r="DW92" t="str">
        <f>""</f>
        <v/>
      </c>
      <c r="DX92" t="str">
        <f>""</f>
        <v/>
      </c>
      <c r="DY92" t="str">
        <f>""</f>
        <v/>
      </c>
      <c r="DZ92" t="str">
        <f>""</f>
        <v/>
      </c>
      <c r="EA92" t="str">
        <f>""</f>
        <v/>
      </c>
      <c r="EB92" t="str">
        <f>""</f>
        <v/>
      </c>
      <c r="EC92" t="str">
        <f>""</f>
        <v/>
      </c>
      <c r="ED92" t="str">
        <f>""</f>
        <v/>
      </c>
      <c r="EE92" t="str">
        <f>""</f>
        <v/>
      </c>
      <c r="EF92" t="str">
        <f>""</f>
        <v/>
      </c>
      <c r="EG92" t="str">
        <f>""</f>
        <v/>
      </c>
      <c r="EH92" t="str">
        <f>""</f>
        <v/>
      </c>
      <c r="EI92" t="str">
        <f>""</f>
        <v/>
      </c>
      <c r="EJ92" t="str">
        <f>""</f>
        <v/>
      </c>
      <c r="EK92" t="str">
        <f>""</f>
        <v/>
      </c>
      <c r="EL92" t="str">
        <f>""</f>
        <v/>
      </c>
      <c r="EM92" t="str">
        <f>""</f>
        <v/>
      </c>
      <c r="EN92" t="str">
        <f>""</f>
        <v/>
      </c>
      <c r="EO92" t="str">
        <f>""</f>
        <v/>
      </c>
      <c r="EP92" t="str">
        <f>""</f>
        <v/>
      </c>
      <c r="EQ92" t="str">
        <f>""</f>
        <v/>
      </c>
      <c r="ER92" t="str">
        <f>""</f>
        <v/>
      </c>
      <c r="ES92" t="str">
        <f>""</f>
        <v/>
      </c>
      <c r="ET92" t="str">
        <f>""</f>
        <v/>
      </c>
      <c r="EU92" t="str">
        <f>""</f>
        <v/>
      </c>
      <c r="EV92" t="str">
        <f>""</f>
        <v/>
      </c>
      <c r="EW92" t="str">
        <f>""</f>
        <v/>
      </c>
      <c r="EX92" t="str">
        <f>""</f>
        <v/>
      </c>
      <c r="EY92" t="str">
        <f>""</f>
        <v/>
      </c>
      <c r="EZ92" t="str">
        <f>""</f>
        <v/>
      </c>
      <c r="FA92" t="str">
        <f>""</f>
        <v/>
      </c>
      <c r="FB92" t="str">
        <f>""</f>
        <v/>
      </c>
      <c r="FC92" t="str">
        <f>""</f>
        <v/>
      </c>
      <c r="FD92" t="str">
        <f>""</f>
        <v/>
      </c>
      <c r="FE92" t="str">
        <f>""</f>
        <v/>
      </c>
      <c r="FF92" t="str">
        <f>""</f>
        <v/>
      </c>
      <c r="FG92" t="str">
        <f>""</f>
        <v/>
      </c>
      <c r="FH92" t="str">
        <f>""</f>
        <v/>
      </c>
      <c r="FI92" t="str">
        <f>""</f>
        <v/>
      </c>
      <c r="FJ92" t="str">
        <f>""</f>
        <v/>
      </c>
      <c r="FK92" t="str">
        <f>""</f>
        <v/>
      </c>
      <c r="FL92" t="str">
        <f>""</f>
        <v/>
      </c>
      <c r="FM92" t="str">
        <f>""</f>
        <v/>
      </c>
      <c r="FN92" t="str">
        <f>""</f>
        <v/>
      </c>
      <c r="FO92" t="str">
        <f>""</f>
        <v/>
      </c>
      <c r="FP92" t="str">
        <f>""</f>
        <v/>
      </c>
      <c r="FQ92" t="str">
        <f>""</f>
        <v/>
      </c>
    </row>
    <row r="93" spans="1:173" x14ac:dyDescent="0.25">
      <c r="A93" t="str">
        <f>$A$31</f>
        <v xml:space="preserve">    Port of New York New Jersey (TEU)</v>
      </c>
      <c r="B93" t="str">
        <f>$B$31</f>
        <v>PONYTOTL Index</v>
      </c>
      <c r="C93" t="str">
        <f>$C$31</f>
        <v>PX385</v>
      </c>
      <c r="D93" t="str">
        <f>$D$31</f>
        <v>INTERVAL_SUM</v>
      </c>
      <c r="E93" t="str">
        <f>$E$31</f>
        <v>Dynamic</v>
      </c>
      <c r="F93" t="str">
        <f ca="1">_xll.BDP($B$31,$C$31,CONCATENATE("PX391=", $F$71), CONCATENATE("PX392=",$F$72), CONCATENATE("DS004=",$B$64), "Fill=B")</f>
        <v/>
      </c>
      <c r="G93" t="str">
        <f ca="1">_xll.BDP($B$31,$C$31,CONCATENATE("PX391=", $G$71), CONCATENATE("PX392=",$G$72), CONCATENATE("DS004=",$B$64), "Fill=B")</f>
        <v/>
      </c>
      <c r="H93">
        <f ca="1">_xll.BDP($B$31,$C$31,CONCATENATE("PX391=", $H$71), CONCATENATE("PX392=",$H$72), CONCATENATE("DS004=",$B$64), "Fill=B")</f>
        <v>439412</v>
      </c>
      <c r="I93">
        <f ca="1">_xll.BDP($B$31,$C$31,CONCATENATE("PX391=", $I$71), CONCATENATE("PX392=",$I$72), CONCATENATE("DS004=",$B$64), "Fill=B")</f>
        <v>454946</v>
      </c>
      <c r="J93">
        <f ca="1">_xll.BDP($B$31,$C$31,CONCATENATE("PX391=", $J$71), CONCATENATE("PX392=",$J$72), CONCATENATE("DS004=",$B$64), "Fill=B")</f>
        <v>472334</v>
      </c>
      <c r="K93">
        <f ca="1">_xll.BDP($B$31,$C$31,CONCATENATE("PX391=", $K$71), CONCATENATE("PX392=",$K$72), CONCATENATE("DS004=",$B$64), "Fill=B")</f>
        <v>428190</v>
      </c>
      <c r="L93">
        <f ca="1">_xll.BDP($B$31,$C$31,CONCATENATE("PX391=", $L$71), CONCATENATE("PX392=",$L$72), CONCATENATE("DS004=",$B$64), "Fill=B")</f>
        <v>462125</v>
      </c>
      <c r="M93">
        <f ca="1">_xll.BDP($B$31,$C$31,CONCATENATE("PX391=", $M$71), CONCATENATE("PX392=",$M$72), CONCATENATE("DS004=",$B$64), "Fill=B")</f>
        <v>431191</v>
      </c>
      <c r="N93">
        <f ca="1">_xll.BDP($B$31,$C$31,CONCATENATE("PX391=", $N$71), CONCATENATE("PX392=",$N$72), CONCATENATE("DS004=",$B$64), "Fill=B")</f>
        <v>404066</v>
      </c>
      <c r="O93">
        <f ca="1">_xll.BDP($B$31,$C$31,CONCATENATE("PX391=", $O$71), CONCATENATE("PX392=",$O$72), CONCATENATE("DS004=",$B$64), "Fill=B")</f>
        <v>387006</v>
      </c>
      <c r="P93">
        <f ca="1">_xll.BDP($B$31,$C$31,CONCATENATE("PX391=", $P$71), CONCATENATE("PX392=",$P$72), CONCATENATE("DS004=",$B$64), "Fill=B")</f>
        <v>436250</v>
      </c>
      <c r="Q93">
        <f ca="1">_xll.BDP($B$31,$C$31,CONCATENATE("PX391=", $Q$71), CONCATENATE("PX392=",$Q$72), CONCATENATE("DS004=",$B$64), "Fill=B")</f>
        <v>498878</v>
      </c>
      <c r="R93">
        <f ca="1">_xll.BDP($B$31,$C$31,CONCATENATE("PX391=", $R$71), CONCATENATE("PX392=",$R$72), CONCATENATE("DS004=",$B$64), "Fill=B")</f>
        <v>459769</v>
      </c>
      <c r="S93">
        <f ca="1">_xll.BDP($B$31,$C$31,CONCATENATE("PX391=", $S$71), CONCATENATE("PX392=",$S$72), CONCATENATE("DS004=",$B$64), "Fill=B")</f>
        <v>494778</v>
      </c>
      <c r="T93">
        <f ca="1">_xll.BDP($B$31,$C$31,CONCATENATE("PX391=", $T$71), CONCATENATE("PX392=",$T$72), CONCATENATE("DS004=",$B$64), "Fill=B")</f>
        <v>526687</v>
      </c>
      <c r="U93">
        <f ca="1">_xll.BDP($B$31,$C$31,CONCATENATE("PX391=", $U$71), CONCATENATE("PX392=",$U$72), CONCATENATE("DS004=",$B$64), "Fill=B")</f>
        <v>537779</v>
      </c>
      <c r="V93">
        <f ca="1">_xll.BDP($B$31,$C$31,CONCATENATE("PX391=", $V$71), CONCATENATE("PX392=",$V$72), CONCATENATE("DS004=",$B$64), "Fill=B")</f>
        <v>498792</v>
      </c>
      <c r="W93">
        <f ca="1">_xll.BDP($B$31,$C$31,CONCATENATE("PX391=", $W$71), CONCATENATE("PX392=",$W$72), CONCATENATE("DS004=",$B$64), "Fill=B")</f>
        <v>550647</v>
      </c>
      <c r="X93">
        <f ca="1">_xll.BDP($B$31,$C$31,CONCATENATE("PX391=", $X$71), CONCATENATE("PX392=",$X$72), CONCATENATE("DS004=",$B$64), "Fill=B")</f>
        <v>544975</v>
      </c>
      <c r="Y93">
        <f ca="1">_xll.BDP($B$31,$C$31,CONCATENATE("PX391=", $Y$71), CONCATENATE("PX392=",$Y$72), CONCATENATE("DS004=",$B$64), "Fill=B")</f>
        <v>533194</v>
      </c>
      <c r="Z93">
        <f ca="1">_xll.BDP($B$31,$C$31,CONCATENATE("PX391=", $Z$71), CONCATENATE("PX392=",$Z$72), CONCATENATE("DS004=",$B$64), "Fill=B")</f>
        <v>562224</v>
      </c>
      <c r="AA93">
        <f ca="1">_xll.BDP($B$31,$C$31,CONCATENATE("PX391=", $AA$71), CONCATENATE("PX392=",$AA$72), CONCATENATE("DS004=",$B$64), "Fill=B")</f>
        <v>489321</v>
      </c>
      <c r="AB93">
        <f ca="1">_xll.BDP($B$31,$C$31,CONCATENATE("PX391=", $AB$71), CONCATENATE("PX392=",$AB$72), CONCATENATE("DS004=",$B$64), "Fill=B")</f>
        <v>498878</v>
      </c>
      <c r="AC93">
        <f ca="1">_xll.BDP($B$31,$C$31,CONCATENATE("PX391=", $AC$71), CONCATENATE("PX392=",$AC$72), CONCATENATE("DS004=",$B$64), "Fill=B")</f>
        <v>498878</v>
      </c>
      <c r="AD93">
        <f ca="1">_xll.BDP($B$31,$C$31,CONCATENATE("PX391=", $AD$71), CONCATENATE("PX392=",$AD$72), CONCATENATE("DS004=",$B$64), "Fill=B")</f>
        <v>500229</v>
      </c>
      <c r="AE93">
        <f ca="1">_xll.BDP($B$31,$C$31,CONCATENATE("PX391=", $AE$71), CONCATENATE("PX392=",$AE$72), CONCATENATE("DS004=",$B$64), "Fill=B")</f>
        <v>518785</v>
      </c>
      <c r="AF93">
        <f ca="1">_xll.BDP($B$31,$C$31,CONCATENATE("PX391=", $AF$71), CONCATENATE("PX392=",$AF$72), CONCATENATE("DS004=",$B$64), "Fill=B")</f>
        <v>479083</v>
      </c>
      <c r="AG93">
        <f ca="1">_xll.BDP($B$31,$C$31,CONCATENATE("PX391=", $AG$71), CONCATENATE("PX392=",$AG$72), CONCATENATE("DS004=",$B$64), "Fill=B")</f>
        <v>503602</v>
      </c>
      <c r="AH93">
        <f ca="1">_xll.BDP($B$31,$C$31,CONCATENATE("PX391=", $AH$71), CONCATENATE("PX392=",$AH$72), CONCATENATE("DS004=",$B$64), "Fill=B")</f>
        <v>505104</v>
      </c>
      <c r="AI93">
        <f ca="1">_xll.BDP($B$31,$C$31,CONCATENATE("PX391=", $AI$71), CONCATENATE("PX392=",$AI$72), CONCATENATE("DS004=",$B$64), "Fill=B")</f>
        <v>499758</v>
      </c>
      <c r="AJ93">
        <f ca="1">_xll.BDP($B$31,$C$31,CONCATENATE("PX391=", $AJ$71), CONCATENATE("PX392=",$AJ$72), CONCATENATE("DS004=",$B$64), "Fill=B")</f>
        <v>530875</v>
      </c>
      <c r="AK93">
        <f ca="1">_xll.BDP($B$31,$C$31,CONCATENATE("PX391=", $AK$71), CONCATENATE("PX392=",$AK$72), CONCATENATE("DS004=",$B$64), "Fill=B")</f>
        <v>480936</v>
      </c>
      <c r="AL93">
        <f ca="1">_xll.BDP($B$31,$C$31,CONCATENATE("PX391=", $AL$71), CONCATENATE("PX392=",$AL$72), CONCATENATE("DS004=",$B$64), "Fill=B")</f>
        <v>519858</v>
      </c>
      <c r="AM93">
        <f ca="1">_xll.BDP($B$31,$C$31,CONCATENATE("PX391=", $AM$71), CONCATENATE("PX392=",$AM$72), CONCATENATE("DS004=",$B$64), "Fill=B")</f>
        <v>428874</v>
      </c>
      <c r="AN93">
        <f ca="1">_xll.BDP($B$31,$C$31,CONCATENATE("PX391=", $AN$71), CONCATENATE("PX392=",$AN$72), CONCATENATE("DS004=",$B$64), "Fill=B")</f>
        <v>480130</v>
      </c>
      <c r="AO93">
        <f ca="1">_xll.BDP($B$31,$C$31,CONCATENATE("PX391=", $AO$71), CONCATENATE("PX392=",$AO$72), CONCATENATE("DS004=",$B$64), "Fill=B")</f>
        <v>462216</v>
      </c>
      <c r="AP93">
        <f ca="1">_xll.BDP($B$31,$C$31,CONCATENATE("PX391=", $AP$71), CONCATENATE("PX392=",$AP$72), CONCATENATE("DS004=",$B$64), "Fill=B")</f>
        <v>501674</v>
      </c>
      <c r="AQ93">
        <f ca="1">_xll.BDP($B$31,$C$31,CONCATENATE("PX391=", $AQ$71), CONCATENATE("PX392=",$AQ$72), CONCATENATE("DS004=",$B$64), "Fill=B")</f>
        <v>521384</v>
      </c>
      <c r="AR93">
        <f ca="1">_xll.BDP($B$31,$C$31,CONCATENATE("PX391=", $AR$71), CONCATENATE("PX392=",$AR$72), CONCATENATE("DS004=",$B$64), "Fill=B")</f>
        <v>489339</v>
      </c>
      <c r="AS93">
        <f ca="1">_xll.BDP($B$31,$C$31,CONCATENATE("PX391=", $AS$71), CONCATENATE("PX392=",$AS$72), CONCATENATE("DS004=",$B$64), "Fill=B")</f>
        <v>469954</v>
      </c>
      <c r="AT93">
        <f ca="1">_xll.BDP($B$31,$C$31,CONCATENATE("PX391=", $AT$71), CONCATENATE("PX392=",$AT$72), CONCATENATE("DS004=",$B$64), "Fill=B")</f>
        <v>428819</v>
      </c>
      <c r="AU93">
        <f ca="1">_xll.BDP($B$31,$C$31,CONCATENATE("PX391=", $AU$71), CONCATENATE("PX392=",$AU$72), CONCATENATE("DS004=",$B$64), "Fill=B")</f>
        <v>361823</v>
      </c>
      <c r="AV93">
        <f ca="1">_xll.BDP($B$31,$C$31,CONCATENATE("PX391=", $AV$71), CONCATENATE("PX392=",$AV$72), CONCATENATE("DS004=",$B$64), "Fill=B")</f>
        <v>361466</v>
      </c>
      <c r="AW93">
        <f ca="1">_xll.BDP($B$31,$C$31,CONCATENATE("PX391=", $AW$71), CONCATENATE("PX392=",$AW$72), CONCATENATE("DS004=",$B$64), "Fill=B")</f>
        <v>381386</v>
      </c>
      <c r="AX93">
        <f ca="1">_xll.BDP($B$31,$C$31,CONCATENATE("PX391=", $AX$71), CONCATENATE("PX392=",$AX$72), CONCATENATE("DS004=",$B$64), "Fill=B")</f>
        <v>408291</v>
      </c>
      <c r="AY93">
        <f ca="1">_xll.BDP($B$31,$C$31,CONCATENATE("PX391=", $AY$71), CONCATENATE("PX392=",$AY$72), CONCATENATE("DS004=",$B$64), "Fill=B")</f>
        <v>414246</v>
      </c>
      <c r="AZ93">
        <f ca="1">_xll.BDP($B$31,$C$31,CONCATENATE("PX391=", $AZ$71), CONCATENATE("PX392=",$AZ$72), CONCATENATE("DS004=",$B$64), "Fill=B")</f>
        <v>441131</v>
      </c>
      <c r="BA93">
        <f ca="1">_xll.BDP($B$31,$C$31,CONCATENATE("PX391=", $BA$71), CONCATENATE("PX392=",$BA$72), CONCATENATE("DS004=",$B$64), "Fill=B")</f>
        <v>399732</v>
      </c>
      <c r="BB93">
        <f ca="1">_xll.BDP($B$31,$C$31,CONCATENATE("PX391=", $BB$71), CONCATENATE("PX392=",$BB$72), CONCATENATE("DS004=",$B$64), "Fill=B")</f>
        <v>420545</v>
      </c>
      <c r="BC93">
        <f ca="1">_xll.BDP($B$31,$C$31,CONCATENATE("PX391=", $BC$71), CONCATENATE("PX392=",$BC$72), CONCATENATE("DS004=",$B$64), "Fill=B")</f>
        <v>466699</v>
      </c>
      <c r="BD93">
        <f ca="1">_xll.BDP($B$31,$C$31,CONCATENATE("PX391=", $BD$71), CONCATENATE("PX392=",$BD$72), CONCATENATE("DS004=",$B$64), "Fill=B")</f>
        <v>432097</v>
      </c>
      <c r="BE93">
        <f ca="1">_xll.BDP($B$31,$C$31,CONCATENATE("PX391=", $BE$71), CONCATENATE("PX392=",$BE$72), CONCATENATE("DS004=",$B$64), "Fill=B")</f>
        <v>469778</v>
      </c>
      <c r="BF93">
        <f ca="1">_xll.BDP($B$31,$C$31,CONCATENATE("PX391=", $BF$71), CONCATENATE("PX392=",$BF$72), CONCATENATE("DS004=",$B$64), "Fill=B")</f>
        <v>454987</v>
      </c>
      <c r="BG93">
        <f ca="1">_xll.BDP($B$31,$C$31,CONCATENATE("PX391=", $BG$71), CONCATENATE("PX392=",$BG$72), CONCATENATE("DS004=",$B$64), "Fill=B")</f>
        <v>424371</v>
      </c>
      <c r="BH93">
        <f ca="1">_xll.BDP($B$31,$C$31,CONCATENATE("PX391=", $BH$71), CONCATENATE("PX392=",$BH$72), CONCATENATE("DS004=",$B$64), "Fill=B")</f>
        <v>472995</v>
      </c>
      <c r="BI93">
        <f ca="1">_xll.BDP($B$31,$C$31,CONCATENATE("PX391=", $BI$71), CONCATENATE("PX392=",$BI$72), CONCATENATE("DS004=",$B$64), "Fill=B")</f>
        <v>429136</v>
      </c>
      <c r="BJ93">
        <f ca="1">_xll.BDP($B$31,$C$31,CONCATENATE("PX391=", $BJ$71), CONCATENATE("PX392=",$BJ$72), CONCATENATE("DS004=",$B$64), "Fill=B")</f>
        <v>413019</v>
      </c>
      <c r="BK93">
        <f ca="1">_xll.BDP($B$31,$C$31,CONCATENATE("PX391=", $BK$71), CONCATENATE("PX392=",$BK$72), CONCATENATE("DS004=",$B$64), "Fill=B")</f>
        <v>408881</v>
      </c>
      <c r="BL93">
        <f ca="1">_xll.BDP($B$31,$C$31,CONCATENATE("PX391=", $BL$71), CONCATENATE("PX392=",$BL$72), CONCATENATE("DS004=",$B$64), "Fill=B")</f>
        <v>439178</v>
      </c>
      <c r="BM93">
        <f ca="1">_xll.BDP($B$31,$C$31,CONCATENATE("PX391=", $BM$71), CONCATENATE("PX392=",$BM$72), CONCATENATE("DS004=",$B$64), "Fill=B")</f>
        <v>433259</v>
      </c>
      <c r="BN93">
        <f ca="1">_xll.BDP($B$31,$C$31,CONCATENATE("PX391=", $BN$71), CONCATENATE("PX392=",$BN$72), CONCATENATE("DS004=",$B$64), "Fill=B")</f>
        <v>417241</v>
      </c>
      <c r="BO93">
        <f ca="1">_xll.BDP($B$31,$C$31,CONCATENATE("PX391=", $BO$71), CONCATENATE("PX392=",$BO$72), CONCATENATE("DS004=",$B$64), "Fill=B")</f>
        <v>470384</v>
      </c>
      <c r="BP93">
        <f ca="1">_xll.BDP($B$31,$C$31,CONCATENATE("PX391=", $BP$71), CONCATENATE("PX392=",$BP$72), CONCATENATE("DS004=",$B$64), "Fill=B")</f>
        <v>420836</v>
      </c>
      <c r="BQ93">
        <f ca="1">_xll.BDP($B$31,$C$31,CONCATENATE("PX391=", $BQ$71), CONCATENATE("PX392=",$BQ$72), CONCATENATE("DS004=",$B$64), "Fill=B")</f>
        <v>458682</v>
      </c>
      <c r="BR93">
        <f ca="1">_xll.BDP($B$31,$C$31,CONCATENATE("PX391=", $BR$71), CONCATENATE("PX392=",$BR$72), CONCATENATE("DS004=",$B$64), "Fill=B")</f>
        <v>438534</v>
      </c>
      <c r="BS93">
        <f ca="1">_xll.BDP($B$31,$C$31,CONCATENATE("PX391=", $BS$71), CONCATENATE("PX392=",$BS$72), CONCATENATE("DS004=",$B$64), "Fill=B")</f>
        <v>439986</v>
      </c>
      <c r="BT93">
        <f ca="1">_xll.BDP($B$31,$C$31,CONCATENATE("PX391=", $BT$71), CONCATENATE("PX392=",$BT$72), CONCATENATE("DS004=",$B$64), "Fill=B")</f>
        <v>432422</v>
      </c>
      <c r="BU93">
        <f ca="1">_xll.BDP($B$31,$C$31,CONCATENATE("PX391=", $BU$71), CONCATENATE("PX392=",$BU$72), CONCATENATE("DS004=",$B$64), "Fill=B")</f>
        <v>407746</v>
      </c>
      <c r="BV93">
        <f ca="1">_xll.BDP($B$31,$C$31,CONCATENATE("PX391=", $BV$71), CONCATENATE("PX392=",$BV$72), CONCATENATE("DS004=",$B$64), "Fill=B")</f>
        <v>420567</v>
      </c>
      <c r="BW93">
        <f ca="1">_xll.BDP($B$31,$C$31,CONCATENATE("PX391=", $BW$71), CONCATENATE("PX392=",$BW$72), CONCATENATE("DS004=",$B$64), "Fill=B")</f>
        <v>391340</v>
      </c>
      <c r="BX93">
        <f ca="1">_xll.BDP($B$31,$C$31,CONCATENATE("PX391=", $BX$71), CONCATENATE("PX392=",$BX$72), CONCATENATE("DS004=",$B$64), "Fill=B")</f>
        <v>421896</v>
      </c>
      <c r="BY93">
        <f ca="1">_xll.BDP($B$31,$C$31,CONCATENATE("PX391=", $BY$71), CONCATENATE("PX392=",$BY$72), CONCATENATE("DS004=",$B$64), "Fill=B")</f>
        <v>395459</v>
      </c>
      <c r="BZ93">
        <f ca="1">_xll.BDP($B$31,$C$31,CONCATENATE("PX391=", $BZ$71), CONCATENATE("PX392=",$BZ$72), CONCATENATE("DS004=",$B$64), "Fill=B")</f>
        <v>413830</v>
      </c>
      <c r="CA93">
        <f ca="1">_xll.BDP($B$31,$C$31,CONCATENATE("PX391=", $CA$71), CONCATENATE("PX392=",$CA$72), CONCATENATE("DS004=",$B$64), "Fill=B")</f>
        <v>426932</v>
      </c>
      <c r="CB93">
        <f ca="1">_xll.BDP($B$31,$C$31,CONCATENATE("PX391=", $CB$71), CONCATENATE("PX392=",$CB$72), CONCATENATE("DS004=",$B$64), "Fill=B")</f>
        <v>401492</v>
      </c>
      <c r="CC93">
        <f ca="1">_xll.BDP($B$31,$C$31,CONCATENATE("PX391=", $CC$71), CONCATENATE("PX392=",$CC$72), CONCATENATE("DS004=",$B$64), "Fill=B")</f>
        <v>446160</v>
      </c>
      <c r="CD93">
        <f ca="1">_xll.BDP($B$31,$C$31,CONCATENATE("PX391=", $CD$71), CONCATENATE("PX392=",$CD$72), CONCATENATE("DS004=",$B$64), "Fill=B")</f>
        <v>404454</v>
      </c>
      <c r="CE93">
        <f ca="1">_xll.BDP($B$31,$C$31,CONCATENATE("PX391=", $CE$71), CONCATENATE("PX392=",$CE$72), CONCATENATE("DS004=",$B$64), "Fill=B")</f>
        <v>413524</v>
      </c>
      <c r="CF93">
        <f ca="1">_xll.BDP($B$31,$C$31,CONCATENATE("PX391=", $CF$71), CONCATENATE("PX392=",$CF$72), CONCATENATE("DS004=",$B$64), "Fill=B")</f>
        <v>402753</v>
      </c>
      <c r="CG93">
        <f ca="1">_xll.BDP($B$31,$C$31,CONCATENATE("PX391=", $CG$71), CONCATENATE("PX392=",$CG$72), CONCATENATE("DS004=",$B$64), "Fill=B")</f>
        <v>398283</v>
      </c>
      <c r="CH93">
        <f ca="1">_xll.BDP($B$31,$C$31,CONCATENATE("PX391=", $CH$71), CONCATENATE("PX392=",$CH$72), CONCATENATE("DS004=",$B$64), "Fill=B")</f>
        <v>364892</v>
      </c>
      <c r="CI93">
        <f ca="1">_xll.BDP($B$31,$C$31,CONCATENATE("PX391=", $CI$71), CONCATENATE("PX392=",$CI$72), CONCATENATE("DS004=",$B$64), "Fill=B")</f>
        <v>368513</v>
      </c>
      <c r="CJ93">
        <f ca="1">_xll.BDP($B$31,$C$31,CONCATENATE("PX391=", $CJ$71), CONCATENATE("PX392=",$CJ$72), CONCATENATE("DS004=",$B$64), "Fill=B")</f>
        <v>421896</v>
      </c>
      <c r="CK93">
        <f ca="1">_xll.BDP($B$31,$C$31,CONCATENATE("PX391=", $CK$71), CONCATENATE("PX392=",$CK$72), CONCATENATE("DS004=",$B$64), "Fill=B")</f>
        <v>376282</v>
      </c>
      <c r="CL93" t="str">
        <f>""</f>
        <v/>
      </c>
      <c r="CM93" t="str">
        <f>""</f>
        <v/>
      </c>
      <c r="CN93" t="str">
        <f>""</f>
        <v/>
      </c>
      <c r="CO93" t="str">
        <f>""</f>
        <v/>
      </c>
      <c r="CP93" t="str">
        <f>""</f>
        <v/>
      </c>
      <c r="CQ93" t="str">
        <f>""</f>
        <v/>
      </c>
      <c r="CR93" t="str">
        <f>""</f>
        <v/>
      </c>
      <c r="CS93" t="str">
        <f>""</f>
        <v/>
      </c>
      <c r="CT93" t="str">
        <f>""</f>
        <v/>
      </c>
      <c r="CU93" t="str">
        <f>""</f>
        <v/>
      </c>
      <c r="CV93" t="str">
        <f>""</f>
        <v/>
      </c>
      <c r="CW93" t="str">
        <f>""</f>
        <v/>
      </c>
      <c r="CX93" t="str">
        <f>""</f>
        <v/>
      </c>
      <c r="CY93" t="str">
        <f>""</f>
        <v/>
      </c>
      <c r="CZ93" t="str">
        <f>""</f>
        <v/>
      </c>
      <c r="DA93" t="str">
        <f>""</f>
        <v/>
      </c>
      <c r="DB93" t="str">
        <f>""</f>
        <v/>
      </c>
      <c r="DC93" t="str">
        <f>""</f>
        <v/>
      </c>
      <c r="DD93" t="str">
        <f>""</f>
        <v/>
      </c>
      <c r="DE93" t="str">
        <f>""</f>
        <v/>
      </c>
      <c r="DF93" t="str">
        <f>""</f>
        <v/>
      </c>
      <c r="DG93" t="str">
        <f>""</f>
        <v/>
      </c>
      <c r="DH93" t="str">
        <f>""</f>
        <v/>
      </c>
      <c r="DI93" t="str">
        <f>""</f>
        <v/>
      </c>
      <c r="DJ93" t="str">
        <f>""</f>
        <v/>
      </c>
      <c r="DK93" t="str">
        <f>""</f>
        <v/>
      </c>
      <c r="DL93" t="str">
        <f>""</f>
        <v/>
      </c>
      <c r="DM93" t="str">
        <f>""</f>
        <v/>
      </c>
      <c r="DN93" t="str">
        <f>""</f>
        <v/>
      </c>
      <c r="DO93" t="str">
        <f>""</f>
        <v/>
      </c>
      <c r="DP93" t="str">
        <f>""</f>
        <v/>
      </c>
      <c r="DQ93" t="str">
        <f>""</f>
        <v/>
      </c>
      <c r="DR93" t="str">
        <f>""</f>
        <v/>
      </c>
      <c r="DS93" t="str">
        <f>""</f>
        <v/>
      </c>
      <c r="DT93" t="str">
        <f>""</f>
        <v/>
      </c>
      <c r="DU93" t="str">
        <f>""</f>
        <v/>
      </c>
      <c r="DV93" t="str">
        <f>""</f>
        <v/>
      </c>
      <c r="DW93" t="str">
        <f>""</f>
        <v/>
      </c>
      <c r="DX93" t="str">
        <f>""</f>
        <v/>
      </c>
      <c r="DY93" t="str">
        <f>""</f>
        <v/>
      </c>
      <c r="DZ93" t="str">
        <f>""</f>
        <v/>
      </c>
      <c r="EA93" t="str">
        <f>""</f>
        <v/>
      </c>
      <c r="EB93" t="str">
        <f>""</f>
        <v/>
      </c>
      <c r="EC93" t="str">
        <f>""</f>
        <v/>
      </c>
      <c r="ED93" t="str">
        <f>""</f>
        <v/>
      </c>
      <c r="EE93" t="str">
        <f>""</f>
        <v/>
      </c>
      <c r="EF93" t="str">
        <f>""</f>
        <v/>
      </c>
      <c r="EG93" t="str">
        <f>""</f>
        <v/>
      </c>
      <c r="EH93" t="str">
        <f>""</f>
        <v/>
      </c>
      <c r="EI93" t="str">
        <f>""</f>
        <v/>
      </c>
      <c r="EJ93" t="str">
        <f>""</f>
        <v/>
      </c>
      <c r="EK93" t="str">
        <f>""</f>
        <v/>
      </c>
      <c r="EL93" t="str">
        <f>""</f>
        <v/>
      </c>
      <c r="EM93" t="str">
        <f>""</f>
        <v/>
      </c>
      <c r="EN93" t="str">
        <f>""</f>
        <v/>
      </c>
      <c r="EO93" t="str">
        <f>""</f>
        <v/>
      </c>
      <c r="EP93" t="str">
        <f>""</f>
        <v/>
      </c>
      <c r="EQ93" t="str">
        <f>""</f>
        <v/>
      </c>
      <c r="ER93" t="str">
        <f>""</f>
        <v/>
      </c>
      <c r="ES93" t="str">
        <f>""</f>
        <v/>
      </c>
      <c r="ET93" t="str">
        <f>""</f>
        <v/>
      </c>
      <c r="EU93" t="str">
        <f>""</f>
        <v/>
      </c>
      <c r="EV93" t="str">
        <f>""</f>
        <v/>
      </c>
      <c r="EW93" t="str">
        <f>""</f>
        <v/>
      </c>
      <c r="EX93" t="str">
        <f>""</f>
        <v/>
      </c>
      <c r="EY93" t="str">
        <f>""</f>
        <v/>
      </c>
      <c r="EZ93" t="str">
        <f>""</f>
        <v/>
      </c>
      <c r="FA93" t="str">
        <f>""</f>
        <v/>
      </c>
      <c r="FB93" t="str">
        <f>""</f>
        <v/>
      </c>
      <c r="FC93" t="str">
        <f>""</f>
        <v/>
      </c>
      <c r="FD93" t="str">
        <f>""</f>
        <v/>
      </c>
      <c r="FE93" t="str">
        <f>""</f>
        <v/>
      </c>
      <c r="FF93" t="str">
        <f>""</f>
        <v/>
      </c>
      <c r="FG93" t="str">
        <f>""</f>
        <v/>
      </c>
      <c r="FH93" t="str">
        <f>""</f>
        <v/>
      </c>
      <c r="FI93" t="str">
        <f>""</f>
        <v/>
      </c>
      <c r="FJ93" t="str">
        <f>""</f>
        <v/>
      </c>
      <c r="FK93" t="str">
        <f>""</f>
        <v/>
      </c>
      <c r="FL93" t="str">
        <f>""</f>
        <v/>
      </c>
      <c r="FM93" t="str">
        <f>""</f>
        <v/>
      </c>
      <c r="FN93" t="str">
        <f>""</f>
        <v/>
      </c>
      <c r="FO93" t="str">
        <f>""</f>
        <v/>
      </c>
      <c r="FP93" t="str">
        <f>""</f>
        <v/>
      </c>
      <c r="FQ93" t="str">
        <f>""</f>
        <v/>
      </c>
    </row>
    <row r="94" spans="1:173" x14ac:dyDescent="0.25">
      <c r="A94" t="str">
        <f>$A$32</f>
        <v xml:space="preserve">    Port of Savannah (TEU)</v>
      </c>
      <c r="B94" t="str">
        <f>$B$32</f>
        <v>POSATOTL Index</v>
      </c>
      <c r="C94" t="str">
        <f>$C$32</f>
        <v>PX385</v>
      </c>
      <c r="D94" t="str">
        <f>$D$32</f>
        <v>INTERVAL_SUM</v>
      </c>
      <c r="E94" t="str">
        <f>$E$32</f>
        <v>Dynamic</v>
      </c>
      <c r="F94" t="str">
        <f ca="1">_xll.BDP($B$32,$C$32,CONCATENATE("PX391=", $F$71), CONCATENATE("PX392=",$F$72), CONCATENATE("DS004=",$B$64), "Fill=B")</f>
        <v/>
      </c>
      <c r="G94" t="str">
        <f ca="1">_xll.BDP($B$32,$C$32,CONCATENATE("PX391=", $G$71), CONCATENATE("PX392=",$G$72), CONCATENATE("DS004=",$B$64), "Fill=B")</f>
        <v/>
      </c>
      <c r="H94" t="str">
        <f ca="1">_xll.BDP($B$32,$C$32,CONCATENATE("PX391=", $H$71), CONCATENATE("PX392=",$H$72), CONCATENATE("DS004=",$B$64), "Fill=B")</f>
        <v/>
      </c>
      <c r="I94">
        <f ca="1">_xll.BDP($B$32,$C$32,CONCATENATE("PX391=", $I$71), CONCATENATE("PX392=",$I$72), CONCATENATE("DS004=",$B$64), "Fill=B")</f>
        <v>413294</v>
      </c>
      <c r="J94">
        <f ca="1">_xll.BDP($B$32,$C$32,CONCATENATE("PX391=", $J$71), CONCATENATE("PX392=",$J$72), CONCATENATE("DS004=",$B$64), "Fill=B")</f>
        <v>447587</v>
      </c>
      <c r="K94">
        <f ca="1">_xll.BDP($B$32,$C$32,CONCATENATE("PX391=", $K$71), CONCATENATE("PX392=",$K$72), CONCATENATE("DS004=",$B$64), "Fill=B")</f>
        <v>381825</v>
      </c>
      <c r="L94">
        <f ca="1">_xll.BDP($B$32,$C$32,CONCATENATE("PX391=", $L$71), CONCATENATE("PX392=",$L$72), CONCATENATE("DS004=",$B$64), "Fill=B")</f>
        <v>400511</v>
      </c>
      <c r="M94">
        <f ca="1">_xll.BDP($B$32,$C$32,CONCATENATE("PX391=", $M$71), CONCATENATE("PX392=",$M$72), CONCATENATE("DS004=",$B$64), "Fill=B")</f>
        <v>408686</v>
      </c>
      <c r="N94">
        <f ca="1">_xll.BDP($B$32,$C$32,CONCATENATE("PX391=", $N$71), CONCATENATE("PX392=",$N$72), CONCATENATE("DS004=",$B$64), "Fill=B")</f>
        <v>367880</v>
      </c>
      <c r="O94">
        <f ca="1">_xll.BDP($B$32,$C$32,CONCATENATE("PX391=", $O$71), CONCATENATE("PX392=",$O$72), CONCATENATE("DS004=",$B$64), "Fill=B")</f>
        <v>394793</v>
      </c>
      <c r="P94">
        <f ca="1">_xll.BDP($B$32,$C$32,CONCATENATE("PX391=", $P$71), CONCATENATE("PX392=",$P$72), CONCATENATE("DS004=",$B$64), "Fill=B")</f>
        <v>421714</v>
      </c>
      <c r="Q94">
        <f ca="1">_xll.BDP($B$32,$C$32,CONCATENATE("PX391=", $Q$71), CONCATENATE("PX392=",$Q$72), CONCATENATE("DS004=",$B$64), "Fill=B")</f>
        <v>440759</v>
      </c>
      <c r="R94">
        <f ca="1">_xll.BDP($B$32,$C$32,CONCATENATE("PX391=", $R$71), CONCATENATE("PX392=",$R$72), CONCATENATE("DS004=",$B$64), "Fill=B")</f>
        <v>464883</v>
      </c>
      <c r="S94">
        <f ca="1">_xll.BDP($B$32,$C$32,CONCATENATE("PX391=", $S$71), CONCATENATE("PX392=",$S$72), CONCATENATE("DS004=",$B$64), "Fill=B")</f>
        <v>552806</v>
      </c>
      <c r="T94">
        <f ca="1">_xll.BDP($B$32,$C$32,CONCATENATE("PX391=", $T$71), CONCATENATE("PX392=",$T$72), CONCATENATE("DS004=",$B$64), "Fill=B")</f>
        <v>436279</v>
      </c>
      <c r="U94">
        <f ca="1">_xll.BDP($B$32,$C$32,CONCATENATE("PX391=", $U$71), CONCATENATE("PX392=",$U$72), CONCATENATE("DS004=",$B$64), "Fill=B")</f>
        <v>575513</v>
      </c>
      <c r="V94">
        <f ca="1">_xll.BDP($B$32,$C$32,CONCATENATE("PX391=", $V$71), CONCATENATE("PX392=",$V$72), CONCATENATE("DS004=",$B$64), "Fill=B")</f>
        <v>530800</v>
      </c>
      <c r="W94">
        <f ca="1">_xll.BDP($B$32,$C$32,CONCATENATE("PX391=", $W$71), CONCATENATE("PX392=",$W$72), CONCATENATE("DS004=",$B$64), "Fill=B")</f>
        <v>494107</v>
      </c>
      <c r="X94">
        <f ca="1">_xll.BDP($B$32,$C$32,CONCATENATE("PX391=", $X$71), CONCATENATE("PX392=",$X$72), CONCATENATE("DS004=",$B$64), "Fill=B")</f>
        <v>519388</v>
      </c>
      <c r="Y94">
        <f ca="1">_xll.BDP($B$32,$C$32,CONCATENATE("PX391=", $Y$71), CONCATENATE("PX392=",$Y$72), CONCATENATE("DS004=",$B$64), "Fill=B")</f>
        <v>495782</v>
      </c>
      <c r="Z94">
        <f ca="1">_xll.BDP($B$32,$C$32,CONCATENATE("PX391=", $Z$71), CONCATENATE("PX392=",$Z$72), CONCATENATE("DS004=",$B$64), "Fill=B")</f>
        <v>444690</v>
      </c>
      <c r="AA94">
        <f ca="1">_xll.BDP($B$32,$C$32,CONCATENATE("PX391=", $AA$71), CONCATENATE("PX392=",$AA$72), CONCATENATE("DS004=",$B$64), "Fill=B")</f>
        <v>460413</v>
      </c>
      <c r="AB94">
        <f ca="1">_xll.BDP($B$32,$C$32,CONCATENATE("PX391=", $AB$71), CONCATENATE("PX392=",$AB$72), CONCATENATE("DS004=",$B$64), "Fill=B")</f>
        <v>476713</v>
      </c>
      <c r="AC94">
        <f ca="1">_xll.BDP($B$32,$C$32,CONCATENATE("PX391=", $AC$71), CONCATENATE("PX392=",$AC$72), CONCATENATE("DS004=",$B$64), "Fill=B")</f>
        <v>464951</v>
      </c>
      <c r="AD94">
        <f ca="1">_xll.BDP($B$32,$C$32,CONCATENATE("PX391=", $AD$71), CONCATENATE("PX392=",$AD$72), CONCATENATE("DS004=",$B$64), "Fill=B")</f>
        <v>495749</v>
      </c>
      <c r="AE94">
        <f ca="1">_xll.BDP($B$32,$C$32,CONCATENATE("PX391=", $AE$71), CONCATENATE("PX392=",$AE$72), CONCATENATE("DS004=",$B$64), "Fill=B")</f>
        <v>504347</v>
      </c>
      <c r="AF94">
        <f ca="1">_xll.BDP($B$32,$C$32,CONCATENATE("PX391=", $AF$71), CONCATENATE("PX392=",$AF$72), CONCATENATE("DS004=",$B$64), "Fill=B")</f>
        <v>472062</v>
      </c>
      <c r="AG94">
        <f ca="1">_xll.BDP($B$32,$C$32,CONCATENATE("PX391=", $AG$71), CONCATENATE("PX392=",$AG$72), CONCATENATE("DS004=",$B$64), "Fill=B")</f>
        <v>485595</v>
      </c>
      <c r="AH94">
        <f ca="1">_xll.BDP($B$32,$C$32,CONCATENATE("PX391=", $AH$71), CONCATENATE("PX392=",$AH$72), CONCATENATE("DS004=",$B$64), "Fill=B")</f>
        <v>449916</v>
      </c>
      <c r="AI94">
        <f ca="1">_xll.BDP($B$32,$C$32,CONCATENATE("PX391=", $AI$71), CONCATENATE("PX392=",$AI$72), CONCATENATE("DS004=",$B$64), "Fill=B")</f>
        <v>446815</v>
      </c>
      <c r="AJ94">
        <f ca="1">_xll.BDP($B$32,$C$32,CONCATENATE("PX391=", $AJ$71), CONCATENATE("PX392=",$AJ$72), CONCATENATE("DS004=",$B$64), "Fill=B")</f>
        <v>478620</v>
      </c>
      <c r="AK94">
        <f ca="1">_xll.BDP($B$32,$C$32,CONCATENATE("PX391=", $AK$71), CONCATENATE("PX392=",$AK$72), CONCATENATE("DS004=",$B$64), "Fill=B")</f>
        <v>466633</v>
      </c>
      <c r="AL94">
        <f ca="1">_xll.BDP($B$32,$C$32,CONCATENATE("PX391=", $AL$71), CONCATENATE("PX392=",$AL$72), CONCATENATE("DS004=",$B$64), "Fill=B")</f>
        <v>498064</v>
      </c>
      <c r="AM94">
        <f ca="1">_xll.BDP($B$32,$C$32,CONCATENATE("PX391=", $AM$71), CONCATENATE("PX392=",$AM$72), CONCATENATE("DS004=",$B$64), "Fill=B")</f>
        <v>390804</v>
      </c>
      <c r="AN94">
        <f ca="1">_xll.BDP($B$32,$C$32,CONCATENATE("PX391=", $AN$71), CONCATENATE("PX392=",$AN$72), CONCATENATE("DS004=",$B$64), "Fill=B")</f>
        <v>459608</v>
      </c>
      <c r="AO94">
        <f ca="1">_xll.BDP($B$32,$C$32,CONCATENATE("PX391=", $AO$71), CONCATENATE("PX392=",$AO$72), CONCATENATE("DS004=",$B$64), "Fill=B")</f>
        <v>447519</v>
      </c>
      <c r="AP94">
        <f ca="1">_xll.BDP($B$32,$C$32,CONCATENATE("PX391=", $AP$71), CONCATENATE("PX392=",$AP$72), CONCATENATE("DS004=",$B$64), "Fill=B")</f>
        <v>464804</v>
      </c>
      <c r="AQ94">
        <f ca="1">_xll.BDP($B$32,$C$32,CONCATENATE("PX391=", $AQ$71), CONCATENATE("PX392=",$AQ$72), CONCATENATE("DS004=",$B$64), "Fill=B")</f>
        <v>464095</v>
      </c>
      <c r="AR94">
        <f ca="1">_xll.BDP($B$32,$C$32,CONCATENATE("PX391=", $AR$71), CONCATENATE("PX392=",$AR$72), CONCATENATE("DS004=",$B$64), "Fill=B")</f>
        <v>412138</v>
      </c>
      <c r="AS94">
        <f ca="1">_xll.BDP($B$32,$C$32,CONCATENATE("PX391=", $AS$71), CONCATENATE("PX392=",$AS$72), CONCATENATE("DS004=",$B$64), "Fill=B")</f>
        <v>441596</v>
      </c>
      <c r="AT94">
        <f ca="1">_xll.BDP($B$32,$C$32,CONCATENATE("PX391=", $AT$71), CONCATENATE("PX392=",$AT$72), CONCATENATE("DS004=",$B$64), "Fill=B")</f>
        <v>360697</v>
      </c>
      <c r="AU94">
        <f ca="1">_xll.BDP($B$32,$C$32,CONCATENATE("PX391=", $AU$71), CONCATENATE("PX392=",$AU$72), CONCATENATE("DS004=",$B$64), "Fill=B")</f>
        <v>338287</v>
      </c>
      <c r="AV94">
        <f ca="1">_xll.BDP($B$32,$C$32,CONCATENATE("PX391=", $AV$71), CONCATENATE("PX392=",$AV$72), CONCATENATE("DS004=",$B$64), "Fill=B")</f>
        <v>337359</v>
      </c>
      <c r="AW94">
        <f ca="1">_xll.BDP($B$32,$C$32,CONCATENATE("PX391=", $AW$71), CONCATENATE("PX392=",$AW$72), CONCATENATE("DS004=",$B$64), "Fill=B")</f>
        <v>337890</v>
      </c>
      <c r="AX94">
        <f ca="1">_xll.BDP($B$32,$C$32,CONCATENATE("PX391=", $AX$71), CONCATENATE("PX392=",$AX$72), CONCATENATE("DS004=",$B$64), "Fill=B")</f>
        <v>335789</v>
      </c>
      <c r="AY94">
        <f ca="1">_xll.BDP($B$32,$C$32,CONCATENATE("PX391=", $AY$71), CONCATENATE("PX392=",$AY$72), CONCATENATE("DS004=",$B$64), "Fill=B")</f>
        <v>364405</v>
      </c>
      <c r="AZ94">
        <f ca="1">_xll.BDP($B$32,$C$32,CONCATENATE("PX391=", $AZ$71), CONCATENATE("PX392=",$AZ$72), CONCATENATE("DS004=",$B$64), "Fill=B")</f>
        <v>377671</v>
      </c>
      <c r="BA94">
        <f ca="1">_xll.BDP($B$32,$C$32,CONCATENATE("PX391=", $BA$71), CONCATENATE("PX392=",$BA$72), CONCATENATE("DS004=",$B$64), "Fill=B")</f>
        <v>360834</v>
      </c>
      <c r="BB94">
        <f ca="1">_xll.BDP($B$32,$C$32,CONCATENATE("PX391=", $BB$71), CONCATENATE("PX392=",$BB$72), CONCATENATE("DS004=",$B$64), "Fill=B")</f>
        <v>362964</v>
      </c>
      <c r="BC94">
        <f ca="1">_xll.BDP($B$32,$C$32,CONCATENATE("PX391=", $BC$71), CONCATENATE("PX392=",$BC$72), CONCATENATE("DS004=",$B$64), "Fill=B")</f>
        <v>428381</v>
      </c>
      <c r="BD94">
        <f ca="1">_xll.BDP($B$32,$C$32,CONCATENATE("PX391=", $BD$71), CONCATENATE("PX392=",$BD$72), CONCATENATE("DS004=",$B$64), "Fill=B")</f>
        <v>369999</v>
      </c>
      <c r="BE94">
        <f ca="1">_xll.BDP($B$32,$C$32,CONCATENATE("PX391=", $BE$71), CONCATENATE("PX392=",$BE$72), CONCATENATE("DS004=",$B$64), "Fill=B")</f>
        <v>437747</v>
      </c>
      <c r="BF94">
        <f ca="1">_xll.BDP($B$32,$C$32,CONCATENATE("PX391=", $BF$71), CONCATENATE("PX392=",$BF$72), CONCATENATE("DS004=",$B$64), "Fill=B")</f>
        <v>387022</v>
      </c>
      <c r="BG94">
        <f ca="1">_xll.BDP($B$32,$C$32,CONCATENATE("PX391=", $BG$71), CONCATENATE("PX392=",$BG$72), CONCATENATE("DS004=",$B$64), "Fill=B")</f>
        <v>361906</v>
      </c>
      <c r="BH94">
        <f ca="1">_xll.BDP($B$32,$C$32,CONCATENATE("PX391=", $BH$71), CONCATENATE("PX392=",$BH$72), CONCATENATE("DS004=",$B$64), "Fill=B")</f>
        <v>373394</v>
      </c>
      <c r="BI94">
        <f ca="1">_xll.BDP($B$32,$C$32,CONCATENATE("PX391=", $BI$71), CONCATENATE("PX392=",$BI$72), CONCATENATE("DS004=",$B$64), "Fill=B")</f>
        <v>364481</v>
      </c>
      <c r="BJ94">
        <f ca="1">_xll.BDP($B$32,$C$32,CONCATENATE("PX391=", $BJ$71), CONCATENATE("PX392=",$BJ$72), CONCATENATE("DS004=",$B$64), "Fill=B")</f>
        <v>410326</v>
      </c>
      <c r="BK94">
        <f ca="1">_xll.BDP($B$32,$C$32,CONCATENATE("PX391=", $BK$71), CONCATENATE("PX392=",$BK$72), CONCATENATE("DS004=",$B$64), "Fill=B")</f>
        <v>312042</v>
      </c>
      <c r="BL94">
        <f ca="1">_xll.BDP($B$32,$C$32,CONCATENATE("PX391=", $BL$71), CONCATENATE("PX392=",$BL$72), CONCATENATE("DS004=",$B$64), "Fill=B")</f>
        <v>430079</v>
      </c>
      <c r="BM94">
        <f ca="1">_xll.BDP($B$32,$C$32,CONCATENATE("PX391=", $BM$71), CONCATENATE("PX392=",$BM$72), CONCATENATE("DS004=",$B$64), "Fill=B")</f>
        <v>351366</v>
      </c>
      <c r="BN94">
        <f ca="1">_xll.BDP($B$32,$C$32,CONCATENATE("PX391=", $BN$71), CONCATENATE("PX392=",$BN$72), CONCATENATE("DS004=",$B$64), "Fill=B")</f>
        <v>344506</v>
      </c>
      <c r="BO94">
        <f ca="1">_xll.BDP($B$32,$C$32,CONCATENATE("PX391=", $BO$71), CONCATENATE("PX392=",$BO$72), CONCATENATE("DS004=",$B$64), "Fill=B")</f>
        <v>413778</v>
      </c>
      <c r="BP94">
        <f ca="1">_xll.BDP($B$32,$C$32,CONCATENATE("PX391=", $BP$71), CONCATENATE("PX392=",$BP$72), CONCATENATE("DS004=",$B$64), "Fill=B")</f>
        <v>364150</v>
      </c>
      <c r="BQ94">
        <f ca="1">_xll.BDP($B$32,$C$32,CONCATENATE("PX391=", $BQ$71), CONCATENATE("PX392=",$BQ$72), CONCATENATE("DS004=",$B$64), "Fill=B")</f>
        <v>375844</v>
      </c>
      <c r="BR94">
        <f ca="1">_xll.BDP($B$32,$C$32,CONCATENATE("PX391=", $BR$71), CONCATENATE("PX392=",$BR$72), CONCATENATE("DS004=",$B$64), "Fill=B")</f>
        <v>378767</v>
      </c>
      <c r="BS94">
        <f ca="1">_xll.BDP($B$32,$C$32,CONCATENATE("PX391=", $BS$71), CONCATENATE("PX392=",$BS$72), CONCATENATE("DS004=",$B$64), "Fill=B")</f>
        <v>370726</v>
      </c>
      <c r="BT94">
        <f ca="1">_xll.BDP($B$32,$C$32,CONCATENATE("PX391=", $BT$71), CONCATENATE("PX392=",$BT$72), CONCATENATE("DS004=",$B$64), "Fill=B")</f>
        <v>361029</v>
      </c>
      <c r="BU94">
        <f ca="1">_xll.BDP($B$32,$C$32,CONCATENATE("PX391=", $BU$71), CONCATENATE("PX392=",$BU$72), CONCATENATE("DS004=",$B$64), "Fill=B")</f>
        <v>356717</v>
      </c>
      <c r="BV94">
        <f ca="1">_xll.BDP($B$32,$C$32,CONCATENATE("PX391=", $BV$71), CONCATENATE("PX392=",$BV$72), CONCATENATE("DS004=",$B$64), "Fill=B")</f>
        <v>355208</v>
      </c>
      <c r="BW94">
        <f ca="1">_xll.BDP($B$32,$C$32,CONCATENATE("PX391=", $BW$71), CONCATENATE("PX392=",$BW$72), CONCATENATE("DS004=",$B$64), "Fill=B")</f>
        <v>341094</v>
      </c>
      <c r="BX94">
        <f ca="1">_xll.BDP($B$32,$C$32,CONCATENATE("PX391=", $BX$71), CONCATENATE("PX392=",$BX$72), CONCATENATE("DS004=",$B$64), "Fill=B")</f>
        <v>338793</v>
      </c>
      <c r="BY94">
        <f ca="1">_xll.BDP($B$32,$C$32,CONCATENATE("PX391=", $BY$71), CONCATENATE("PX392=",$BY$72), CONCATENATE("DS004=",$B$64), "Fill=B")</f>
        <v>323117</v>
      </c>
      <c r="BZ94">
        <f ca="1">_xll.BDP($B$32,$C$32,CONCATENATE("PX391=", $BZ$71), CONCATENATE("PX392=",$BZ$72), CONCATENATE("DS004=",$B$64), "Fill=B")</f>
        <v>309147</v>
      </c>
      <c r="CA94">
        <f ca="1">_xll.BDP($B$32,$C$32,CONCATENATE("PX391=", $CA$71), CONCATENATE("PX392=",$CA$72), CONCATENATE("DS004=",$B$64), "Fill=B")</f>
        <v>409814</v>
      </c>
      <c r="CB94">
        <f ca="1">_xll.BDP($B$32,$C$32,CONCATENATE("PX391=", $CB$71), CONCATENATE("PX392=",$CB$72), CONCATENATE("DS004=",$B$64), "Fill=B")</f>
        <v>325141</v>
      </c>
      <c r="CC94">
        <f ca="1">_xll.BDP($B$32,$C$32,CONCATENATE("PX391=", $CC$71), CONCATENATE("PX392=",$CC$72), CONCATENATE("DS004=",$B$64), "Fill=B")</f>
        <v>348297</v>
      </c>
      <c r="CD94">
        <f ca="1">_xll.BDP($B$32,$C$32,CONCATENATE("PX391=", $CD$71), CONCATENATE("PX392=",$CD$72), CONCATENATE("DS004=",$B$64), "Fill=B")</f>
        <v>336099</v>
      </c>
      <c r="CE94">
        <f ca="1">_xll.BDP($B$32,$C$32,CONCATENATE("PX391=", $CE$71), CONCATENATE("PX392=",$CE$72), CONCATENATE("DS004=",$B$64), "Fill=B")</f>
        <v>337711</v>
      </c>
      <c r="CF94">
        <f ca="1">_xll.BDP($B$32,$C$32,CONCATENATE("PX391=", $CF$71), CONCATENATE("PX392=",$CF$72), CONCATENATE("DS004=",$B$64), "Fill=B")</f>
        <v>350104</v>
      </c>
      <c r="CG94">
        <f ca="1">_xll.BDP($B$32,$C$32,CONCATENATE("PX391=", $CG$71), CONCATENATE("PX392=",$CG$72), CONCATENATE("DS004=",$B$64), "Fill=B")</f>
        <v>333006</v>
      </c>
      <c r="CH94">
        <f ca="1">_xll.BDP($B$32,$C$32,CONCATENATE("PX391=", $CH$71), CONCATENATE("PX392=",$CH$72), CONCATENATE("DS004=",$B$64), "Fill=B")</f>
        <v>311770</v>
      </c>
      <c r="CI94">
        <f ca="1">_xll.BDP($B$32,$C$32,CONCATENATE("PX391=", $CI$71), CONCATENATE("PX392=",$CI$72), CONCATENATE("DS004=",$B$64), "Fill=B")</f>
        <v>330539</v>
      </c>
      <c r="CJ94">
        <f ca="1">_xll.BDP($B$32,$C$32,CONCATENATE("PX391=", $CJ$71), CONCATENATE("PX392=",$CJ$72), CONCATENATE("DS004=",$B$64), "Fill=B")</f>
        <v>331468</v>
      </c>
      <c r="CK94">
        <f ca="1">_xll.BDP($B$32,$C$32,CONCATENATE("PX391=", $CK$71), CONCATENATE("PX392=",$CK$72), CONCATENATE("DS004=",$B$64), "Fill=B")</f>
        <v>292173</v>
      </c>
      <c r="CL94" t="str">
        <f>""</f>
        <v/>
      </c>
      <c r="CM94" t="str">
        <f>""</f>
        <v/>
      </c>
      <c r="CN94" t="str">
        <f>""</f>
        <v/>
      </c>
      <c r="CO94" t="str">
        <f>""</f>
        <v/>
      </c>
      <c r="CP94" t="str">
        <f>""</f>
        <v/>
      </c>
      <c r="CQ94" t="str">
        <f>""</f>
        <v/>
      </c>
      <c r="CR94" t="str">
        <f>""</f>
        <v/>
      </c>
      <c r="CS94" t="str">
        <f>""</f>
        <v/>
      </c>
      <c r="CT94" t="str">
        <f>""</f>
        <v/>
      </c>
      <c r="CU94" t="str">
        <f>""</f>
        <v/>
      </c>
      <c r="CV94" t="str">
        <f>""</f>
        <v/>
      </c>
      <c r="CW94" t="str">
        <f>""</f>
        <v/>
      </c>
      <c r="CX94" t="str">
        <f>""</f>
        <v/>
      </c>
      <c r="CY94" t="str">
        <f>""</f>
        <v/>
      </c>
      <c r="CZ94" t="str">
        <f>""</f>
        <v/>
      </c>
      <c r="DA94" t="str">
        <f>""</f>
        <v/>
      </c>
      <c r="DB94" t="str">
        <f>""</f>
        <v/>
      </c>
      <c r="DC94" t="str">
        <f>""</f>
        <v/>
      </c>
      <c r="DD94" t="str">
        <f>""</f>
        <v/>
      </c>
      <c r="DE94" t="str">
        <f>""</f>
        <v/>
      </c>
      <c r="DF94" t="str">
        <f>""</f>
        <v/>
      </c>
      <c r="DG94" t="str">
        <f>""</f>
        <v/>
      </c>
      <c r="DH94" t="str">
        <f>""</f>
        <v/>
      </c>
      <c r="DI94" t="str">
        <f>""</f>
        <v/>
      </c>
      <c r="DJ94" t="str">
        <f>""</f>
        <v/>
      </c>
      <c r="DK94" t="str">
        <f>""</f>
        <v/>
      </c>
      <c r="DL94" t="str">
        <f>""</f>
        <v/>
      </c>
      <c r="DM94" t="str">
        <f>""</f>
        <v/>
      </c>
      <c r="DN94" t="str">
        <f>""</f>
        <v/>
      </c>
      <c r="DO94" t="str">
        <f>""</f>
        <v/>
      </c>
      <c r="DP94" t="str">
        <f>""</f>
        <v/>
      </c>
      <c r="DQ94" t="str">
        <f>""</f>
        <v/>
      </c>
      <c r="DR94" t="str">
        <f>""</f>
        <v/>
      </c>
      <c r="DS94" t="str">
        <f>""</f>
        <v/>
      </c>
      <c r="DT94" t="str">
        <f>""</f>
        <v/>
      </c>
      <c r="DU94" t="str">
        <f>""</f>
        <v/>
      </c>
      <c r="DV94" t="str">
        <f>""</f>
        <v/>
      </c>
      <c r="DW94" t="str">
        <f>""</f>
        <v/>
      </c>
      <c r="DX94" t="str">
        <f>""</f>
        <v/>
      </c>
      <c r="DY94" t="str">
        <f>""</f>
        <v/>
      </c>
      <c r="DZ94" t="str">
        <f>""</f>
        <v/>
      </c>
      <c r="EA94" t="str">
        <f>""</f>
        <v/>
      </c>
      <c r="EB94" t="str">
        <f>""</f>
        <v/>
      </c>
      <c r="EC94" t="str">
        <f>""</f>
        <v/>
      </c>
      <c r="ED94" t="str">
        <f>""</f>
        <v/>
      </c>
      <c r="EE94" t="str">
        <f>""</f>
        <v/>
      </c>
      <c r="EF94" t="str">
        <f>""</f>
        <v/>
      </c>
      <c r="EG94" t="str">
        <f>""</f>
        <v/>
      </c>
      <c r="EH94" t="str">
        <f>""</f>
        <v/>
      </c>
      <c r="EI94" t="str">
        <f>""</f>
        <v/>
      </c>
      <c r="EJ94" t="str">
        <f>""</f>
        <v/>
      </c>
      <c r="EK94" t="str">
        <f>""</f>
        <v/>
      </c>
      <c r="EL94" t="str">
        <f>""</f>
        <v/>
      </c>
      <c r="EM94" t="str">
        <f>""</f>
        <v/>
      </c>
      <c r="EN94" t="str">
        <f>""</f>
        <v/>
      </c>
      <c r="EO94" t="str">
        <f>""</f>
        <v/>
      </c>
      <c r="EP94" t="str">
        <f>""</f>
        <v/>
      </c>
      <c r="EQ94" t="str">
        <f>""</f>
        <v/>
      </c>
      <c r="ER94" t="str">
        <f>""</f>
        <v/>
      </c>
      <c r="ES94" t="str">
        <f>""</f>
        <v/>
      </c>
      <c r="ET94" t="str">
        <f>""</f>
        <v/>
      </c>
      <c r="EU94" t="str">
        <f>""</f>
        <v/>
      </c>
      <c r="EV94" t="str">
        <f>""</f>
        <v/>
      </c>
      <c r="EW94" t="str">
        <f>""</f>
        <v/>
      </c>
      <c r="EX94" t="str">
        <f>""</f>
        <v/>
      </c>
      <c r="EY94" t="str">
        <f>""</f>
        <v/>
      </c>
      <c r="EZ94" t="str">
        <f>""</f>
        <v/>
      </c>
      <c r="FA94" t="str">
        <f>""</f>
        <v/>
      </c>
      <c r="FB94" t="str">
        <f>""</f>
        <v/>
      </c>
      <c r="FC94" t="str">
        <f>""</f>
        <v/>
      </c>
      <c r="FD94" t="str">
        <f>""</f>
        <v/>
      </c>
      <c r="FE94" t="str">
        <f>""</f>
        <v/>
      </c>
      <c r="FF94" t="str">
        <f>""</f>
        <v/>
      </c>
      <c r="FG94" t="str">
        <f>""</f>
        <v/>
      </c>
      <c r="FH94" t="str">
        <f>""</f>
        <v/>
      </c>
      <c r="FI94" t="str">
        <f>""</f>
        <v/>
      </c>
      <c r="FJ94" t="str">
        <f>""</f>
        <v/>
      </c>
      <c r="FK94" t="str">
        <f>""</f>
        <v/>
      </c>
      <c r="FL94" t="str">
        <f>""</f>
        <v/>
      </c>
      <c r="FM94" t="str">
        <f>""</f>
        <v/>
      </c>
      <c r="FN94" t="str">
        <f>""</f>
        <v/>
      </c>
      <c r="FO94" t="str">
        <f>""</f>
        <v/>
      </c>
      <c r="FP94" t="str">
        <f>""</f>
        <v/>
      </c>
      <c r="FQ94" t="str">
        <f>""</f>
        <v/>
      </c>
    </row>
    <row r="95" spans="1:173" x14ac:dyDescent="0.25">
      <c r="A95" t="str">
        <f>$A$33</f>
        <v xml:space="preserve">    Port of Vancouver (TEU)</v>
      </c>
      <c r="B95" t="str">
        <f>$B$33</f>
        <v>PVANTOTL Index</v>
      </c>
      <c r="C95" t="str">
        <f>$C$33</f>
        <v>PX385</v>
      </c>
      <c r="D95" t="str">
        <f>$D$33</f>
        <v>INTERVAL_SUM</v>
      </c>
      <c r="E95" t="str">
        <f>$E$33</f>
        <v>Dynamic</v>
      </c>
      <c r="F95" t="str">
        <f ca="1">_xll.BDP($B$33,$C$33,CONCATENATE("PX391=", $F$71), CONCATENATE("PX392=",$F$72), CONCATENATE("DS004=",$B$64), "Fill=B")</f>
        <v/>
      </c>
      <c r="G95" t="str">
        <f ca="1">_xll.BDP($B$33,$C$33,CONCATENATE("PX391=", $G$71), CONCATENATE("PX392=",$G$72), CONCATENATE("DS004=",$B$64), "Fill=B")</f>
        <v/>
      </c>
      <c r="H95">
        <f ca="1">_xll.BDP($B$33,$C$33,CONCATENATE("PX391=", $H$71), CONCATENATE("PX392=",$H$72), CONCATENATE("DS004=",$B$64), "Fill=B")</f>
        <v>286241</v>
      </c>
      <c r="I95">
        <f ca="1">_xll.BDP($B$33,$C$33,CONCATENATE("PX391=", $I$71), CONCATENATE("PX392=",$I$72), CONCATENATE("DS004=",$B$64), "Fill=B")</f>
        <v>253978</v>
      </c>
      <c r="J95">
        <f ca="1">_xll.BDP($B$33,$C$33,CONCATENATE("PX391=", $J$71), CONCATENATE("PX392=",$J$72), CONCATENATE("DS004=",$B$64), "Fill=B")</f>
        <v>197511</v>
      </c>
      <c r="K95">
        <f ca="1">_xll.BDP($B$33,$C$33,CONCATENATE("PX391=", $K$71), CONCATENATE("PX392=",$K$72), CONCATENATE("DS004=",$B$64), "Fill=B")</f>
        <v>285162</v>
      </c>
      <c r="L95">
        <f ca="1">_xll.BDP($B$33,$C$33,CONCATENATE("PX391=", $L$71), CONCATENATE("PX392=",$L$72), CONCATENATE("DS004=",$B$64), "Fill=B")</f>
        <v>280296</v>
      </c>
      <c r="M95">
        <f ca="1">_xll.BDP($B$33,$C$33,CONCATENATE("PX391=", $M$71), CONCATENATE("PX392=",$M$72), CONCATENATE("DS004=",$B$64), "Fill=B")</f>
        <v>281171</v>
      </c>
      <c r="N95">
        <f ca="1">_xll.BDP($B$33,$C$33,CONCATENATE("PX391=", $N$71), CONCATENATE("PX392=",$N$72), CONCATENATE("DS004=",$B$64), "Fill=B")</f>
        <v>226852</v>
      </c>
      <c r="O95">
        <f ca="1">_xll.BDP($B$33,$C$33,CONCATENATE("PX391=", $O$71), CONCATENATE("PX392=",$O$72), CONCATENATE("DS004=",$B$64), "Fill=B")</f>
        <v>233950</v>
      </c>
      <c r="P95">
        <f ca="1">_xll.BDP($B$33,$C$33,CONCATENATE("PX391=", $P$71), CONCATENATE("PX392=",$P$72), CONCATENATE("DS004=",$B$64), "Fill=B")</f>
        <v>247473</v>
      </c>
      <c r="Q95">
        <f ca="1">_xll.BDP($B$33,$C$33,CONCATENATE("PX391=", $Q$71), CONCATENATE("PX392=",$Q$72), CONCATENATE("DS004=",$B$64), "Fill=B")</f>
        <v>207013</v>
      </c>
      <c r="R95">
        <f ca="1">_xll.BDP($B$33,$C$33,CONCATENATE("PX391=", $R$71), CONCATENATE("PX392=",$R$72), CONCATENATE("DS004=",$B$64), "Fill=B")</f>
        <v>275601</v>
      </c>
      <c r="S95">
        <f ca="1">_xll.BDP($B$33,$C$33,CONCATENATE("PX391=", $S$71), CONCATENATE("PX392=",$S$72), CONCATENATE("DS004=",$B$64), "Fill=B")</f>
        <v>308542</v>
      </c>
      <c r="T95">
        <f ca="1">_xll.BDP($B$33,$C$33,CONCATENATE("PX391=", $T$71), CONCATENATE("PX392=",$T$72), CONCATENATE("DS004=",$B$64), "Fill=B")</f>
        <v>325187</v>
      </c>
      <c r="U95">
        <f ca="1">_xll.BDP($B$33,$C$33,CONCATENATE("PX391=", $U$71), CONCATENATE("PX392=",$U$72), CONCATENATE("DS004=",$B$64), "Fill=B")</f>
        <v>331874</v>
      </c>
      <c r="V95">
        <f ca="1">_xll.BDP($B$33,$C$33,CONCATENATE("PX391=", $V$71), CONCATENATE("PX392=",$V$72), CONCATENATE("DS004=",$B$64), "Fill=B")</f>
        <v>305600</v>
      </c>
      <c r="W95">
        <f ca="1">_xll.BDP($B$33,$C$33,CONCATENATE("PX391=", $W$71), CONCATENATE("PX392=",$W$72), CONCATENATE("DS004=",$B$64), "Fill=B")</f>
        <v>319894</v>
      </c>
      <c r="X95">
        <f ca="1">_xll.BDP($B$33,$C$33,CONCATENATE("PX391=", $X$71), CONCATENATE("PX392=",$X$72), CONCATENATE("DS004=",$B$64), "Fill=B")</f>
        <v>320182</v>
      </c>
      <c r="Y95">
        <f ca="1">_xll.BDP($B$33,$C$33,CONCATENATE("PX391=", $Y$71), CONCATENATE("PX392=",$Y$72), CONCATENATE("DS004=",$B$64), "Fill=B")</f>
        <v>327562</v>
      </c>
      <c r="Z95">
        <f ca="1">_xll.BDP($B$33,$C$33,CONCATENATE("PX391=", $Z$71), CONCATENATE("PX392=",$Z$72), CONCATENATE("DS004=",$B$64), "Fill=B")</f>
        <v>330693</v>
      </c>
      <c r="AA95">
        <f ca="1">_xll.BDP($B$33,$C$33,CONCATENATE("PX391=", $AA$71), CONCATENATE("PX392=",$AA$72), CONCATENATE("DS004=",$B$64), "Fill=B")</f>
        <v>252536</v>
      </c>
      <c r="AB95">
        <f ca="1">_xll.BDP($B$33,$C$33,CONCATENATE("PX391=", $AB$71), CONCATENATE("PX392=",$AB$72), CONCATENATE("DS004=",$B$64), "Fill=B")</f>
        <v>252612</v>
      </c>
      <c r="AC95">
        <f ca="1">_xll.BDP($B$33,$C$33,CONCATENATE("PX391=", $AC$71), CONCATENATE("PX392=",$AC$72), CONCATENATE("DS004=",$B$64), "Fill=B")</f>
        <v>254617</v>
      </c>
      <c r="AD95">
        <f ca="1">_xll.BDP($B$33,$C$33,CONCATENATE("PX391=", $AD$71), CONCATENATE("PX392=",$AD$72), CONCATENATE("DS004=",$B$64), "Fill=B")</f>
        <v>240583</v>
      </c>
      <c r="AE95">
        <f ca="1">_xll.BDP($B$33,$C$33,CONCATENATE("PX391=", $AE$71), CONCATENATE("PX392=",$AE$72), CONCATENATE("DS004=",$B$64), "Fill=B")</f>
        <v>327146</v>
      </c>
      <c r="AF95">
        <f ca="1">_xll.BDP($B$33,$C$33,CONCATENATE("PX391=", $AF$71), CONCATENATE("PX392=",$AF$72), CONCATENATE("DS004=",$B$64), "Fill=B")</f>
        <v>311855</v>
      </c>
      <c r="AG95">
        <f ca="1">_xll.BDP($B$33,$C$33,CONCATENATE("PX391=", $AG$71), CONCATENATE("PX392=",$AG$72), CONCATENATE("DS004=",$B$64), "Fill=B")</f>
        <v>336695</v>
      </c>
      <c r="AH95">
        <f ca="1">_xll.BDP($B$33,$C$33,CONCATENATE("PX391=", $AH$71), CONCATENATE("PX392=",$AH$72), CONCATENATE("DS004=",$B$64), "Fill=B")</f>
        <v>265593</v>
      </c>
      <c r="AI95">
        <f ca="1">_xll.BDP($B$33,$C$33,CONCATENATE("PX391=", $AI$71), CONCATENATE("PX392=",$AI$72), CONCATENATE("DS004=",$B$64), "Fill=B")</f>
        <v>302003</v>
      </c>
      <c r="AJ95">
        <f ca="1">_xll.BDP($B$33,$C$33,CONCATENATE("PX391=", $AJ$71), CONCATENATE("PX392=",$AJ$72), CONCATENATE("DS004=",$B$64), "Fill=B")</f>
        <v>371855</v>
      </c>
      <c r="AK95">
        <f ca="1">_xll.BDP($B$33,$C$33,CONCATENATE("PX391=", $AK$71), CONCATENATE("PX392=",$AK$72), CONCATENATE("DS004=",$B$64), "Fill=B")</f>
        <v>337271</v>
      </c>
      <c r="AL95">
        <f ca="1">_xll.BDP($B$33,$C$33,CONCATENATE("PX391=", $AL$71), CONCATENATE("PX392=",$AL$72), CONCATENATE("DS004=",$B$64), "Fill=B")</f>
        <v>332258</v>
      </c>
      <c r="AM95">
        <f ca="1">_xll.BDP($B$33,$C$33,CONCATENATE("PX391=", $AM$71), CONCATENATE("PX392=",$AM$72), CONCATENATE("DS004=",$B$64), "Fill=B")</f>
        <v>280733</v>
      </c>
      <c r="AN95">
        <f ca="1">_xll.BDP($B$33,$C$33,CONCATENATE("PX391=", $AN$71), CONCATENATE("PX392=",$AN$72), CONCATENATE("DS004=",$B$64), "Fill=B")</f>
        <v>319972</v>
      </c>
      <c r="AO95">
        <f ca="1">_xll.BDP($B$33,$C$33,CONCATENATE("PX391=", $AO$71), CONCATENATE("PX392=",$AO$72), CONCATENATE("DS004=",$B$64), "Fill=B")</f>
        <v>321302</v>
      </c>
      <c r="AP95">
        <f ca="1">_xll.BDP($B$33,$C$33,CONCATENATE("PX391=", $AP$71), CONCATENATE("PX392=",$AP$72), CONCATENATE("DS004=",$B$64), "Fill=B")</f>
        <v>315721</v>
      </c>
      <c r="AQ95">
        <f ca="1">_xll.BDP($B$33,$C$33,CONCATENATE("PX391=", $AQ$71), CONCATENATE("PX392=",$AQ$72), CONCATENATE("DS004=",$B$64), "Fill=B")</f>
        <v>359384</v>
      </c>
      <c r="AR95">
        <f ca="1">_xll.BDP($B$33,$C$33,CONCATENATE("PX391=", $AR$71), CONCATENATE("PX392=",$AR$72), CONCATENATE("DS004=",$B$64), "Fill=B")</f>
        <v>302737</v>
      </c>
      <c r="AS95">
        <f ca="1">_xll.BDP($B$33,$C$33,CONCATENATE("PX391=", $AS$71), CONCATENATE("PX392=",$AS$72), CONCATENATE("DS004=",$B$64), "Fill=B")</f>
        <v>300341</v>
      </c>
      <c r="AT95">
        <f ca="1">_xll.BDP($B$33,$C$33,CONCATENATE("PX391=", $AT$71), CONCATENATE("PX392=",$AT$72), CONCATENATE("DS004=",$B$64), "Fill=B")</f>
        <v>303559</v>
      </c>
      <c r="AU95">
        <f ca="1">_xll.BDP($B$33,$C$33,CONCATENATE("PX391=", $AU$71), CONCATENATE("PX392=",$AU$72), CONCATENATE("DS004=",$B$64), "Fill=B")</f>
        <v>275171</v>
      </c>
      <c r="AV95">
        <f ca="1">_xll.BDP($B$33,$C$33,CONCATENATE("PX391=", $AV$71), CONCATENATE("PX392=",$AV$72), CONCATENATE("DS004=",$B$64), "Fill=B")</f>
        <v>276230</v>
      </c>
      <c r="AW95">
        <f ca="1">_xll.BDP($B$33,$C$33,CONCATENATE("PX391=", $AW$71), CONCATENATE("PX392=",$AW$72), CONCATENATE("DS004=",$B$64), "Fill=B")</f>
        <v>278223</v>
      </c>
      <c r="AX95">
        <f ca="1">_xll.BDP($B$33,$C$33,CONCATENATE("PX391=", $AX$71), CONCATENATE("PX392=",$AX$72), CONCATENATE("DS004=",$B$64), "Fill=B")</f>
        <v>237696</v>
      </c>
      <c r="AY95">
        <f ca="1">_xll.BDP($B$33,$C$33,CONCATENATE("PX391=", $AY$71), CONCATENATE("PX392=",$AY$72), CONCATENATE("DS004=",$B$64), "Fill=B")</f>
        <v>231560</v>
      </c>
      <c r="AZ95">
        <f ca="1">_xll.BDP($B$33,$C$33,CONCATENATE("PX391=", $AZ$71), CONCATENATE("PX392=",$AZ$72), CONCATENATE("DS004=",$B$64), "Fill=B")</f>
        <v>265599</v>
      </c>
      <c r="BA95">
        <f ca="1">_xll.BDP($B$33,$C$33,CONCATENATE("PX391=", $BA$71), CONCATENATE("PX392=",$BA$72), CONCATENATE("DS004=",$B$64), "Fill=B")</f>
        <v>271868</v>
      </c>
      <c r="BB95">
        <f ca="1">_xll.BDP($B$33,$C$33,CONCATENATE("PX391=", $BB$71), CONCATENATE("PX392=",$BB$72), CONCATENATE("DS004=",$B$64), "Fill=B")</f>
        <v>257943</v>
      </c>
      <c r="BC95">
        <f ca="1">_xll.BDP($B$33,$C$33,CONCATENATE("PX391=", $BC$71), CONCATENATE("PX392=",$BC$72), CONCATENATE("DS004=",$B$64), "Fill=B")</f>
        <v>272899</v>
      </c>
      <c r="BD95">
        <f ca="1">_xll.BDP($B$33,$C$33,CONCATENATE("PX391=", $BD$71), CONCATENATE("PX392=",$BD$72), CONCATENATE("DS004=",$B$64), "Fill=B")</f>
        <v>303835</v>
      </c>
      <c r="BE95">
        <f ca="1">_xll.BDP($B$33,$C$33,CONCATENATE("PX391=", $BE$71), CONCATENATE("PX392=",$BE$72), CONCATENATE("DS004=",$B$64), "Fill=B")</f>
        <v>295765</v>
      </c>
      <c r="BF95">
        <f ca="1">_xll.BDP($B$33,$C$33,CONCATENATE("PX391=", $BF$71), CONCATENATE("PX392=",$BF$72), CONCATENATE("DS004=",$B$64), "Fill=B")</f>
        <v>301174</v>
      </c>
      <c r="BG95">
        <f ca="1">_xll.BDP($B$33,$C$33,CONCATENATE("PX391=", $BG$71), CONCATENATE("PX392=",$BG$72), CONCATENATE("DS004=",$B$64), "Fill=B")</f>
        <v>285593</v>
      </c>
      <c r="BH95">
        <f ca="1">_xll.BDP($B$33,$C$33,CONCATENATE("PX391=", $BH$71), CONCATENATE("PX392=",$BH$72), CONCATENATE("DS004=",$B$64), "Fill=B")</f>
        <v>276115</v>
      </c>
      <c r="BI95">
        <f ca="1">_xll.BDP($B$33,$C$33,CONCATENATE("PX391=", $BI$71), CONCATENATE("PX392=",$BI$72), CONCATENATE("DS004=",$B$64), "Fill=B")</f>
        <v>290630</v>
      </c>
      <c r="BJ95">
        <f ca="1">_xll.BDP($B$33,$C$33,CONCATENATE("PX391=", $BJ$71), CONCATENATE("PX392=",$BJ$72), CONCATENATE("DS004=",$B$64), "Fill=B")</f>
        <v>269681</v>
      </c>
      <c r="BK95">
        <f ca="1">_xll.BDP($B$33,$C$33,CONCATENATE("PX391=", $BK$71), CONCATENATE("PX392=",$BK$72), CONCATENATE("DS004=",$B$64), "Fill=B")</f>
        <v>259831</v>
      </c>
      <c r="BL95">
        <f ca="1">_xll.BDP($B$33,$C$33,CONCATENATE("PX391=", $BL$71), CONCATENATE("PX392=",$BL$72), CONCATENATE("DS004=",$B$64), "Fill=B")</f>
        <v>313527</v>
      </c>
      <c r="BM95">
        <f ca="1">_xll.BDP($B$33,$C$33,CONCATENATE("PX391=", $BM$71), CONCATENATE("PX392=",$BM$72), CONCATENATE("DS004=",$B$64), "Fill=B")</f>
        <v>271715</v>
      </c>
      <c r="BN95">
        <f ca="1">_xll.BDP($B$33,$C$33,CONCATENATE("PX391=", $BN$71), CONCATENATE("PX392=",$BN$72), CONCATENATE("DS004=",$B$64), "Fill=B")</f>
        <v>305325</v>
      </c>
      <c r="BO95">
        <f ca="1">_xll.BDP($B$33,$C$33,CONCATENATE("PX391=", $BO$71), CONCATENATE("PX392=",$BO$72), CONCATENATE("DS004=",$B$64), "Fill=B")</f>
        <v>299258</v>
      </c>
      <c r="BP95">
        <f ca="1">_xll.BDP($B$33,$C$33,CONCATENATE("PX391=", $BP$71), CONCATENATE("PX392=",$BP$72), CONCATENATE("DS004=",$B$64), "Fill=B")</f>
        <v>310982</v>
      </c>
      <c r="BQ95">
        <f ca="1">_xll.BDP($B$33,$C$33,CONCATENATE("PX391=", $BQ$71), CONCATENATE("PX392=",$BQ$72), CONCATENATE("DS004=",$B$64), "Fill=B")</f>
        <v>273638</v>
      </c>
      <c r="BR95">
        <f ca="1">_xll.BDP($B$33,$C$33,CONCATENATE("PX391=", $BR$71), CONCATENATE("PX392=",$BR$72), CONCATENATE("DS004=",$B$64), "Fill=B")</f>
        <v>298093</v>
      </c>
      <c r="BS95">
        <f ca="1">_xll.BDP($B$33,$C$33,CONCATENATE("PX391=", $BS$71), CONCATENATE("PX392=",$BS$72), CONCATENATE("DS004=",$B$64), "Fill=B")</f>
        <v>285082</v>
      </c>
      <c r="BT95">
        <f ca="1">_xll.BDP($B$33,$C$33,CONCATENATE("PX391=", $BT$71), CONCATENATE("PX392=",$BT$72), CONCATENATE("DS004=",$B$64), "Fill=B")</f>
        <v>292273</v>
      </c>
      <c r="BU95">
        <f ca="1">_xll.BDP($B$33,$C$33,CONCATENATE("PX391=", $BU$71), CONCATENATE("PX392=",$BU$72), CONCATENATE("DS004=",$B$64), "Fill=B")</f>
        <v>258869</v>
      </c>
      <c r="BV95">
        <f ca="1">_xll.BDP($B$33,$C$33,CONCATENATE("PX391=", $BV$71), CONCATENATE("PX392=",$BV$72), CONCATENATE("DS004=",$B$64), "Fill=B")</f>
        <v>286563</v>
      </c>
      <c r="BW95">
        <f ca="1">_xll.BDP($B$33,$C$33,CONCATENATE("PX391=", $BW$71), CONCATENATE("PX392=",$BW$72), CONCATENATE("DS004=",$B$64), "Fill=B")</f>
        <v>248583</v>
      </c>
      <c r="BX95">
        <f ca="1">_xll.BDP($B$33,$C$33,CONCATENATE("PX391=", $BX$71), CONCATENATE("PX392=",$BX$72), CONCATENATE("DS004=",$B$64), "Fill=B")</f>
        <v>266071</v>
      </c>
      <c r="BY95">
        <f ca="1">_xll.BDP($B$33,$C$33,CONCATENATE("PX391=", $BY$71), CONCATENATE("PX392=",$BY$72), CONCATENATE("DS004=",$B$64), "Fill=B")</f>
        <v>270488</v>
      </c>
      <c r="BZ95">
        <f ca="1">_xll.BDP($B$33,$C$33,CONCATENATE("PX391=", $BZ$71), CONCATENATE("PX392=",$BZ$72), CONCATENATE("DS004=",$B$64), "Fill=B")</f>
        <v>289576</v>
      </c>
      <c r="CA95">
        <f ca="1">_xll.BDP($B$33,$C$33,CONCATENATE("PX391=", $CA$71), CONCATENATE("PX392=",$CA$72), CONCATENATE("DS004=",$B$64), "Fill=B")</f>
        <v>277257</v>
      </c>
      <c r="CB95">
        <f ca="1">_xll.BDP($B$33,$C$33,CONCATENATE("PX391=", $CB$71), CONCATENATE("PX392=",$CB$72), CONCATENATE("DS004=",$B$64), "Fill=B")</f>
        <v>284965</v>
      </c>
      <c r="CC95">
        <f ca="1">_xll.BDP($B$33,$C$33,CONCATENATE("PX391=", $CC$71), CONCATENATE("PX392=",$CC$72), CONCATENATE("DS004=",$B$64), "Fill=B")</f>
        <v>278538</v>
      </c>
      <c r="CD95">
        <f ca="1">_xll.BDP($B$33,$C$33,CONCATENATE("PX391=", $CD$71), CONCATENATE("PX392=",$CD$72), CONCATENATE("DS004=",$B$64), "Fill=B")</f>
        <v>292867</v>
      </c>
      <c r="CE95">
        <f ca="1">_xll.BDP($B$33,$C$33,CONCATENATE("PX391=", $CE$71), CONCATENATE("PX392=",$CE$72), CONCATENATE("DS004=",$B$64), "Fill=B")</f>
        <v>270895</v>
      </c>
      <c r="CF95">
        <f ca="1">_xll.BDP($B$33,$C$33,CONCATENATE("PX391=", $CF$71), CONCATENATE("PX392=",$CF$72), CONCATENATE("DS004=",$B$64), "Fill=B")</f>
        <v>289948</v>
      </c>
      <c r="CG95">
        <f ca="1">_xll.BDP($B$33,$C$33,CONCATENATE("PX391=", $CG$71), CONCATENATE("PX392=",$CG$72), CONCATENATE("DS004=",$B$64), "Fill=B")</f>
        <v>257451</v>
      </c>
      <c r="CH95">
        <f ca="1">_xll.BDP($B$33,$C$33,CONCATENATE("PX391=", $CH$71), CONCATENATE("PX392=",$CH$72), CONCATENATE("DS004=",$B$64), "Fill=B")</f>
        <v>250204</v>
      </c>
      <c r="CI95">
        <f ca="1">_xll.BDP($B$33,$C$33,CONCATENATE("PX391=", $CI$71), CONCATENATE("PX392=",$CI$72), CONCATENATE("DS004=",$B$64), "Fill=B")</f>
        <v>250514</v>
      </c>
      <c r="CJ95">
        <f ca="1">_xll.BDP($B$33,$C$33,CONCATENATE("PX391=", $CJ$71), CONCATENATE("PX392=",$CJ$72), CONCATENATE("DS004=",$B$64), "Fill=B")</f>
        <v>239522</v>
      </c>
      <c r="CK95">
        <f ca="1">_xll.BDP($B$33,$C$33,CONCATENATE("PX391=", $CK$71), CONCATENATE("PX392=",$CK$72), CONCATENATE("DS004=",$B$64), "Fill=B")</f>
        <v>239090</v>
      </c>
      <c r="CL95" t="str">
        <f>""</f>
        <v/>
      </c>
      <c r="CM95" t="str">
        <f>""</f>
        <v/>
      </c>
      <c r="CN95" t="str">
        <f>""</f>
        <v/>
      </c>
      <c r="CO95" t="str">
        <f>""</f>
        <v/>
      </c>
      <c r="CP95" t="str">
        <f>""</f>
        <v/>
      </c>
      <c r="CQ95" t="str">
        <f>""</f>
        <v/>
      </c>
      <c r="CR95" t="str">
        <f>""</f>
        <v/>
      </c>
      <c r="CS95" t="str">
        <f>""</f>
        <v/>
      </c>
      <c r="CT95" t="str">
        <f>""</f>
        <v/>
      </c>
      <c r="CU95" t="str">
        <f>""</f>
        <v/>
      </c>
      <c r="CV95" t="str">
        <f>""</f>
        <v/>
      </c>
      <c r="CW95" t="str">
        <f>""</f>
        <v/>
      </c>
      <c r="CX95" t="str">
        <f>""</f>
        <v/>
      </c>
      <c r="CY95" t="str">
        <f>""</f>
        <v/>
      </c>
      <c r="CZ95" t="str">
        <f>""</f>
        <v/>
      </c>
      <c r="DA95" t="str">
        <f>""</f>
        <v/>
      </c>
      <c r="DB95" t="str">
        <f>""</f>
        <v/>
      </c>
      <c r="DC95" t="str">
        <f>""</f>
        <v/>
      </c>
      <c r="DD95" t="str">
        <f>""</f>
        <v/>
      </c>
      <c r="DE95" t="str">
        <f>""</f>
        <v/>
      </c>
      <c r="DF95" t="str">
        <f>""</f>
        <v/>
      </c>
      <c r="DG95" t="str">
        <f>""</f>
        <v/>
      </c>
      <c r="DH95" t="str">
        <f>""</f>
        <v/>
      </c>
      <c r="DI95" t="str">
        <f>""</f>
        <v/>
      </c>
      <c r="DJ95" t="str">
        <f>""</f>
        <v/>
      </c>
      <c r="DK95" t="str">
        <f>""</f>
        <v/>
      </c>
      <c r="DL95" t="str">
        <f>""</f>
        <v/>
      </c>
      <c r="DM95" t="str">
        <f>""</f>
        <v/>
      </c>
      <c r="DN95" t="str">
        <f>""</f>
        <v/>
      </c>
      <c r="DO95" t="str">
        <f>""</f>
        <v/>
      </c>
      <c r="DP95" t="str">
        <f>""</f>
        <v/>
      </c>
      <c r="DQ95" t="str">
        <f>""</f>
        <v/>
      </c>
      <c r="DR95" t="str">
        <f>""</f>
        <v/>
      </c>
      <c r="DS95" t="str">
        <f>""</f>
        <v/>
      </c>
      <c r="DT95" t="str">
        <f>""</f>
        <v/>
      </c>
      <c r="DU95" t="str">
        <f>""</f>
        <v/>
      </c>
      <c r="DV95" t="str">
        <f>""</f>
        <v/>
      </c>
      <c r="DW95" t="str">
        <f>""</f>
        <v/>
      </c>
      <c r="DX95" t="str">
        <f>""</f>
        <v/>
      </c>
      <c r="DY95" t="str">
        <f>""</f>
        <v/>
      </c>
      <c r="DZ95" t="str">
        <f>""</f>
        <v/>
      </c>
      <c r="EA95" t="str">
        <f>""</f>
        <v/>
      </c>
      <c r="EB95" t="str">
        <f>""</f>
        <v/>
      </c>
      <c r="EC95" t="str">
        <f>""</f>
        <v/>
      </c>
      <c r="ED95" t="str">
        <f>""</f>
        <v/>
      </c>
      <c r="EE95" t="str">
        <f>""</f>
        <v/>
      </c>
      <c r="EF95" t="str">
        <f>""</f>
        <v/>
      </c>
      <c r="EG95" t="str">
        <f>""</f>
        <v/>
      </c>
      <c r="EH95" t="str">
        <f>""</f>
        <v/>
      </c>
      <c r="EI95" t="str">
        <f>""</f>
        <v/>
      </c>
      <c r="EJ95" t="str">
        <f>""</f>
        <v/>
      </c>
      <c r="EK95" t="str">
        <f>""</f>
        <v/>
      </c>
      <c r="EL95" t="str">
        <f>""</f>
        <v/>
      </c>
      <c r="EM95" t="str">
        <f>""</f>
        <v/>
      </c>
      <c r="EN95" t="str">
        <f>""</f>
        <v/>
      </c>
      <c r="EO95" t="str">
        <f>""</f>
        <v/>
      </c>
      <c r="EP95" t="str">
        <f>""</f>
        <v/>
      </c>
      <c r="EQ95" t="str">
        <f>""</f>
        <v/>
      </c>
      <c r="ER95" t="str">
        <f>""</f>
        <v/>
      </c>
      <c r="ES95" t="str">
        <f>""</f>
        <v/>
      </c>
      <c r="ET95" t="str">
        <f>""</f>
        <v/>
      </c>
      <c r="EU95" t="str">
        <f>""</f>
        <v/>
      </c>
      <c r="EV95" t="str">
        <f>""</f>
        <v/>
      </c>
      <c r="EW95" t="str">
        <f>""</f>
        <v/>
      </c>
      <c r="EX95" t="str">
        <f>""</f>
        <v/>
      </c>
      <c r="EY95" t="str">
        <f>""</f>
        <v/>
      </c>
      <c r="EZ95" t="str">
        <f>""</f>
        <v/>
      </c>
      <c r="FA95" t="str">
        <f>""</f>
        <v/>
      </c>
      <c r="FB95" t="str">
        <f>""</f>
        <v/>
      </c>
      <c r="FC95" t="str">
        <f>""</f>
        <v/>
      </c>
      <c r="FD95" t="str">
        <f>""</f>
        <v/>
      </c>
      <c r="FE95" t="str">
        <f>""</f>
        <v/>
      </c>
      <c r="FF95" t="str">
        <f>""</f>
        <v/>
      </c>
      <c r="FG95" t="str">
        <f>""</f>
        <v/>
      </c>
      <c r="FH95" t="str">
        <f>""</f>
        <v/>
      </c>
      <c r="FI95" t="str">
        <f>""</f>
        <v/>
      </c>
      <c r="FJ95" t="str">
        <f>""</f>
        <v/>
      </c>
      <c r="FK95" t="str">
        <f>""</f>
        <v/>
      </c>
      <c r="FL95" t="str">
        <f>""</f>
        <v/>
      </c>
      <c r="FM95" t="str">
        <f>""</f>
        <v/>
      </c>
      <c r="FN95" t="str">
        <f>""</f>
        <v/>
      </c>
      <c r="FO95" t="str">
        <f>""</f>
        <v/>
      </c>
      <c r="FP95" t="str">
        <f>""</f>
        <v/>
      </c>
      <c r="FQ95" t="str">
        <f>""</f>
        <v/>
      </c>
    </row>
    <row r="96" spans="1:173" x14ac:dyDescent="0.25">
      <c r="A96" t="str">
        <f>$A$34</f>
        <v xml:space="preserve">    Ports of Seattle/Tacoma Seaport Alliance (TEU)</v>
      </c>
      <c r="B96" t="str">
        <f>$B$34</f>
        <v>SEAXTOTL Index</v>
      </c>
      <c r="C96" t="str">
        <f>$C$34</f>
        <v>PX385</v>
      </c>
      <c r="D96" t="str">
        <f>$D$34</f>
        <v>INTERVAL_SUM</v>
      </c>
      <c r="E96" t="str">
        <f>$E$34</f>
        <v>Dynamic</v>
      </c>
      <c r="F96" t="str">
        <f ca="1">_xll.BDP($B$34,$C$34,CONCATENATE("PX391=", $F$71), CONCATENATE("PX392=",$F$72), CONCATENATE("DS004=",$B$64), "Fill=B")</f>
        <v/>
      </c>
      <c r="G96" t="str">
        <f ca="1">_xll.BDP($B$34,$C$34,CONCATENATE("PX391=", $G$71), CONCATENATE("PX392=",$G$72), CONCATENATE("DS004=",$B$64), "Fill=B")</f>
        <v/>
      </c>
      <c r="H96">
        <f ca="1">_xll.BDP($B$34,$C$34,CONCATENATE("PX391=", $H$71), CONCATENATE("PX392=",$H$72), CONCATENATE("DS004=",$B$64), "Fill=B")</f>
        <v>329609</v>
      </c>
      <c r="I96">
        <f ca="1">_xll.BDP($B$34,$C$34,CONCATENATE("PX391=", $I$71), CONCATENATE("PX392=",$I$72), CONCATENATE("DS004=",$B$64), "Fill=B")</f>
        <v>242700</v>
      </c>
      <c r="J96">
        <f ca="1">_xll.BDP($B$34,$C$34,CONCATENATE("PX391=", $J$71), CONCATENATE("PX392=",$J$72), CONCATENATE("DS004=",$B$64), "Fill=B")</f>
        <v>234875</v>
      </c>
      <c r="K96">
        <f ca="1">_xll.BDP($B$34,$C$34,CONCATENATE("PX391=", $K$71), CONCATENATE("PX392=",$K$72), CONCATENATE("DS004=",$B$64), "Fill=B")</f>
        <v>254458</v>
      </c>
      <c r="L96">
        <f ca="1">_xll.BDP($B$34,$C$34,CONCATENATE("PX391=", $L$71), CONCATENATE("PX392=",$L$72), CONCATENATE("DS004=",$B$64), "Fill=B")</f>
        <v>229974</v>
      </c>
      <c r="M96">
        <f ca="1">_xll.BDP($B$34,$C$34,CONCATENATE("PX391=", $M$71), CONCATENATE("PX392=",$M$72), CONCATENATE("DS004=",$B$64), "Fill=B")</f>
        <v>232321</v>
      </c>
      <c r="N96">
        <f ca="1">_xll.BDP($B$34,$C$34,CONCATENATE("PX391=", $N$71), CONCATENATE("PX392=",$N$72), CONCATENATE("DS004=",$B$64), "Fill=B")</f>
        <v>240979</v>
      </c>
      <c r="O96">
        <f ca="1">_xll.BDP($B$34,$C$34,CONCATENATE("PX391=", $O$71), CONCATENATE("PX392=",$O$72), CONCATENATE("DS004=",$B$64), "Fill=B")</f>
        <v>225747</v>
      </c>
      <c r="P96">
        <f ca="1">_xll.BDP($B$34,$C$34,CONCATENATE("PX391=", $P$71), CONCATENATE("PX392=",$P$72), CONCATENATE("DS004=",$B$64), "Fill=B")</f>
        <v>213095</v>
      </c>
      <c r="Q96">
        <f ca="1">_xll.BDP($B$34,$C$34,CONCATENATE("PX391=", $Q$71), CONCATENATE("PX392=",$Q$72), CONCATENATE("DS004=",$B$64), "Fill=B")</f>
        <v>231799</v>
      </c>
      <c r="R96">
        <f ca="1">_xll.BDP($B$34,$C$34,CONCATENATE("PX391=", $R$71), CONCATENATE("PX392=",$R$72), CONCATENATE("DS004=",$B$64), "Fill=B")</f>
        <v>247037</v>
      </c>
      <c r="S96">
        <f ca="1">_xll.BDP($B$34,$C$34,CONCATENATE("PX391=", $S$71), CONCATENATE("PX392=",$S$72), CONCATENATE("DS004=",$B$64), "Fill=B")</f>
        <v>272129</v>
      </c>
      <c r="T96">
        <f ca="1">_xll.BDP($B$34,$C$34,CONCATENATE("PX391=", $T$71), CONCATENATE("PX392=",$T$72), CONCATENATE("DS004=",$B$64), "Fill=B")</f>
        <v>285315</v>
      </c>
      <c r="U96">
        <f ca="1">_xll.BDP($B$34,$C$34,CONCATENATE("PX391=", $U$71), CONCATENATE("PX392=",$U$72), CONCATENATE("DS004=",$B$64), "Fill=B")</f>
        <v>280436</v>
      </c>
      <c r="V96">
        <f ca="1">_xll.BDP($B$34,$C$34,CONCATENATE("PX391=", $V$71), CONCATENATE("PX392=",$V$72), CONCATENATE("DS004=",$B$64), "Fill=B")</f>
        <v>260572</v>
      </c>
      <c r="W96">
        <f ca="1">_xll.BDP($B$34,$C$34,CONCATENATE("PX391=", $W$71), CONCATENATE("PX392=",$W$72), CONCATENATE("DS004=",$B$64), "Fill=B")</f>
        <v>309123</v>
      </c>
      <c r="X96">
        <f ca="1">_xll.BDP($B$34,$C$34,CONCATENATE("PX391=", $X$71), CONCATENATE("PX392=",$X$72), CONCATENATE("DS004=",$B$64), "Fill=B")</f>
        <v>329740</v>
      </c>
      <c r="Y96">
        <f ca="1">_xll.BDP($B$34,$C$34,CONCATENATE("PX391=", $Y$71), CONCATENATE("PX392=",$Y$72), CONCATENATE("DS004=",$B$64), "Fill=B")</f>
        <v>266635</v>
      </c>
      <c r="Z96">
        <f ca="1">_xll.BDP($B$34,$C$34,CONCATENATE("PX391=", $Z$71), CONCATENATE("PX392=",$Z$72), CONCATENATE("DS004=",$B$64), "Fill=B")</f>
        <v>330906</v>
      </c>
      <c r="AA96">
        <f ca="1">_xll.BDP($B$34,$C$34,CONCATENATE("PX391=", $AA$71), CONCATENATE("PX392=",$AA$72), CONCATENATE("DS004=",$B$64), "Fill=B")</f>
        <v>298046</v>
      </c>
      <c r="AB96">
        <f ca="1">_xll.BDP($B$34,$C$34,CONCATENATE("PX391=", $AB$71), CONCATENATE("PX392=",$AB$72), CONCATENATE("DS004=",$B$64), "Fill=B")</f>
        <v>272281</v>
      </c>
      <c r="AC96">
        <f ca="1">_xll.BDP($B$34,$C$34,CONCATENATE("PX391=", $AC$71), CONCATENATE("PX392=",$AC$72), CONCATENATE("DS004=",$B$64), "Fill=B")</f>
        <v>254102</v>
      </c>
      <c r="AD96">
        <f ca="1">_xll.BDP($B$34,$C$34,CONCATENATE("PX391=", $AD$71), CONCATENATE("PX392=",$AD$72), CONCATENATE("DS004=",$B$64), "Fill=B")</f>
        <v>325604</v>
      </c>
      <c r="AE96">
        <f ca="1">_xll.BDP($B$34,$C$34,CONCATENATE("PX391=", $AE$71), CONCATENATE("PX392=",$AE$72), CONCATENATE("DS004=",$B$64), "Fill=B")</f>
        <v>314801</v>
      </c>
      <c r="AF96">
        <f ca="1">_xll.BDP($B$34,$C$34,CONCATENATE("PX391=", $AF$71), CONCATENATE("PX392=",$AF$72), CONCATENATE("DS004=",$B$64), "Fill=B")</f>
        <v>337513</v>
      </c>
      <c r="AG96">
        <f ca="1">_xll.BDP($B$34,$C$34,CONCATENATE("PX391=", $AG$71), CONCATENATE("PX392=",$AG$72), CONCATENATE("DS004=",$B$64), "Fill=B")</f>
        <v>313127</v>
      </c>
      <c r="AH96">
        <f ca="1">_xll.BDP($B$34,$C$34,CONCATENATE("PX391=", $AH$71), CONCATENATE("PX392=",$AH$72), CONCATENATE("DS004=",$B$64), "Fill=B")</f>
        <v>309722</v>
      </c>
      <c r="AI96">
        <f ca="1">_xll.BDP($B$34,$C$34,CONCATENATE("PX391=", $AI$71), CONCATENATE("PX392=",$AI$72), CONCATENATE("DS004=",$B$64), "Fill=B")</f>
        <v>344573</v>
      </c>
      <c r="AJ96">
        <f ca="1">_xll.BDP($B$34,$C$34,CONCATENATE("PX391=", $AJ$71), CONCATENATE("PX392=",$AJ$72), CONCATENATE("DS004=",$B$64), "Fill=B")</f>
        <v>336397</v>
      </c>
      <c r="AK96">
        <f ca="1">_xll.BDP($B$34,$C$34,CONCATENATE("PX391=", $AK$71), CONCATENATE("PX392=",$AK$72), CONCATENATE("DS004=",$B$64), "Fill=B")</f>
        <v>303642</v>
      </c>
      <c r="AL96">
        <f ca="1">_xll.BDP($B$34,$C$34,CONCATENATE("PX391=", $AL$71), CONCATENATE("PX392=",$AL$72), CONCATENATE("DS004=",$B$64), "Fill=B")</f>
        <v>339322</v>
      </c>
      <c r="AM96">
        <f ca="1">_xll.BDP($B$34,$C$34,CONCATENATE("PX391=", $AM$71), CONCATENATE("PX392=",$AM$72), CONCATENATE("DS004=",$B$64), "Fill=B")</f>
        <v>268216</v>
      </c>
      <c r="AN96">
        <f ca="1">_xll.BDP($B$34,$C$34,CONCATENATE("PX391=", $AN$71), CONCATENATE("PX392=",$AN$72), CONCATENATE("DS004=",$B$64), "Fill=B")</f>
        <v>289187</v>
      </c>
      <c r="AO96">
        <f ca="1">_xll.BDP($B$34,$C$34,CONCATENATE("PX391=", $AO$71), CONCATENATE("PX392=",$AO$72), CONCATENATE("DS004=",$B$64), "Fill=B")</f>
        <v>301814</v>
      </c>
      <c r="AP96">
        <f ca="1">_xll.BDP($B$34,$C$34,CONCATENATE("PX391=", $AP$71), CONCATENATE("PX392=",$AP$72), CONCATENATE("DS004=",$B$64), "Fill=B")</f>
        <v>301932</v>
      </c>
      <c r="AQ96">
        <f ca="1">_xll.BDP($B$34,$C$34,CONCATENATE("PX391=", $AQ$71), CONCATENATE("PX392=",$AQ$72), CONCATENATE("DS004=",$B$64), "Fill=B")</f>
        <v>296892</v>
      </c>
      <c r="AR96">
        <f ca="1">_xll.BDP($B$34,$C$34,CONCATENATE("PX391=", $AR$71), CONCATENATE("PX392=",$AR$72), CONCATENATE("DS004=",$B$64), "Fill=B")</f>
        <v>308682</v>
      </c>
      <c r="AS96">
        <f ca="1">_xll.BDP($B$34,$C$34,CONCATENATE("PX391=", $AS$71), CONCATENATE("PX392=",$AS$72), CONCATENATE("DS004=",$B$64), "Fill=B")</f>
        <v>276407</v>
      </c>
      <c r="AT96">
        <f ca="1">_xll.BDP($B$34,$C$34,CONCATENATE("PX391=", $AT$71), CONCATENATE("PX392=",$AT$72), CONCATENATE("DS004=",$B$64), "Fill=B")</f>
        <v>270388</v>
      </c>
      <c r="AU96">
        <f ca="1">_xll.BDP($B$34,$C$34,CONCATENATE("PX391=", $AU$71), CONCATENATE("PX392=",$AU$72), CONCATENATE("DS004=",$B$64), "Fill=B")</f>
        <v>287036</v>
      </c>
      <c r="AV96">
        <f ca="1">_xll.BDP($B$34,$C$34,CONCATENATE("PX391=", $AV$71), CONCATENATE("PX392=",$AV$72), CONCATENATE("DS004=",$B$64), "Fill=B")</f>
        <v>240671</v>
      </c>
      <c r="AW96">
        <f ca="1">_xll.BDP($B$34,$C$34,CONCATENATE("PX391=", $AW$71), CONCATENATE("PX392=",$AW$72), CONCATENATE("DS004=",$B$64), "Fill=B")</f>
        <v>247675</v>
      </c>
      <c r="AX96">
        <f ca="1">_xll.BDP($B$34,$C$34,CONCATENATE("PX391=", $AX$71), CONCATENATE("PX392=",$AX$72), CONCATENATE("DS004=",$B$64), "Fill=B")</f>
        <v>264133</v>
      </c>
      <c r="AY96">
        <f ca="1">_xll.BDP($B$34,$C$34,CONCATENATE("PX391=", $AY$71), CONCATENATE("PX392=",$AY$72), CONCATENATE("DS004=",$B$64), "Fill=B")</f>
        <v>260932</v>
      </c>
      <c r="AZ96">
        <f ca="1">_xll.BDP($B$34,$C$34,CONCATENATE("PX391=", $AZ$71), CONCATENATE("PX392=",$AZ$72), CONCATENATE("DS004=",$B$64), "Fill=B")</f>
        <v>263816</v>
      </c>
      <c r="BA96">
        <f ca="1">_xll.BDP($B$34,$C$34,CONCATENATE("PX391=", $BA$71), CONCATENATE("PX392=",$BA$72), CONCATENATE("DS004=",$B$64), "Fill=B")</f>
        <v>284452</v>
      </c>
      <c r="BB96">
        <f ca="1">_xll.BDP($B$34,$C$34,CONCATENATE("PX391=", $BB$71), CONCATENATE("PX392=",$BB$72), CONCATENATE("DS004=",$B$64), "Fill=B")</f>
        <v>271178</v>
      </c>
      <c r="BC96">
        <f ca="1">_xll.BDP($B$34,$C$34,CONCATENATE("PX391=", $BC$71), CONCATENATE("PX392=",$BC$72), CONCATENATE("DS004=",$B$64), "Fill=B")</f>
        <v>310066</v>
      </c>
      <c r="BD96">
        <f ca="1">_xll.BDP($B$34,$C$34,CONCATENATE("PX391=", $BD$71), CONCATENATE("PX392=",$BD$72), CONCATENATE("DS004=",$B$64), "Fill=B")</f>
        <v>347278</v>
      </c>
      <c r="BE96">
        <f ca="1">_xll.BDP($B$34,$C$34,CONCATENATE("PX391=", $BE$71), CONCATENATE("PX392=",$BE$72), CONCATENATE("DS004=",$B$64), "Fill=B")</f>
        <v>320564</v>
      </c>
      <c r="BF96">
        <f ca="1">_xll.BDP($B$34,$C$34,CONCATENATE("PX391=", $BF$71), CONCATENATE("PX392=",$BF$72), CONCATENATE("DS004=",$B$64), "Fill=B")</f>
        <v>326515</v>
      </c>
      <c r="BG96">
        <f ca="1">_xll.BDP($B$34,$C$34,CONCATENATE("PX391=", $BG$71), CONCATENATE("PX392=",$BG$72), CONCATENATE("DS004=",$B$64), "Fill=B")</f>
        <v>343221</v>
      </c>
      <c r="BH96">
        <f ca="1">_xll.BDP($B$34,$C$34,CONCATENATE("PX391=", $BH$71), CONCATENATE("PX392=",$BH$72), CONCATENATE("DS004=",$B$64), "Fill=B")</f>
        <v>315792</v>
      </c>
      <c r="BI96">
        <f ca="1">_xll.BDP($B$34,$C$34,CONCATENATE("PX391=", $BI$71), CONCATENATE("PX392=",$BI$72), CONCATENATE("DS004=",$B$64), "Fill=B")</f>
        <v>323948</v>
      </c>
      <c r="BJ96">
        <f ca="1">_xll.BDP($B$34,$C$34,CONCATENATE("PX391=", $BJ$71), CONCATENATE("PX392=",$BJ$72), CONCATENATE("DS004=",$B$64), "Fill=B")</f>
        <v>336828</v>
      </c>
      <c r="BK96">
        <f ca="1">_xll.BDP($B$34,$C$34,CONCATENATE("PX391=", $BK$71), CONCATENATE("PX392=",$BK$72), CONCATENATE("DS004=",$B$64), "Fill=B")</f>
        <v>269233</v>
      </c>
      <c r="BL96">
        <f ca="1">_xll.BDP($B$34,$C$34,CONCATENATE("PX391=", $BL$71), CONCATENATE("PX392=",$BL$72), CONCATENATE("DS004=",$B$64), "Fill=B")</f>
        <v>326228</v>
      </c>
      <c r="BM96">
        <f ca="1">_xll.BDP($B$34,$C$34,CONCATENATE("PX391=", $BM$71), CONCATENATE("PX392=",$BM$72), CONCATENATE("DS004=",$B$64), "Fill=B")</f>
        <v>349055</v>
      </c>
      <c r="BN96">
        <f ca="1">_xll.BDP($B$34,$C$34,CONCATENATE("PX391=", $BN$71), CONCATENATE("PX392=",$BN$72), CONCATENATE("DS004=",$B$64), "Fill=B")</f>
        <v>319242</v>
      </c>
      <c r="BO96">
        <f ca="1">_xll.BDP($B$34,$C$34,CONCATENATE("PX391=", $BO$71), CONCATENATE("PX392=",$BO$72), CONCATENATE("DS004=",$B$64), "Fill=B")</f>
        <v>333995</v>
      </c>
      <c r="BP96">
        <f ca="1">_xll.BDP($B$34,$C$34,CONCATENATE("PX391=", $BP$71), CONCATENATE("PX392=",$BP$72), CONCATENATE("DS004=",$B$64), "Fill=B")</f>
        <v>373845</v>
      </c>
      <c r="BQ96">
        <f ca="1">_xll.BDP($B$34,$C$34,CONCATENATE("PX391=", $BQ$71), CONCATENATE("PX392=",$BQ$72), CONCATENATE("DS004=",$B$64), "Fill=B")</f>
        <v>314321</v>
      </c>
      <c r="BR96">
        <f ca="1">_xll.BDP($B$34,$C$34,CONCATENATE("PX391=", $BR$71), CONCATENATE("PX392=",$BR$72), CONCATENATE("DS004=",$B$64), "Fill=B")</f>
        <v>327462</v>
      </c>
      <c r="BS96">
        <f ca="1">_xll.BDP($B$34,$C$34,CONCATENATE("PX391=", $BS$71), CONCATENATE("PX392=",$BS$72), CONCATENATE("DS004=",$B$64), "Fill=B")</f>
        <v>351284</v>
      </c>
      <c r="BT96">
        <f ca="1">_xll.BDP($B$34,$C$34,CONCATENATE("PX391=", $BT$71), CONCATENATE("PX392=",$BT$72), CONCATENATE("DS004=",$B$64), "Fill=B")</f>
        <v>309243</v>
      </c>
      <c r="BU96">
        <f ca="1">_xll.BDP($B$34,$C$34,CONCATENATE("PX391=", $BU$71), CONCATENATE("PX392=",$BU$72), CONCATENATE("DS004=",$B$64), "Fill=B")</f>
        <v>279715</v>
      </c>
      <c r="BV96">
        <f ca="1">_xll.BDP($B$34,$C$34,CONCATENATE("PX391=", $BV$71), CONCATENATE("PX392=",$BV$72), CONCATENATE("DS004=",$B$64), "Fill=B")</f>
        <v>302516</v>
      </c>
      <c r="BW96">
        <f ca="1">_xll.BDP($B$34,$C$34,CONCATENATE("PX391=", $BW$71), CONCATENATE("PX392=",$BW$72), CONCATENATE("DS004=",$B$64), "Fill=B")</f>
        <v>280737</v>
      </c>
      <c r="BX96">
        <f ca="1">_xll.BDP($B$34,$C$34,CONCATENATE("PX391=", $BX$71), CONCATENATE("PX392=",$BX$72), CONCATENATE("DS004=",$B$64), "Fill=B")</f>
        <v>256212</v>
      </c>
      <c r="BY96">
        <f ca="1">_xll.BDP($B$34,$C$34,CONCATENATE("PX391=", $BY$71), CONCATENATE("PX392=",$BY$72), CONCATENATE("DS004=",$B$64), "Fill=B")</f>
        <v>312782</v>
      </c>
      <c r="BZ96">
        <f ca="1">_xll.BDP($B$34,$C$34,CONCATENATE("PX391=", $BZ$71), CONCATENATE("PX392=",$BZ$72), CONCATENATE("DS004=",$B$64), "Fill=B")</f>
        <v>299150</v>
      </c>
      <c r="CA96">
        <f ca="1">_xll.BDP($B$34,$C$34,CONCATENATE("PX391=", $CA$71), CONCATENATE("PX392=",$CA$72), CONCATENATE("DS004=",$B$64), "Fill=B")</f>
        <v>303951</v>
      </c>
      <c r="CB96">
        <f ca="1">_xll.BDP($B$34,$C$34,CONCATENATE("PX391=", $CB$71), CONCATENATE("PX392=",$CB$72), CONCATENATE("DS004=",$B$64), "Fill=B")</f>
        <v>323477</v>
      </c>
      <c r="CC96">
        <f ca="1">_xll.BDP($B$34,$C$34,CONCATENATE("PX391=", $CC$71), CONCATENATE("PX392=",$CC$72), CONCATENATE("DS004=",$B$64), "Fill=B")</f>
        <v>337719</v>
      </c>
      <c r="CD96">
        <f ca="1">_xll.BDP($B$34,$C$34,CONCATENATE("PX391=", $CD$71), CONCATENATE("PX392=",$CD$72), CONCATENATE("DS004=",$B$64), "Fill=B")</f>
        <v>295968</v>
      </c>
      <c r="CE96">
        <f ca="1">_xll.BDP($B$34,$C$34,CONCATENATE("PX391=", $CE$71), CONCATENATE("PX392=",$CE$72), CONCATENATE("DS004=",$B$64), "Fill=B")</f>
        <v>323409</v>
      </c>
      <c r="CF96">
        <f ca="1">_xll.BDP($B$34,$C$34,CONCATENATE("PX391=", $CF$71), CONCATENATE("PX392=",$CF$72), CONCATENATE("DS004=",$B$64), "Fill=B")</f>
        <v>323581</v>
      </c>
      <c r="CG96">
        <f ca="1">_xll.BDP($B$34,$C$34,CONCATENATE("PX391=", $CG$71), CONCATENATE("PX392=",$CG$72), CONCATENATE("DS004=",$B$64), "Fill=B")</f>
        <v>282772</v>
      </c>
      <c r="CH96">
        <f ca="1">_xll.BDP($B$34,$C$34,CONCATENATE("PX391=", $CH$71), CONCATENATE("PX392=",$CH$72), CONCATENATE("DS004=",$B$64), "Fill=B")</f>
        <v>334473</v>
      </c>
      <c r="CI96">
        <f ca="1">_xll.BDP($B$34,$C$34,CONCATENATE("PX391=", $CI$71), CONCATENATE("PX392=",$CI$72), CONCATENATE("DS004=",$B$64), "Fill=B")</f>
        <v>263718</v>
      </c>
      <c r="CJ96">
        <f ca="1">_xll.BDP($B$34,$C$34,CONCATENATE("PX391=", $CJ$71), CONCATENATE("PX392=",$CJ$72), CONCATENATE("DS004=",$B$64), "Fill=B")</f>
        <v>301174</v>
      </c>
      <c r="CK96">
        <f ca="1">_xll.BDP($B$34,$C$34,CONCATENATE("PX391=", $CK$71), CONCATENATE("PX392=",$CK$72), CONCATENATE("DS004=",$B$64), "Fill=B")</f>
        <v>316217</v>
      </c>
      <c r="CL96" t="str">
        <f>""</f>
        <v/>
      </c>
      <c r="CM96" t="str">
        <f>""</f>
        <v/>
      </c>
      <c r="CN96" t="str">
        <f>""</f>
        <v/>
      </c>
      <c r="CO96" t="str">
        <f>""</f>
        <v/>
      </c>
      <c r="CP96" t="str">
        <f>""</f>
        <v/>
      </c>
      <c r="CQ96" t="str">
        <f>""</f>
        <v/>
      </c>
      <c r="CR96" t="str">
        <f>""</f>
        <v/>
      </c>
      <c r="CS96" t="str">
        <f>""</f>
        <v/>
      </c>
      <c r="CT96" t="str">
        <f>""</f>
        <v/>
      </c>
      <c r="CU96" t="str">
        <f>""</f>
        <v/>
      </c>
      <c r="CV96" t="str">
        <f>""</f>
        <v/>
      </c>
      <c r="CW96" t="str">
        <f>""</f>
        <v/>
      </c>
      <c r="CX96" t="str">
        <f>""</f>
        <v/>
      </c>
      <c r="CY96" t="str">
        <f>""</f>
        <v/>
      </c>
      <c r="CZ96" t="str">
        <f>""</f>
        <v/>
      </c>
      <c r="DA96" t="str">
        <f>""</f>
        <v/>
      </c>
      <c r="DB96" t="str">
        <f>""</f>
        <v/>
      </c>
      <c r="DC96" t="str">
        <f>""</f>
        <v/>
      </c>
      <c r="DD96" t="str">
        <f>""</f>
        <v/>
      </c>
      <c r="DE96" t="str">
        <f>""</f>
        <v/>
      </c>
      <c r="DF96" t="str">
        <f>""</f>
        <v/>
      </c>
      <c r="DG96" t="str">
        <f>""</f>
        <v/>
      </c>
      <c r="DH96" t="str">
        <f>""</f>
        <v/>
      </c>
      <c r="DI96" t="str">
        <f>""</f>
        <v/>
      </c>
      <c r="DJ96" t="str">
        <f>""</f>
        <v/>
      </c>
      <c r="DK96" t="str">
        <f>""</f>
        <v/>
      </c>
      <c r="DL96" t="str">
        <f>""</f>
        <v/>
      </c>
      <c r="DM96" t="str">
        <f>""</f>
        <v/>
      </c>
      <c r="DN96" t="str">
        <f>""</f>
        <v/>
      </c>
      <c r="DO96" t="str">
        <f>""</f>
        <v/>
      </c>
      <c r="DP96" t="str">
        <f>""</f>
        <v/>
      </c>
      <c r="DQ96" t="str">
        <f>""</f>
        <v/>
      </c>
      <c r="DR96" t="str">
        <f>""</f>
        <v/>
      </c>
      <c r="DS96" t="str">
        <f>""</f>
        <v/>
      </c>
      <c r="DT96" t="str">
        <f>""</f>
        <v/>
      </c>
      <c r="DU96" t="str">
        <f>""</f>
        <v/>
      </c>
      <c r="DV96" t="str">
        <f>""</f>
        <v/>
      </c>
      <c r="DW96" t="str">
        <f>""</f>
        <v/>
      </c>
      <c r="DX96" t="str">
        <f>""</f>
        <v/>
      </c>
      <c r="DY96" t="str">
        <f>""</f>
        <v/>
      </c>
      <c r="DZ96" t="str">
        <f>""</f>
        <v/>
      </c>
      <c r="EA96" t="str">
        <f>""</f>
        <v/>
      </c>
      <c r="EB96" t="str">
        <f>""</f>
        <v/>
      </c>
      <c r="EC96" t="str">
        <f>""</f>
        <v/>
      </c>
      <c r="ED96" t="str">
        <f>""</f>
        <v/>
      </c>
      <c r="EE96" t="str">
        <f>""</f>
        <v/>
      </c>
      <c r="EF96" t="str">
        <f>""</f>
        <v/>
      </c>
      <c r="EG96" t="str">
        <f>""</f>
        <v/>
      </c>
      <c r="EH96" t="str">
        <f>""</f>
        <v/>
      </c>
      <c r="EI96" t="str">
        <f>""</f>
        <v/>
      </c>
      <c r="EJ96" t="str">
        <f>""</f>
        <v/>
      </c>
      <c r="EK96" t="str">
        <f>""</f>
        <v/>
      </c>
      <c r="EL96" t="str">
        <f>""</f>
        <v/>
      </c>
      <c r="EM96" t="str">
        <f>""</f>
        <v/>
      </c>
      <c r="EN96" t="str">
        <f>""</f>
        <v/>
      </c>
      <c r="EO96" t="str">
        <f>""</f>
        <v/>
      </c>
      <c r="EP96" t="str">
        <f>""</f>
        <v/>
      </c>
      <c r="EQ96" t="str">
        <f>""</f>
        <v/>
      </c>
      <c r="ER96" t="str">
        <f>""</f>
        <v/>
      </c>
      <c r="ES96" t="str">
        <f>""</f>
        <v/>
      </c>
      <c r="ET96" t="str">
        <f>""</f>
        <v/>
      </c>
      <c r="EU96" t="str">
        <f>""</f>
        <v/>
      </c>
      <c r="EV96" t="str">
        <f>""</f>
        <v/>
      </c>
      <c r="EW96" t="str">
        <f>""</f>
        <v/>
      </c>
      <c r="EX96" t="str">
        <f>""</f>
        <v/>
      </c>
      <c r="EY96" t="str">
        <f>""</f>
        <v/>
      </c>
      <c r="EZ96" t="str">
        <f>""</f>
        <v/>
      </c>
      <c r="FA96" t="str">
        <f>""</f>
        <v/>
      </c>
      <c r="FB96" t="str">
        <f>""</f>
        <v/>
      </c>
      <c r="FC96" t="str">
        <f>""</f>
        <v/>
      </c>
      <c r="FD96" t="str">
        <f>""</f>
        <v/>
      </c>
      <c r="FE96" t="str">
        <f>""</f>
        <v/>
      </c>
      <c r="FF96" t="str">
        <f>""</f>
        <v/>
      </c>
      <c r="FG96" t="str">
        <f>""</f>
        <v/>
      </c>
      <c r="FH96" t="str">
        <f>""</f>
        <v/>
      </c>
      <c r="FI96" t="str">
        <f>""</f>
        <v/>
      </c>
      <c r="FJ96" t="str">
        <f>""</f>
        <v/>
      </c>
      <c r="FK96" t="str">
        <f>""</f>
        <v/>
      </c>
      <c r="FL96" t="str">
        <f>""</f>
        <v/>
      </c>
      <c r="FM96" t="str">
        <f>""</f>
        <v/>
      </c>
      <c r="FN96" t="str">
        <f>""</f>
        <v/>
      </c>
      <c r="FO96" t="str">
        <f>""</f>
        <v/>
      </c>
      <c r="FP96" t="str">
        <f>""</f>
        <v/>
      </c>
      <c r="FQ96" t="str">
        <f>""</f>
        <v/>
      </c>
    </row>
    <row r="97" spans="1:173" x14ac:dyDescent="0.25">
      <c r="A97" t="str">
        <f>$A$35</f>
        <v xml:space="preserve">    Port of Oakland (TEU)</v>
      </c>
      <c r="B97" t="str">
        <f>$B$35</f>
        <v>POOKTOTL Index</v>
      </c>
      <c r="C97" t="str">
        <f>$C$35</f>
        <v>PX385</v>
      </c>
      <c r="D97" t="str">
        <f>$D$35</f>
        <v>INTERVAL_SUM</v>
      </c>
      <c r="E97" t="str">
        <f>$E$35</f>
        <v>Dynamic</v>
      </c>
      <c r="F97" t="str">
        <f ca="1">_xll.BDP($B$35,$C$35,CONCATENATE("PX391=", $F$71), CONCATENATE("PX392=",$F$72), CONCATENATE("DS004=",$B$64), "Fill=B")</f>
        <v/>
      </c>
      <c r="G97" t="str">
        <f ca="1">_xll.BDP($B$35,$C$35,CONCATENATE("PX391=", $G$71), CONCATENATE("PX392=",$G$72), CONCATENATE("DS004=",$B$64), "Fill=B")</f>
        <v/>
      </c>
      <c r="H97">
        <f ca="1">_xll.BDP($B$35,$C$35,CONCATENATE("PX391=", $H$71), CONCATENATE("PX392=",$H$72), CONCATENATE("DS004=",$B$64), "Fill=B")</f>
        <v>171822</v>
      </c>
      <c r="I97">
        <f ca="1">_xll.BDP($B$35,$C$35,CONCATENATE("PX391=", $I$71), CONCATENATE("PX392=",$I$72), CONCATENATE("DS004=",$B$64), "Fill=B")</f>
        <v>179161</v>
      </c>
      <c r="J97">
        <f ca="1">_xll.BDP($B$35,$C$35,CONCATENATE("PX391=", $J$71), CONCATENATE("PX392=",$J$72), CONCATENATE("DS004=",$B$64), "Fill=B")</f>
        <v>181555</v>
      </c>
      <c r="K97">
        <f ca="1">_xll.BDP($B$35,$C$35,CONCATENATE("PX391=", $K$71), CONCATENATE("PX392=",$K$72), CONCATENATE("DS004=",$B$64), "Fill=B")</f>
        <v>155827</v>
      </c>
      <c r="L97">
        <f ca="1">_xll.BDP($B$35,$C$35,CONCATENATE("PX391=", $L$71), CONCATENATE("PX392=",$L$72), CONCATENATE("DS004=",$B$64), "Fill=B")</f>
        <v>178513</v>
      </c>
      <c r="M97">
        <f ca="1">_xll.BDP($B$35,$C$35,CONCATENATE("PX391=", $M$71), CONCATENATE("PX392=",$M$72), CONCATENATE("DS004=",$B$64), "Fill=B")</f>
        <v>174482</v>
      </c>
      <c r="N97">
        <f ca="1">_xll.BDP($B$35,$C$35,CONCATENATE("PX391=", $N$71), CONCATENATE("PX392=",$N$72), CONCATENATE("DS004=",$B$64), "Fill=B")</f>
        <v>170268</v>
      </c>
      <c r="O97">
        <f ca="1">_xll.BDP($B$35,$C$35,CONCATENATE("PX391=", $O$71), CONCATENATE("PX392=",$O$72), CONCATENATE("DS004=",$B$64), "Fill=B")</f>
        <v>153837</v>
      </c>
      <c r="P97">
        <f ca="1">_xll.BDP($B$35,$C$35,CONCATENATE("PX391=", $P$71), CONCATENATE("PX392=",$P$72), CONCATENATE("DS004=",$B$64), "Fill=B")</f>
        <v>179228</v>
      </c>
      <c r="Q97">
        <f ca="1">_xll.BDP($B$35,$C$35,CONCATENATE("PX391=", $Q$71), CONCATENATE("PX392=",$Q$72), CONCATENATE("DS004=",$B$64), "Fill=B")</f>
        <v>163027</v>
      </c>
      <c r="R97">
        <f ca="1">_xll.BDP($B$35,$C$35,CONCATENATE("PX391=", $R$71), CONCATENATE("PX392=",$R$72), CONCATENATE("DS004=",$B$64), "Fill=B")</f>
        <v>184606</v>
      </c>
      <c r="S97">
        <f ca="1">_xll.BDP($B$35,$C$35,CONCATENATE("PX391=", $S$71), CONCATENATE("PX392=",$S$72), CONCATENATE("DS004=",$B$64), "Fill=B")</f>
        <v>202487</v>
      </c>
      <c r="T97">
        <f ca="1">_xll.BDP($B$35,$C$35,CONCATENATE("PX391=", $T$71), CONCATENATE("PX392=",$T$72), CONCATENATE("DS004=",$B$64), "Fill=B")</f>
        <v>184729</v>
      </c>
      <c r="U97">
        <f ca="1">_xll.BDP($B$35,$C$35,CONCATENATE("PX391=", $U$71), CONCATENATE("PX392=",$U$72), CONCATENATE("DS004=",$B$64), "Fill=B")</f>
        <v>211123</v>
      </c>
      <c r="V97">
        <f ca="1">_xll.BDP($B$35,$C$35,CONCATENATE("PX391=", $V$71), CONCATENATE("PX392=",$V$72), CONCATENATE("DS004=",$B$64), "Fill=B")</f>
        <v>160356</v>
      </c>
      <c r="W97">
        <f ca="1">_xll.BDP($B$35,$C$35,CONCATENATE("PX391=", $W$71), CONCATENATE("PX392=",$W$72), CONCATENATE("DS004=",$B$64), "Fill=B")</f>
        <v>216096</v>
      </c>
      <c r="X97">
        <f ca="1">_xll.BDP($B$35,$C$35,CONCATENATE("PX391=", $X$71), CONCATENATE("PX392=",$X$72), CONCATENATE("DS004=",$B$64), "Fill=B")</f>
        <v>224302</v>
      </c>
      <c r="Y97">
        <f ca="1">_xll.BDP($B$35,$C$35,CONCATENATE("PX391=", $Y$71), CONCATENATE("PX392=",$Y$72), CONCATENATE("DS004=",$B$64), "Fill=B")</f>
        <v>188442</v>
      </c>
      <c r="Z97">
        <f ca="1">_xll.BDP($B$35,$C$35,CONCATENATE("PX391=", $Z$71), CONCATENATE("PX392=",$Z$72), CONCATENATE("DS004=",$B$64), "Fill=B")</f>
        <v>214461</v>
      </c>
      <c r="AA97">
        <f ca="1">_xll.BDP($B$35,$C$35,CONCATENATE("PX391=", $AA$71), CONCATENATE("PX392=",$AA$72), CONCATENATE("DS004=",$B$64), "Fill=B")</f>
        <v>194784</v>
      </c>
      <c r="AB97">
        <f ca="1">_xll.BDP($B$35,$C$35,CONCATENATE("PX391=", $AB$71), CONCATENATE("PX392=",$AB$72), CONCATENATE("DS004=",$B$64), "Fill=B")</f>
        <v>193195</v>
      </c>
      <c r="AC97">
        <f ca="1">_xll.BDP($B$35,$C$35,CONCATENATE("PX391=", $AC$71), CONCATENATE("PX392=",$AC$72), CONCATENATE("DS004=",$B$64), "Fill=B")</f>
        <v>169650</v>
      </c>
      <c r="AD97">
        <f ca="1">_xll.BDP($B$35,$C$35,CONCATENATE("PX391=", $AD$71), CONCATENATE("PX392=",$AD$72), CONCATENATE("DS004=",$B$64), "Fill=B")</f>
        <v>189096</v>
      </c>
      <c r="AE97">
        <f ca="1">_xll.BDP($B$35,$C$35,CONCATENATE("PX391=", $AE$71), CONCATENATE("PX392=",$AE$72), CONCATENATE("DS004=",$B$64), "Fill=B")</f>
        <v>173308</v>
      </c>
      <c r="AF97">
        <f ca="1">_xll.BDP($B$35,$C$35,CONCATENATE("PX391=", $AF$71), CONCATENATE("PX392=",$AF$72), CONCATENATE("DS004=",$B$64), "Fill=B")</f>
        <v>183273</v>
      </c>
      <c r="AG97">
        <f ca="1">_xll.BDP($B$35,$C$35,CONCATENATE("PX391=", $AG$71), CONCATENATE("PX392=",$AG$72), CONCATENATE("DS004=",$B$64), "Fill=B")</f>
        <v>220050</v>
      </c>
      <c r="AH97">
        <f ca="1">_xll.BDP($B$35,$C$35,CONCATENATE("PX391=", $AH$71), CONCATENATE("PX392=",$AH$72), CONCATENATE("DS004=",$B$64), "Fill=B")</f>
        <v>211394</v>
      </c>
      <c r="AI97">
        <f ca="1">_xll.BDP($B$35,$C$35,CONCATENATE("PX391=", $AI$71), CONCATENATE("PX392=",$AI$72), CONCATENATE("DS004=",$B$64), "Fill=B")</f>
        <v>222483</v>
      </c>
      <c r="AJ97">
        <f ca="1">_xll.BDP($B$35,$C$35,CONCATENATE("PX391=", $AJ$71), CONCATENATE("PX392=",$AJ$72), CONCATENATE("DS004=",$B$64), "Fill=B")</f>
        <v>226408</v>
      </c>
      <c r="AK97">
        <f ca="1">_xll.BDP($B$35,$C$35,CONCATENATE("PX391=", $AK$71), CONCATENATE("PX392=",$AK$72), CONCATENATE("DS004=",$B$64), "Fill=B")</f>
        <v>221838</v>
      </c>
      <c r="AL97">
        <f ca="1">_xll.BDP($B$35,$C$35,CONCATENATE("PX391=", $AL$71), CONCATENATE("PX392=",$AL$72), CONCATENATE("DS004=",$B$64), "Fill=B")</f>
        <v>241467</v>
      </c>
      <c r="AM97">
        <f ca="1">_xll.BDP($B$35,$C$35,CONCATENATE("PX391=", $AM$71), CONCATENATE("PX392=",$AM$72), CONCATENATE("DS004=",$B$64), "Fill=B")</f>
        <v>190489</v>
      </c>
      <c r="AN97">
        <f ca="1">_xll.BDP($B$35,$C$35,CONCATENATE("PX391=", $AN$71), CONCATENATE("PX392=",$AN$72), CONCATENATE("DS004=",$B$64), "Fill=B")</f>
        <v>199098</v>
      </c>
      <c r="AO97">
        <f ca="1">_xll.BDP($B$35,$C$35,CONCATENATE("PX391=", $AO$71), CONCATENATE("PX392=",$AO$72), CONCATENATE("DS004=",$B$64), "Fill=B")</f>
        <v>208339</v>
      </c>
      <c r="AP97">
        <f ca="1">_xll.BDP($B$35,$C$35,CONCATENATE("PX391=", $AP$71), CONCATENATE("PX392=",$AP$72), CONCATENATE("DS004=",$B$64), "Fill=B")</f>
        <v>197695</v>
      </c>
      <c r="AQ97">
        <f ca="1">_xll.BDP($B$35,$C$35,CONCATENATE("PX391=", $AQ$71), CONCATENATE("PX392=",$AQ$72), CONCATENATE("DS004=",$B$64), "Fill=B")</f>
        <v>216664</v>
      </c>
      <c r="AR97">
        <f ca="1">_xll.BDP($B$35,$C$35,CONCATENATE("PX391=", $AR$71), CONCATENATE("PX392=",$AR$72), CONCATENATE("DS004=",$B$64), "Fill=B")</f>
        <v>225807</v>
      </c>
      <c r="AS97">
        <f ca="1">_xll.BDP($B$35,$C$35,CONCATENATE("PX391=", $AS$71), CONCATENATE("PX392=",$AS$72), CONCATENATE("DS004=",$B$64), "Fill=B")</f>
        <v>225489</v>
      </c>
      <c r="AT97">
        <f ca="1">_xll.BDP($B$35,$C$35,CONCATENATE("PX391=", $AT$71), CONCATENATE("PX392=",$AT$72), CONCATENATE("DS004=",$B$64), "Fill=B")</f>
        <v>219080</v>
      </c>
      <c r="AU97">
        <f ca="1">_xll.BDP($B$35,$C$35,CONCATENATE("PX391=", $AU$71), CONCATENATE("PX392=",$AU$72), CONCATENATE("DS004=",$B$64), "Fill=B")</f>
        <v>199011</v>
      </c>
      <c r="AV97">
        <f ca="1">_xll.BDP($B$35,$C$35,CONCATENATE("PX391=", $AV$71), CONCATENATE("PX392=",$AV$72), CONCATENATE("DS004=",$B$64), "Fill=B")</f>
        <v>185595</v>
      </c>
      <c r="AW97">
        <f ca="1">_xll.BDP($B$35,$C$35,CONCATENATE("PX391=", $AW$71), CONCATENATE("PX392=",$AW$72), CONCATENATE("DS004=",$B$64), "Fill=B")</f>
        <v>201918</v>
      </c>
      <c r="AX97">
        <f ca="1">_xll.BDP($B$35,$C$35,CONCATENATE("PX391=", $AX$71), CONCATENATE("PX392=",$AX$72), CONCATENATE("DS004=",$B$64), "Fill=B")</f>
        <v>190188</v>
      </c>
      <c r="AY97">
        <f ca="1">_xll.BDP($B$35,$C$35,CONCATENATE("PX391=", $AY$71), CONCATENATE("PX392=",$AY$72), CONCATENATE("DS004=",$B$64), "Fill=B")</f>
        <v>180875</v>
      </c>
      <c r="AZ97">
        <f ca="1">_xll.BDP($B$35,$C$35,CONCATENATE("PX391=", $AZ$71), CONCATENATE("PX392=",$AZ$72), CONCATENATE("DS004=",$B$64), "Fill=B")</f>
        <v>211228</v>
      </c>
      <c r="BA97">
        <f ca="1">_xll.BDP($B$35,$C$35,CONCATENATE("PX391=", $BA$71), CONCATENATE("PX392=",$BA$72), CONCATENATE("DS004=",$B$64), "Fill=B")</f>
        <v>193963</v>
      </c>
      <c r="BB97">
        <f ca="1">_xll.BDP($B$35,$C$35,CONCATENATE("PX391=", $BB$71), CONCATENATE("PX392=",$BB$72), CONCATENATE("DS004=",$B$64), "Fill=B")</f>
        <v>197360</v>
      </c>
      <c r="BC97">
        <f ca="1">_xll.BDP($B$35,$C$35,CONCATENATE("PX391=", $BC$71), CONCATENATE("PX392=",$BC$72), CONCATENATE("DS004=",$B$64), "Fill=B")</f>
        <v>204880</v>
      </c>
      <c r="BD97">
        <f ca="1">_xll.BDP($B$35,$C$35,CONCATENATE("PX391=", $BD$71), CONCATENATE("PX392=",$BD$72), CONCATENATE("DS004=",$B$64), "Fill=B")</f>
        <v>206544</v>
      </c>
      <c r="BE97">
        <f ca="1">_xll.BDP($B$35,$C$35,CONCATENATE("PX391=", $BE$71), CONCATENATE("PX392=",$BE$72), CONCATENATE("DS004=",$B$64), "Fill=B")</f>
        <v>224537</v>
      </c>
      <c r="BF97">
        <f ca="1">_xll.BDP($B$35,$C$35,CONCATENATE("PX391=", $BF$71), CONCATENATE("PX392=",$BF$72), CONCATENATE("DS004=",$B$64), "Fill=B")</f>
        <v>218191</v>
      </c>
      <c r="BG97">
        <f ca="1">_xll.BDP($B$35,$C$35,CONCATENATE("PX391=", $BG$71), CONCATENATE("PX392=",$BG$72), CONCATENATE("DS004=",$B$64), "Fill=B")</f>
        <v>203730</v>
      </c>
      <c r="BH97">
        <f ca="1">_xll.BDP($B$35,$C$35,CONCATENATE("PX391=", $BH$71), CONCATENATE("PX392=",$BH$72), CONCATENATE("DS004=",$B$64), "Fill=B")</f>
        <v>223101</v>
      </c>
      <c r="BI97">
        <f ca="1">_xll.BDP($B$35,$C$35,CONCATENATE("PX391=", $BI$71), CONCATENATE("PX392=",$BI$72), CONCATENATE("DS004=",$B$64), "Fill=B")</f>
        <v>216003</v>
      </c>
      <c r="BJ97">
        <f ca="1">_xll.BDP($B$35,$C$35,CONCATENATE("PX391=", $BJ$71), CONCATENATE("PX392=",$BJ$72), CONCATENATE("DS004=",$B$64), "Fill=B")</f>
        <v>213972</v>
      </c>
      <c r="BK97">
        <f ca="1">_xll.BDP($B$35,$C$35,CONCATENATE("PX391=", $BK$71), CONCATENATE("PX392=",$BK$72), CONCATENATE("DS004=",$B$64), "Fill=B")</f>
        <v>185685</v>
      </c>
      <c r="BL97">
        <f ca="1">_xll.BDP($B$35,$C$35,CONCATENATE("PX391=", $BL$71), CONCATENATE("PX392=",$BL$72), CONCATENATE("DS004=",$B$64), "Fill=B")</f>
        <v>212493</v>
      </c>
      <c r="BM97">
        <f ca="1">_xll.BDP($B$35,$C$35,CONCATENATE("PX391=", $BM$71), CONCATENATE("PX392=",$BM$72), CONCATENATE("DS004=",$B$64), "Fill=B")</f>
        <v>220922</v>
      </c>
      <c r="BN97">
        <f ca="1">_xll.BDP($B$35,$C$35,CONCATENATE("PX391=", $BN$71), CONCATENATE("PX392=",$BN$72), CONCATENATE("DS004=",$B$64), "Fill=B")</f>
        <v>219125</v>
      </c>
      <c r="BO97">
        <f ca="1">_xll.BDP($B$35,$C$35,CONCATENATE("PX391=", $BO$71), CONCATENATE("PX392=",$BO$72), CONCATENATE("DS004=",$B$64), "Fill=B")</f>
        <v>226052</v>
      </c>
      <c r="BP97">
        <f ca="1">_xll.BDP($B$35,$C$35,CONCATENATE("PX391=", $BP$71), CONCATENATE("PX392=",$BP$72), CONCATENATE("DS004=",$B$64), "Fill=B")</f>
        <v>220068</v>
      </c>
      <c r="BQ97">
        <f ca="1">_xll.BDP($B$35,$C$35,CONCATENATE("PX391=", $BQ$71), CONCATENATE("PX392=",$BQ$72), CONCATENATE("DS004=",$B$64), "Fill=B")</f>
        <v>231188</v>
      </c>
      <c r="BR97">
        <f ca="1">_xll.BDP($B$35,$C$35,CONCATENATE("PX391=", $BR$71), CONCATENATE("PX392=",$BR$72), CONCATENATE("DS004=",$B$64), "Fill=B")</f>
        <v>217407</v>
      </c>
      <c r="BS97">
        <f ca="1">_xll.BDP($B$35,$C$35,CONCATENATE("PX391=", $BS$71), CONCATENATE("PX392=",$BS$72), CONCATENATE("DS004=",$B$64), "Fill=B")</f>
        <v>215496</v>
      </c>
      <c r="BT97">
        <f ca="1">_xll.BDP($B$35,$C$35,CONCATENATE("PX391=", $BT$71), CONCATENATE("PX392=",$BT$72), CONCATENATE("DS004=",$B$64), "Fill=B")</f>
        <v>204767</v>
      </c>
      <c r="BU97">
        <f ca="1">_xll.BDP($B$35,$C$35,CONCATENATE("PX391=", $BU$71), CONCATENATE("PX392=",$BU$72), CONCATENATE("DS004=",$B$64), "Fill=B")</f>
        <v>204017</v>
      </c>
      <c r="BV97">
        <f ca="1">_xll.BDP($B$35,$C$35,CONCATENATE("PX391=", $BV$71), CONCATENATE("PX392=",$BV$72), CONCATENATE("DS004=",$B$64), "Fill=B")</f>
        <v>193341</v>
      </c>
      <c r="BW97">
        <f ca="1">_xll.BDP($B$35,$C$35,CONCATENATE("PX391=", $BW$71), CONCATENATE("PX392=",$BW$72), CONCATENATE("DS004=",$B$64), "Fill=B")</f>
        <v>188175</v>
      </c>
      <c r="BX97">
        <f ca="1">_xll.BDP($B$35,$C$35,CONCATENATE("PX391=", $BX$71), CONCATENATE("PX392=",$BX$72), CONCATENATE("DS004=",$B$64), "Fill=B")</f>
        <v>205840</v>
      </c>
      <c r="BY97">
        <f ca="1">_xll.BDP($B$35,$C$35,CONCATENATE("PX391=", $BY$71), CONCATENATE("PX392=",$BY$72), CONCATENATE("DS004=",$B$64), "Fill=B")</f>
        <v>206836</v>
      </c>
      <c r="BZ97">
        <f ca="1">_xll.BDP($B$35,$C$35,CONCATENATE("PX391=", $BZ$71), CONCATENATE("PX392=",$BZ$72), CONCATENATE("DS004=",$B$64), "Fill=B")</f>
        <v>186069</v>
      </c>
      <c r="CA97">
        <f ca="1">_xll.BDP($B$35,$C$35,CONCATENATE("PX391=", $CA$71), CONCATENATE("PX392=",$CA$72), CONCATENATE("DS004=",$B$64), "Fill=B")</f>
        <v>209914</v>
      </c>
      <c r="CB97">
        <f ca="1">_xll.BDP($B$35,$C$35,CONCATENATE("PX391=", $CB$71), CONCATENATE("PX392=",$CB$72), CONCATENATE("DS004=",$B$64), "Fill=B")</f>
        <v>211470</v>
      </c>
      <c r="CC97">
        <f ca="1">_xll.BDP($B$35,$C$35,CONCATENATE("PX391=", $CC$71), CONCATENATE("PX392=",$CC$72), CONCATENATE("DS004=",$B$64), "Fill=B")</f>
        <v>212655</v>
      </c>
      <c r="CD97">
        <f ca="1">_xll.BDP($B$35,$C$35,CONCATENATE("PX391=", $CD$71), CONCATENATE("PX392=",$CD$72), CONCATENATE("DS004=",$B$64), "Fill=B")</f>
        <v>209890</v>
      </c>
      <c r="CE97">
        <f ca="1">_xll.BDP($B$35,$C$35,CONCATENATE("PX391=", $CE$71), CONCATENATE("PX392=",$CE$72), CONCATENATE("DS004=",$B$64), "Fill=B")</f>
        <v>204255</v>
      </c>
      <c r="CF97">
        <f ca="1">_xll.BDP($B$35,$C$35,CONCATENATE("PX391=", $CF$71), CONCATENATE("PX392=",$CF$72), CONCATENATE("DS004=",$B$64), "Fill=B")</f>
        <v>210960</v>
      </c>
      <c r="CG97">
        <f ca="1">_xll.BDP($B$35,$C$35,CONCATENATE("PX391=", $CG$71), CONCATENATE("PX392=",$CG$72), CONCATENATE("DS004=",$B$64), "Fill=B")</f>
        <v>197501</v>
      </c>
      <c r="CH97">
        <f ca="1">_xll.BDP($B$35,$C$35,CONCATENATE("PX391=", $CH$71), CONCATENATE("PX392=",$CH$72), CONCATENATE("DS004=",$B$64), "Fill=B")</f>
        <v>199077</v>
      </c>
      <c r="CI97">
        <f ca="1">_xll.BDP($B$35,$C$35,CONCATENATE("PX391=", $CI$71), CONCATENATE("PX392=",$CI$72), CONCATENATE("DS004=",$B$64), "Fill=B")</f>
        <v>174902</v>
      </c>
      <c r="CJ97">
        <f ca="1">_xll.BDP($B$35,$C$35,CONCATENATE("PX391=", $CJ$71), CONCATENATE("PX392=",$CJ$72), CONCATENATE("DS004=",$B$64), "Fill=B")</f>
        <v>197310</v>
      </c>
      <c r="CK97">
        <f ca="1">_xll.BDP($B$35,$C$35,CONCATENATE("PX391=", $CK$71), CONCATENATE("PX392=",$CK$72), CONCATENATE("DS004=",$B$64), "Fill=B")</f>
        <v>199155</v>
      </c>
      <c r="CL97" t="str">
        <f>""</f>
        <v/>
      </c>
      <c r="CM97" t="str">
        <f>""</f>
        <v/>
      </c>
      <c r="CN97" t="str">
        <f>""</f>
        <v/>
      </c>
      <c r="CO97" t="str">
        <f>""</f>
        <v/>
      </c>
      <c r="CP97" t="str">
        <f>""</f>
        <v/>
      </c>
      <c r="CQ97" t="str">
        <f>""</f>
        <v/>
      </c>
      <c r="CR97" t="str">
        <f>""</f>
        <v/>
      </c>
      <c r="CS97" t="str">
        <f>""</f>
        <v/>
      </c>
      <c r="CT97" t="str">
        <f>""</f>
        <v/>
      </c>
      <c r="CU97" t="str">
        <f>""</f>
        <v/>
      </c>
      <c r="CV97" t="str">
        <f>""</f>
        <v/>
      </c>
      <c r="CW97" t="str">
        <f>""</f>
        <v/>
      </c>
      <c r="CX97" t="str">
        <f>""</f>
        <v/>
      </c>
      <c r="CY97" t="str">
        <f>""</f>
        <v/>
      </c>
      <c r="CZ97" t="str">
        <f>""</f>
        <v/>
      </c>
      <c r="DA97" t="str">
        <f>""</f>
        <v/>
      </c>
      <c r="DB97" t="str">
        <f>""</f>
        <v/>
      </c>
      <c r="DC97" t="str">
        <f>""</f>
        <v/>
      </c>
      <c r="DD97" t="str">
        <f>""</f>
        <v/>
      </c>
      <c r="DE97" t="str">
        <f>""</f>
        <v/>
      </c>
      <c r="DF97" t="str">
        <f>""</f>
        <v/>
      </c>
      <c r="DG97" t="str">
        <f>""</f>
        <v/>
      </c>
      <c r="DH97" t="str">
        <f>""</f>
        <v/>
      </c>
      <c r="DI97" t="str">
        <f>""</f>
        <v/>
      </c>
      <c r="DJ97" t="str">
        <f>""</f>
        <v/>
      </c>
      <c r="DK97" t="str">
        <f>""</f>
        <v/>
      </c>
      <c r="DL97" t="str">
        <f>""</f>
        <v/>
      </c>
      <c r="DM97" t="str">
        <f>""</f>
        <v/>
      </c>
      <c r="DN97" t="str">
        <f>""</f>
        <v/>
      </c>
      <c r="DO97" t="str">
        <f>""</f>
        <v/>
      </c>
      <c r="DP97" t="str">
        <f>""</f>
        <v/>
      </c>
      <c r="DQ97" t="str">
        <f>""</f>
        <v/>
      </c>
      <c r="DR97" t="str">
        <f>""</f>
        <v/>
      </c>
      <c r="DS97" t="str">
        <f>""</f>
        <v/>
      </c>
      <c r="DT97" t="str">
        <f>""</f>
        <v/>
      </c>
      <c r="DU97" t="str">
        <f>""</f>
        <v/>
      </c>
      <c r="DV97" t="str">
        <f>""</f>
        <v/>
      </c>
      <c r="DW97" t="str">
        <f>""</f>
        <v/>
      </c>
      <c r="DX97" t="str">
        <f>""</f>
        <v/>
      </c>
      <c r="DY97" t="str">
        <f>""</f>
        <v/>
      </c>
      <c r="DZ97" t="str">
        <f>""</f>
        <v/>
      </c>
      <c r="EA97" t="str">
        <f>""</f>
        <v/>
      </c>
      <c r="EB97" t="str">
        <f>""</f>
        <v/>
      </c>
      <c r="EC97" t="str">
        <f>""</f>
        <v/>
      </c>
      <c r="ED97" t="str">
        <f>""</f>
        <v/>
      </c>
      <c r="EE97" t="str">
        <f>""</f>
        <v/>
      </c>
      <c r="EF97" t="str">
        <f>""</f>
        <v/>
      </c>
      <c r="EG97" t="str">
        <f>""</f>
        <v/>
      </c>
      <c r="EH97" t="str">
        <f>""</f>
        <v/>
      </c>
      <c r="EI97" t="str">
        <f>""</f>
        <v/>
      </c>
      <c r="EJ97" t="str">
        <f>""</f>
        <v/>
      </c>
      <c r="EK97" t="str">
        <f>""</f>
        <v/>
      </c>
      <c r="EL97" t="str">
        <f>""</f>
        <v/>
      </c>
      <c r="EM97" t="str">
        <f>""</f>
        <v/>
      </c>
      <c r="EN97" t="str">
        <f>""</f>
        <v/>
      </c>
      <c r="EO97" t="str">
        <f>""</f>
        <v/>
      </c>
      <c r="EP97" t="str">
        <f>""</f>
        <v/>
      </c>
      <c r="EQ97" t="str">
        <f>""</f>
        <v/>
      </c>
      <c r="ER97" t="str">
        <f>""</f>
        <v/>
      </c>
      <c r="ES97" t="str">
        <f>""</f>
        <v/>
      </c>
      <c r="ET97" t="str">
        <f>""</f>
        <v/>
      </c>
      <c r="EU97" t="str">
        <f>""</f>
        <v/>
      </c>
      <c r="EV97" t="str">
        <f>""</f>
        <v/>
      </c>
      <c r="EW97" t="str">
        <f>""</f>
        <v/>
      </c>
      <c r="EX97" t="str">
        <f>""</f>
        <v/>
      </c>
      <c r="EY97" t="str">
        <f>""</f>
        <v/>
      </c>
      <c r="EZ97" t="str">
        <f>""</f>
        <v/>
      </c>
      <c r="FA97" t="str">
        <f>""</f>
        <v/>
      </c>
      <c r="FB97" t="str">
        <f>""</f>
        <v/>
      </c>
      <c r="FC97" t="str">
        <f>""</f>
        <v/>
      </c>
      <c r="FD97" t="str">
        <f>""</f>
        <v/>
      </c>
      <c r="FE97" t="str">
        <f>""</f>
        <v/>
      </c>
      <c r="FF97" t="str">
        <f>""</f>
        <v/>
      </c>
      <c r="FG97" t="str">
        <f>""</f>
        <v/>
      </c>
      <c r="FH97" t="str">
        <f>""</f>
        <v/>
      </c>
      <c r="FI97" t="str">
        <f>""</f>
        <v/>
      </c>
      <c r="FJ97" t="str">
        <f>""</f>
        <v/>
      </c>
      <c r="FK97" t="str">
        <f>""</f>
        <v/>
      </c>
      <c r="FL97" t="str">
        <f>""</f>
        <v/>
      </c>
      <c r="FM97" t="str">
        <f>""</f>
        <v/>
      </c>
      <c r="FN97" t="str">
        <f>""</f>
        <v/>
      </c>
      <c r="FO97" t="str">
        <f>""</f>
        <v/>
      </c>
      <c r="FP97" t="str">
        <f>""</f>
        <v/>
      </c>
      <c r="FQ97" t="str">
        <f>""</f>
        <v/>
      </c>
    </row>
    <row r="98" spans="1:173" x14ac:dyDescent="0.25">
      <c r="A98" t="str">
        <f>$A$36</f>
        <v xml:space="preserve">    Port of Virginia (TEU)</v>
      </c>
      <c r="B98" t="str">
        <f>$B$36</f>
        <v>POVATOTL Index</v>
      </c>
      <c r="C98" t="str">
        <f>$C$36</f>
        <v>PX385</v>
      </c>
      <c r="D98" t="str">
        <f>$D$36</f>
        <v>INTERVAL_SUM</v>
      </c>
      <c r="E98" t="str">
        <f>$E$36</f>
        <v>Dynamic</v>
      </c>
      <c r="F98" t="str">
        <f ca="1">_xll.BDP($B$36,$C$36,CONCATENATE("PX391=", $F$71), CONCATENATE("PX392=",$F$72), CONCATENATE("DS004=",$B$64), "Fill=B")</f>
        <v/>
      </c>
      <c r="G98" t="str">
        <f ca="1">_xll.BDP($B$36,$C$36,CONCATENATE("PX391=", $G$71), CONCATENATE("PX392=",$G$72), CONCATENATE("DS004=",$B$64), "Fill=B")</f>
        <v/>
      </c>
      <c r="H98" t="str">
        <f ca="1">_xll.BDP($B$36,$C$36,CONCATENATE("PX391=", $H$71), CONCATENATE("PX392=",$H$72), CONCATENATE("DS004=",$B$64), "Fill=B")</f>
        <v/>
      </c>
      <c r="I98">
        <f ca="1">_xll.BDP($B$36,$C$36,CONCATENATE("PX391=", $I$71), CONCATENATE("PX392=",$I$72), CONCATENATE("DS004=",$B$64), "Fill=B")</f>
        <v>287232</v>
      </c>
      <c r="J98">
        <f ca="1">_xll.BDP($B$36,$C$36,CONCATENATE("PX391=", $J$71), CONCATENATE("PX392=",$J$72), CONCATENATE("DS004=",$B$64), "Fill=B")</f>
        <v>298202</v>
      </c>
      <c r="K98">
        <f ca="1">_xll.BDP($B$36,$C$36,CONCATENATE("PX391=", $K$71), CONCATENATE("PX392=",$K$72), CONCATENATE("DS004=",$B$64), "Fill=B")</f>
        <v>263998</v>
      </c>
      <c r="L98">
        <f ca="1">_xll.BDP($B$36,$C$36,CONCATENATE("PX391=", $L$71), CONCATENATE("PX392=",$L$72), CONCATENATE("DS004=",$B$64), "Fill=B")</f>
        <v>265875</v>
      </c>
      <c r="M98">
        <f ca="1">_xll.BDP($B$36,$C$36,CONCATENATE("PX391=", $M$71), CONCATENATE("PX392=",$M$72), CONCATENATE("DS004=",$B$64), "Fill=B")</f>
        <v>256414</v>
      </c>
      <c r="N98">
        <f ca="1">_xll.BDP($B$36,$C$36,CONCATENATE("PX391=", $N$71), CONCATENATE("PX392=",$N$72), CONCATENATE("DS004=",$B$64), "Fill=B")</f>
        <v>248815</v>
      </c>
      <c r="O98">
        <f ca="1">_xll.BDP($B$36,$C$36,CONCATENATE("PX391=", $O$71), CONCATENATE("PX392=",$O$72), CONCATENATE("DS004=",$B$64), "Fill=B")</f>
        <v>256967</v>
      </c>
      <c r="P98">
        <f ca="1">_xll.BDP($B$36,$C$36,CONCATENATE("PX391=", $P$71), CONCATENATE("PX392=",$P$72), CONCATENATE("DS004=",$B$64), "Fill=B")</f>
        <v>288380</v>
      </c>
      <c r="Q98">
        <f ca="1">_xll.BDP($B$36,$C$36,CONCATENATE("PX391=", $Q$71), CONCATENATE("PX392=",$Q$72), CONCATENATE("DS004=",$B$64), "Fill=B")</f>
        <v>273965</v>
      </c>
      <c r="R98">
        <f ca="1">_xll.BDP($B$36,$C$36,CONCATENATE("PX391=", $R$71), CONCATENATE("PX392=",$R$72), CONCATENATE("DS004=",$B$64), "Fill=B")</f>
        <v>285943</v>
      </c>
      <c r="S98">
        <f ca="1">_xll.BDP($B$36,$C$36,CONCATENATE("PX391=", $S$71), CONCATENATE("PX392=",$S$72), CONCATENATE("DS004=",$B$64), "Fill=B")</f>
        <v>318452</v>
      </c>
      <c r="T98">
        <f ca="1">_xll.BDP($B$36,$C$36,CONCATENATE("PX391=", $T$71), CONCATENATE("PX392=",$T$72), CONCATENATE("DS004=",$B$64), "Fill=B")</f>
        <v>312230</v>
      </c>
      <c r="U98">
        <f ca="1">_xll.BDP($B$36,$C$36,CONCATENATE("PX391=", $U$71), CONCATENATE("PX392=",$U$72), CONCATENATE("DS004=",$B$64), "Fill=B")</f>
        <v>340926</v>
      </c>
      <c r="V98">
        <f ca="1">_xll.BDP($B$36,$C$36,CONCATENATE("PX391=", $V$71), CONCATENATE("PX392=",$V$72), CONCATENATE("DS004=",$B$64), "Fill=B")</f>
        <v>317691</v>
      </c>
      <c r="W98">
        <f ca="1">_xll.BDP($B$36,$C$36,CONCATENATE("PX391=", $W$71), CONCATENATE("PX392=",$W$72), CONCATENATE("DS004=",$B$64), "Fill=B")</f>
        <v>316250</v>
      </c>
      <c r="X98">
        <f ca="1">_xll.BDP($B$36,$C$36,CONCATENATE("PX391=", $X$71), CONCATENATE("PX392=",$X$72), CONCATENATE("DS004=",$B$64), "Fill=B")</f>
        <v>341611</v>
      </c>
      <c r="Y98">
        <f ca="1">_xll.BDP($B$36,$C$36,CONCATENATE("PX391=", $Y$71), CONCATENATE("PX392=",$Y$72), CONCATENATE("DS004=",$B$64), "Fill=B")</f>
        <v>323244</v>
      </c>
      <c r="Z98">
        <f ca="1">_xll.BDP($B$36,$C$36,CONCATENATE("PX391=", $Z$71), CONCATENATE("PX392=",$Z$72), CONCATENATE("DS004=",$B$64), "Fill=B")</f>
        <v>314698</v>
      </c>
      <c r="AA98">
        <f ca="1">_xll.BDP($B$36,$C$36,CONCATENATE("PX391=", $AA$71), CONCATENATE("PX392=",$AA$72), CONCATENATE("DS004=",$B$64), "Fill=B")</f>
        <v>296201</v>
      </c>
      <c r="AB98">
        <f ca="1">_xll.BDP($B$36,$C$36,CONCATENATE("PX391=", $AB$71), CONCATENATE("PX392=",$AB$72), CONCATENATE("DS004=",$B$64), "Fill=B")</f>
        <v>262020</v>
      </c>
      <c r="AC98">
        <f ca="1">_xll.BDP($B$36,$C$36,CONCATENATE("PX391=", $AC$71), CONCATENATE("PX392=",$AC$72), CONCATENATE("DS004=",$B$64), "Fill=B")</f>
        <v>325527</v>
      </c>
      <c r="AD98">
        <f ca="1">_xll.BDP($B$36,$C$36,CONCATENATE("PX391=", $AD$71), CONCATENATE("PX392=",$AD$72), CONCATENATE("DS004=",$B$64), "Fill=B")</f>
        <v>290759</v>
      </c>
      <c r="AE98">
        <f ca="1">_xll.BDP($B$36,$C$36,CONCATENATE("PX391=", $AE$71), CONCATENATE("PX392=",$AE$72), CONCATENATE("DS004=",$B$64), "Fill=B")</f>
        <v>318482</v>
      </c>
      <c r="AF98">
        <f ca="1">_xll.BDP($B$36,$C$36,CONCATENATE("PX391=", $AF$71), CONCATENATE("PX392=",$AF$72), CONCATENATE("DS004=",$B$64), "Fill=B")</f>
        <v>306216</v>
      </c>
      <c r="AG98">
        <f ca="1">_xll.BDP($B$36,$C$36,CONCATENATE("PX391=", $AG$71), CONCATENATE("PX392=",$AG$72), CONCATENATE("DS004=",$B$64), "Fill=B")</f>
        <v>307023</v>
      </c>
      <c r="AH98">
        <f ca="1">_xll.BDP($B$36,$C$36,CONCATENATE("PX391=", $AH$71), CONCATENATE("PX392=",$AH$72), CONCATENATE("DS004=",$B$64), "Fill=B")</f>
        <v>293126</v>
      </c>
      <c r="AI98">
        <f ca="1">_xll.BDP($B$36,$C$36,CONCATENATE("PX391=", $AI$71), CONCATENATE("PX392=",$AI$72), CONCATENATE("DS004=",$B$64), "Fill=B")</f>
        <v>281346</v>
      </c>
      <c r="AJ98">
        <f ca="1">_xll.BDP($B$36,$C$36,CONCATENATE("PX391=", $AJ$71), CONCATENATE("PX392=",$AJ$72), CONCATENATE("DS004=",$B$64), "Fill=B")</f>
        <v>314942</v>
      </c>
      <c r="AK98">
        <f ca="1">_xll.BDP($B$36,$C$36,CONCATENATE("PX391=", $AK$71), CONCATENATE("PX392=",$AK$72), CONCATENATE("DS004=",$B$64), "Fill=B")</f>
        <v>286405</v>
      </c>
      <c r="AL98">
        <f ca="1">_xll.BDP($B$36,$C$36,CONCATENATE("PX391=", $AL$71), CONCATENATE("PX392=",$AL$72), CONCATENATE("DS004=",$B$64), "Fill=B")</f>
        <v>279514</v>
      </c>
      <c r="AM98">
        <f ca="1">_xll.BDP($B$36,$C$36,CONCATENATE("PX391=", $AM$71), CONCATENATE("PX392=",$AM$72), CONCATENATE("DS004=",$B$64), "Fill=B")</f>
        <v>248526</v>
      </c>
      <c r="AN98">
        <f ca="1">_xll.BDP($B$36,$C$36,CONCATENATE("PX391=", $AN$71), CONCATENATE("PX392=",$AN$72), CONCATENATE("DS004=",$B$64), "Fill=B")</f>
        <v>270969</v>
      </c>
      <c r="AO98">
        <f ca="1">_xll.BDP($B$36,$C$36,CONCATENATE("PX391=", $AO$71), CONCATENATE("PX392=",$AO$72), CONCATENATE("DS004=",$B$64), "Fill=B")</f>
        <v>260401</v>
      </c>
      <c r="AP98">
        <f ca="1">_xll.BDP($B$36,$C$36,CONCATENATE("PX391=", $AP$71), CONCATENATE("PX392=",$AP$72), CONCATENATE("DS004=",$B$64), "Fill=B")</f>
        <v>279868</v>
      </c>
      <c r="AQ98">
        <f ca="1">_xll.BDP($B$36,$C$36,CONCATENATE("PX391=", $AQ$71), CONCATENATE("PX392=",$AQ$72), CONCATENATE("DS004=",$B$64), "Fill=B")</f>
        <v>274215</v>
      </c>
      <c r="AR98">
        <f ca="1">_xll.BDP($B$36,$C$36,CONCATENATE("PX391=", $AR$71), CONCATENATE("PX392=",$AR$72), CONCATENATE("DS004=",$B$64), "Fill=B")</f>
        <v>256439</v>
      </c>
      <c r="AS98">
        <f ca="1">_xll.BDP($B$36,$C$36,CONCATENATE("PX391=", $AS$71), CONCATENATE("PX392=",$AS$72), CONCATENATE("DS004=",$B$64), "Fill=B")</f>
        <v>247349</v>
      </c>
      <c r="AT98">
        <f ca="1">_xll.BDP($B$36,$C$36,CONCATENATE("PX391=", $AT$71), CONCATENATE("PX392=",$AT$72), CONCATENATE("DS004=",$B$64), "Fill=B")</f>
        <v>221028</v>
      </c>
      <c r="AU98">
        <f ca="1">_xll.BDP($B$36,$C$36,CONCATENATE("PX391=", $AU$71), CONCATENATE("PX392=",$AU$72), CONCATENATE("DS004=",$B$64), "Fill=B")</f>
        <v>210669</v>
      </c>
      <c r="AV98">
        <f ca="1">_xll.BDP($B$36,$C$36,CONCATENATE("PX391=", $AV$71), CONCATENATE("PX392=",$AV$72), CONCATENATE("DS004=",$B$64), "Fill=B")</f>
        <v>201837</v>
      </c>
      <c r="AW98">
        <f ca="1">_xll.BDP($B$36,$C$36,CONCATENATE("PX391=", $AW$71), CONCATENATE("PX392=",$AW$72), CONCATENATE("DS004=",$B$64), "Fill=B")</f>
        <v>207244</v>
      </c>
      <c r="AX98">
        <f ca="1">_xll.BDP($B$36,$C$36,CONCATENATE("PX391=", $AX$71), CONCATENATE("PX392=",$AX$72), CONCATENATE("DS004=",$B$64), "Fill=B")</f>
        <v>219315</v>
      </c>
      <c r="AY98">
        <f ca="1">_xll.BDP($B$36,$C$36,CONCATENATE("PX391=", $AY$71), CONCATENATE("PX392=",$AY$72), CONCATENATE("DS004=",$B$64), "Fill=B")</f>
        <v>207816</v>
      </c>
      <c r="AZ98">
        <f ca="1">_xll.BDP($B$36,$C$36,CONCATENATE("PX391=", $AZ$71), CONCATENATE("PX392=",$AZ$72), CONCATENATE("DS004=",$B$64), "Fill=B")</f>
        <v>227234</v>
      </c>
      <c r="BA98">
        <f ca="1">_xll.BDP($B$36,$C$36,CONCATENATE("PX391=", $BA$71), CONCATENATE("PX392=",$BA$72), CONCATENATE("DS004=",$B$64), "Fill=B")</f>
        <v>224902</v>
      </c>
      <c r="BB98">
        <f ca="1">_xll.BDP($B$36,$C$36,CONCATENATE("PX391=", $BB$71), CONCATENATE("PX392=",$BB$72), CONCATENATE("DS004=",$B$64), "Fill=B")</f>
        <v>226982</v>
      </c>
      <c r="BC98">
        <f ca="1">_xll.BDP($B$36,$C$36,CONCATENATE("PX391=", $BC$71), CONCATENATE("PX392=",$BC$72), CONCATENATE("DS004=",$B$64), "Fill=B")</f>
        <v>266976</v>
      </c>
      <c r="BD98">
        <f ca="1">_xll.BDP($B$36,$C$36,CONCATENATE("PX391=", $BD$71), CONCATENATE("PX392=",$BD$72), CONCATENATE("DS004=",$B$64), "Fill=B")</f>
        <v>241416</v>
      </c>
      <c r="BE98">
        <f ca="1">_xll.BDP($B$36,$C$36,CONCATENATE("PX391=", $BE$71), CONCATENATE("PX392=",$BE$72), CONCATENATE("DS004=",$B$64), "Fill=B")</f>
        <v>257675</v>
      </c>
      <c r="BF98">
        <f ca="1">_xll.BDP($B$36,$C$36,CONCATENATE("PX391=", $BF$71), CONCATENATE("PX392=",$BF$72), CONCATENATE("DS004=",$B$64), "Fill=B")</f>
        <v>265559</v>
      </c>
      <c r="BG98">
        <f ca="1">_xll.BDP($B$36,$C$36,CONCATENATE("PX391=", $BG$71), CONCATENATE("PX392=",$BG$72), CONCATENATE("DS004=",$B$64), "Fill=B")</f>
        <v>239329</v>
      </c>
      <c r="BH98">
        <f ca="1">_xll.BDP($B$36,$C$36,CONCATENATE("PX391=", $BH$71), CONCATENATE("PX392=",$BH$72), CONCATENATE("DS004=",$B$64), "Fill=B")</f>
        <v>260894</v>
      </c>
      <c r="BI98">
        <f ca="1">_xll.BDP($B$36,$C$36,CONCATENATE("PX391=", $BI$71), CONCATENATE("PX392=",$BI$72), CONCATENATE("DS004=",$B$64), "Fill=B")</f>
        <v>245933</v>
      </c>
      <c r="BJ98">
        <f ca="1">_xll.BDP($B$36,$C$36,CONCATENATE("PX391=", $BJ$71), CONCATENATE("PX392=",$BJ$72), CONCATENATE("DS004=",$B$64), "Fill=B")</f>
        <v>240035</v>
      </c>
      <c r="BK98">
        <f ca="1">_xll.BDP($B$36,$C$36,CONCATENATE("PX391=", $BK$71), CONCATENATE("PX392=",$BK$72), CONCATENATE("DS004=",$B$64), "Fill=B")</f>
        <v>228151</v>
      </c>
      <c r="BL98">
        <f ca="1">_xll.BDP($B$36,$C$36,CONCATENATE("PX391=", $BL$71), CONCATENATE("PX392=",$BL$72), CONCATENATE("DS004=",$B$64), "Fill=B")</f>
        <v>240111</v>
      </c>
      <c r="BM98">
        <f ca="1">_xll.BDP($B$36,$C$36,CONCATENATE("PX391=", $BM$71), CONCATENATE("PX392=",$BM$72), CONCATENATE("DS004=",$B$64), "Fill=B")</f>
        <v>241121</v>
      </c>
      <c r="BN98">
        <f ca="1">_xll.BDP($B$36,$C$36,CONCATENATE("PX391=", $BN$71), CONCATENATE("PX392=",$BN$72), CONCATENATE("DS004=",$B$64), "Fill=B")</f>
        <v>239890</v>
      </c>
      <c r="BO98">
        <f ca="1">_xll.BDP($B$36,$C$36,CONCATENATE("PX391=", $BO$71), CONCATENATE("PX392=",$BO$72), CONCATENATE("DS004=",$B$64), "Fill=B")</f>
        <v>270538</v>
      </c>
      <c r="BP98">
        <f ca="1">_xll.BDP($B$36,$C$36,CONCATENATE("PX391=", $BP$71), CONCATENATE("PX392=",$BP$72), CONCATENATE("DS004=",$B$64), "Fill=B")</f>
        <v>221355</v>
      </c>
      <c r="BQ98">
        <f ca="1">_xll.BDP($B$36,$C$36,CONCATENATE("PX391=", $BQ$71), CONCATENATE("PX392=",$BQ$72), CONCATENATE("DS004=",$B$64), "Fill=B")</f>
        <v>258821</v>
      </c>
      <c r="BR98">
        <f ca="1">_xll.BDP($B$36,$C$36,CONCATENATE("PX391=", $BR$71), CONCATENATE("PX392=",$BR$72), CONCATENATE("DS004=",$B$64), "Fill=B")</f>
        <v>252679</v>
      </c>
      <c r="BS98">
        <f ca="1">_xll.BDP($B$36,$C$36,CONCATENATE("PX391=", $BS$71), CONCATENATE("PX392=",$BS$72), CONCATENATE("DS004=",$B$64), "Fill=B")</f>
        <v>223840</v>
      </c>
      <c r="BT98">
        <f ca="1">_xll.BDP($B$36,$C$36,CONCATENATE("PX391=", $BT$71), CONCATENATE("PX392=",$BT$72), CONCATENATE("DS004=",$B$64), "Fill=B")</f>
        <v>236891</v>
      </c>
      <c r="BU98">
        <f ca="1">_xll.BDP($B$36,$C$36,CONCATENATE("PX391=", $BU$71), CONCATENATE("PX392=",$BU$72), CONCATENATE("DS004=",$B$64), "Fill=B")</f>
        <v>219281</v>
      </c>
      <c r="BV98">
        <f ca="1">_xll.BDP($B$36,$C$36,CONCATENATE("PX391=", $BV$71), CONCATENATE("PX392=",$BV$72), CONCATENATE("DS004=",$B$64), "Fill=B")</f>
        <v>252230</v>
      </c>
      <c r="BW98">
        <f ca="1">_xll.BDP($B$36,$C$36,CONCATENATE("PX391=", $BW$71), CONCATENATE("PX392=",$BW$72), CONCATENATE("DS004=",$B$64), "Fill=B")</f>
        <v>218727</v>
      </c>
      <c r="BX98">
        <f ca="1">_xll.BDP($B$36,$C$36,CONCATENATE("PX391=", $BX$71), CONCATENATE("PX392=",$BX$72), CONCATENATE("DS004=",$B$64), "Fill=B")</f>
        <v>220534</v>
      </c>
      <c r="BY98">
        <f ca="1">_xll.BDP($B$36,$C$36,CONCATENATE("PX391=", $BY$71), CONCATENATE("PX392=",$BY$72), CONCATENATE("DS004=",$B$64), "Fill=B")</f>
        <v>237525</v>
      </c>
      <c r="BZ98">
        <f ca="1">_xll.BDP($B$36,$C$36,CONCATENATE("PX391=", $BZ$71), CONCATENATE("PX392=",$BZ$72), CONCATENATE("DS004=",$B$64), "Fill=B")</f>
        <v>240570</v>
      </c>
      <c r="CA98">
        <f ca="1">_xll.BDP($B$36,$C$36,CONCATENATE("PX391=", $CA$71), CONCATENATE("PX392=",$CA$72), CONCATENATE("DS004=",$B$64), "Fill=B")</f>
        <v>265490</v>
      </c>
      <c r="CB98">
        <f ca="1">_xll.BDP($B$36,$C$36,CONCATENATE("PX391=", $CB$71), CONCATENATE("PX392=",$CB$72), CONCATENATE("DS004=",$B$64), "Fill=B")</f>
        <v>237816</v>
      </c>
      <c r="CC98">
        <f ca="1">_xll.BDP($B$36,$C$36,CONCATENATE("PX391=", $CC$71), CONCATENATE("PX392=",$CC$72), CONCATENATE("DS004=",$B$64), "Fill=B")</f>
        <v>240605</v>
      </c>
      <c r="CD98">
        <f ca="1">_xll.BDP($B$36,$C$36,CONCATENATE("PX391=", $CD$71), CONCATENATE("PX392=",$CD$72), CONCATENATE("DS004=",$B$64), "Fill=B")</f>
        <v>234230</v>
      </c>
      <c r="CE98">
        <f ca="1">_xll.BDP($B$36,$C$36,CONCATENATE("PX391=", $CE$71), CONCATENATE("PX392=",$CE$72), CONCATENATE("DS004=",$B$64), "Fill=B")</f>
        <v>231675</v>
      </c>
      <c r="CF98">
        <f ca="1">_xll.BDP($B$36,$C$36,CONCATENATE("PX391=", $CF$71), CONCATENATE("PX392=",$CF$72), CONCATENATE("DS004=",$B$64), "Fill=B")</f>
        <v>246871</v>
      </c>
      <c r="CG98">
        <f ca="1">_xll.BDP($B$36,$C$36,CONCATENATE("PX391=", $CG$71), CONCATENATE("PX392=",$CG$72), CONCATENATE("DS004=",$B$64), "Fill=B")</f>
        <v>225196</v>
      </c>
      <c r="CH98">
        <f ca="1">_xll.BDP($B$36,$C$36,CONCATENATE("PX391=", $CH$71), CONCATENATE("PX392=",$CH$72), CONCATENATE("DS004=",$B$64), "Fill=B")</f>
        <v>232148</v>
      </c>
      <c r="CI98">
        <f ca="1">_xll.BDP($B$36,$C$36,CONCATENATE("PX391=", $CI$71), CONCATENATE("PX392=",$CI$72), CONCATENATE("DS004=",$B$64), "Fill=B")</f>
        <v>220376</v>
      </c>
      <c r="CJ98">
        <f ca="1">_xll.BDP($B$36,$C$36,CONCATENATE("PX391=", $CJ$71), CONCATENATE("PX392=",$CJ$72), CONCATENATE("DS004=",$B$64), "Fill=B")</f>
        <v>228516</v>
      </c>
      <c r="CK98">
        <f ca="1">_xll.BDP($B$36,$C$36,CONCATENATE("PX391=", $CK$71), CONCATENATE("PX392=",$CK$72), CONCATENATE("DS004=",$B$64), "Fill=B")</f>
        <v>229624</v>
      </c>
      <c r="CL98" t="str">
        <f>""</f>
        <v/>
      </c>
      <c r="CM98" t="str">
        <f>""</f>
        <v/>
      </c>
      <c r="CN98" t="str">
        <f>""</f>
        <v/>
      </c>
      <c r="CO98" t="str">
        <f>""</f>
        <v/>
      </c>
      <c r="CP98" t="str">
        <f>""</f>
        <v/>
      </c>
      <c r="CQ98" t="str">
        <f>""</f>
        <v/>
      </c>
      <c r="CR98" t="str">
        <f>""</f>
        <v/>
      </c>
      <c r="CS98" t="str">
        <f>""</f>
        <v/>
      </c>
      <c r="CT98" t="str">
        <f>""</f>
        <v/>
      </c>
      <c r="CU98" t="str">
        <f>""</f>
        <v/>
      </c>
      <c r="CV98" t="str">
        <f>""</f>
        <v/>
      </c>
      <c r="CW98" t="str">
        <f>""</f>
        <v/>
      </c>
      <c r="CX98" t="str">
        <f>""</f>
        <v/>
      </c>
      <c r="CY98" t="str">
        <f>""</f>
        <v/>
      </c>
      <c r="CZ98" t="str">
        <f>""</f>
        <v/>
      </c>
      <c r="DA98" t="str">
        <f>""</f>
        <v/>
      </c>
      <c r="DB98" t="str">
        <f>""</f>
        <v/>
      </c>
      <c r="DC98" t="str">
        <f>""</f>
        <v/>
      </c>
      <c r="DD98" t="str">
        <f>""</f>
        <v/>
      </c>
      <c r="DE98" t="str">
        <f>""</f>
        <v/>
      </c>
      <c r="DF98" t="str">
        <f>""</f>
        <v/>
      </c>
      <c r="DG98" t="str">
        <f>""</f>
        <v/>
      </c>
      <c r="DH98" t="str">
        <f>""</f>
        <v/>
      </c>
      <c r="DI98" t="str">
        <f>""</f>
        <v/>
      </c>
      <c r="DJ98" t="str">
        <f>""</f>
        <v/>
      </c>
      <c r="DK98" t="str">
        <f>""</f>
        <v/>
      </c>
      <c r="DL98" t="str">
        <f>""</f>
        <v/>
      </c>
      <c r="DM98" t="str">
        <f>""</f>
        <v/>
      </c>
      <c r="DN98" t="str">
        <f>""</f>
        <v/>
      </c>
      <c r="DO98" t="str">
        <f>""</f>
        <v/>
      </c>
      <c r="DP98" t="str">
        <f>""</f>
        <v/>
      </c>
      <c r="DQ98" t="str">
        <f>""</f>
        <v/>
      </c>
      <c r="DR98" t="str">
        <f>""</f>
        <v/>
      </c>
      <c r="DS98" t="str">
        <f>""</f>
        <v/>
      </c>
      <c r="DT98" t="str">
        <f>""</f>
        <v/>
      </c>
      <c r="DU98" t="str">
        <f>""</f>
        <v/>
      </c>
      <c r="DV98" t="str">
        <f>""</f>
        <v/>
      </c>
      <c r="DW98" t="str">
        <f>""</f>
        <v/>
      </c>
      <c r="DX98" t="str">
        <f>""</f>
        <v/>
      </c>
      <c r="DY98" t="str">
        <f>""</f>
        <v/>
      </c>
      <c r="DZ98" t="str">
        <f>""</f>
        <v/>
      </c>
      <c r="EA98" t="str">
        <f>""</f>
        <v/>
      </c>
      <c r="EB98" t="str">
        <f>""</f>
        <v/>
      </c>
      <c r="EC98" t="str">
        <f>""</f>
        <v/>
      </c>
      <c r="ED98" t="str">
        <f>""</f>
        <v/>
      </c>
      <c r="EE98" t="str">
        <f>""</f>
        <v/>
      </c>
      <c r="EF98" t="str">
        <f>""</f>
        <v/>
      </c>
      <c r="EG98" t="str">
        <f>""</f>
        <v/>
      </c>
      <c r="EH98" t="str">
        <f>""</f>
        <v/>
      </c>
      <c r="EI98" t="str">
        <f>""</f>
        <v/>
      </c>
      <c r="EJ98" t="str">
        <f>""</f>
        <v/>
      </c>
      <c r="EK98" t="str">
        <f>""</f>
        <v/>
      </c>
      <c r="EL98" t="str">
        <f>""</f>
        <v/>
      </c>
      <c r="EM98" t="str">
        <f>""</f>
        <v/>
      </c>
      <c r="EN98" t="str">
        <f>""</f>
        <v/>
      </c>
      <c r="EO98" t="str">
        <f>""</f>
        <v/>
      </c>
      <c r="EP98" t="str">
        <f>""</f>
        <v/>
      </c>
      <c r="EQ98" t="str">
        <f>""</f>
        <v/>
      </c>
      <c r="ER98" t="str">
        <f>""</f>
        <v/>
      </c>
      <c r="ES98" t="str">
        <f>""</f>
        <v/>
      </c>
      <c r="ET98" t="str">
        <f>""</f>
        <v/>
      </c>
      <c r="EU98" t="str">
        <f>""</f>
        <v/>
      </c>
      <c r="EV98" t="str">
        <f>""</f>
        <v/>
      </c>
      <c r="EW98" t="str">
        <f>""</f>
        <v/>
      </c>
      <c r="EX98" t="str">
        <f>""</f>
        <v/>
      </c>
      <c r="EY98" t="str">
        <f>""</f>
        <v/>
      </c>
      <c r="EZ98" t="str">
        <f>""</f>
        <v/>
      </c>
      <c r="FA98" t="str">
        <f>""</f>
        <v/>
      </c>
      <c r="FB98" t="str">
        <f>""</f>
        <v/>
      </c>
      <c r="FC98" t="str">
        <f>""</f>
        <v/>
      </c>
      <c r="FD98" t="str">
        <f>""</f>
        <v/>
      </c>
      <c r="FE98" t="str">
        <f>""</f>
        <v/>
      </c>
      <c r="FF98" t="str">
        <f>""</f>
        <v/>
      </c>
      <c r="FG98" t="str">
        <f>""</f>
        <v/>
      </c>
      <c r="FH98" t="str">
        <f>""</f>
        <v/>
      </c>
      <c r="FI98" t="str">
        <f>""</f>
        <v/>
      </c>
      <c r="FJ98" t="str">
        <f>""</f>
        <v/>
      </c>
      <c r="FK98" t="str">
        <f>""</f>
        <v/>
      </c>
      <c r="FL98" t="str">
        <f>""</f>
        <v/>
      </c>
      <c r="FM98" t="str">
        <f>""</f>
        <v/>
      </c>
      <c r="FN98" t="str">
        <f>""</f>
        <v/>
      </c>
      <c r="FO98" t="str">
        <f>""</f>
        <v/>
      </c>
      <c r="FP98" t="str">
        <f>""</f>
        <v/>
      </c>
      <c r="FQ98" t="str">
        <f>""</f>
        <v/>
      </c>
    </row>
    <row r="99" spans="1:173" x14ac:dyDescent="0.25">
      <c r="A99" t="str">
        <f>$A$37</f>
        <v xml:space="preserve">    Port of Houston (TEU)</v>
      </c>
      <c r="B99" t="str">
        <f>$B$37</f>
        <v>TEUHTOTL Index</v>
      </c>
      <c r="C99" t="str">
        <f>$C$37</f>
        <v>PX385</v>
      </c>
      <c r="D99" t="str">
        <f>$D$37</f>
        <v>INTERVAL_SUM</v>
      </c>
      <c r="E99" t="str">
        <f>$E$37</f>
        <v>Dynamic</v>
      </c>
      <c r="F99" t="str">
        <f ca="1">_xll.BDP($B$37,$C$37,CONCATENATE("PX391=", $F$71), CONCATENATE("PX392=",$F$72), CONCATENATE("DS004=",$B$64), "Fill=B")</f>
        <v/>
      </c>
      <c r="G99" t="str">
        <f ca="1">_xll.BDP($B$37,$C$37,CONCATENATE("PX391=", $G$71), CONCATENATE("PX392=",$G$72), CONCATENATE("DS004=",$B$64), "Fill=B")</f>
        <v/>
      </c>
      <c r="H99">
        <f ca="1">_xll.BDP($B$37,$C$37,CONCATENATE("PX391=", $H$71), CONCATENATE("PX392=",$H$72), CONCATENATE("DS004=",$B$64), "Fill=B")</f>
        <v>325588</v>
      </c>
      <c r="I99">
        <f ca="1">_xll.BDP($B$37,$C$37,CONCATENATE("PX391=", $I$71), CONCATENATE("PX392=",$I$72), CONCATENATE("DS004=",$B$64), "Fill=B")</f>
        <v>307624</v>
      </c>
      <c r="J99">
        <f ca="1">_xll.BDP($B$37,$C$37,CONCATENATE("PX391=", $J$71), CONCATENATE("PX392=",$J$72), CONCATENATE("DS004=",$B$64), "Fill=B")</f>
        <v>344163</v>
      </c>
      <c r="K99">
        <f ca="1">_xll.BDP($B$37,$C$37,CONCATENATE("PX391=", $K$71), CONCATENATE("PX392=",$K$72), CONCATENATE("DS004=",$B$64), "Fill=B")</f>
        <v>315983</v>
      </c>
      <c r="L99">
        <f ca="1">_xll.BDP($B$37,$C$37,CONCATENATE("PX391=", $L$71), CONCATENATE("PX392=",$L$72), CONCATENATE("DS004=",$B$64), "Fill=B")</f>
        <v>300482</v>
      </c>
      <c r="M99">
        <f ca="1">_xll.BDP($B$37,$C$37,CONCATENATE("PX391=", $M$71), CONCATENATE("PX392=",$M$72), CONCATENATE("DS004=",$B$64), "Fill=B")</f>
        <v>307879</v>
      </c>
      <c r="N99">
        <f ca="1">_xll.BDP($B$37,$C$37,CONCATENATE("PX391=", $N$71), CONCATENATE("PX392=",$N$72), CONCATENATE("DS004=",$B$64), "Fill=B")</f>
        <v>300589</v>
      </c>
      <c r="O99">
        <f ca="1">_xll.BDP($B$37,$C$37,CONCATENATE("PX391=", $O$71), CONCATENATE("PX392=",$O$72), CONCATENATE("DS004=",$B$64), "Fill=B")</f>
        <v>313452</v>
      </c>
      <c r="P99">
        <f ca="1">_xll.BDP($B$37,$C$37,CONCATENATE("PX391=", $P$71), CONCATENATE("PX392=",$P$72), CONCATENATE("DS004=",$B$64), "Fill=B")</f>
        <v>319990</v>
      </c>
      <c r="Q99">
        <f ca="1">_xll.BDP($B$37,$C$37,CONCATENATE("PX391=", $Q$71), CONCATENATE("PX392=",$Q$72), CONCATENATE("DS004=",$B$64), "Fill=B")</f>
        <v>292027</v>
      </c>
      <c r="R99">
        <f ca="1">_xll.BDP($B$37,$C$37,CONCATENATE("PX391=", $R$71), CONCATENATE("PX392=",$R$72), CONCATENATE("DS004=",$B$64), "Fill=B")</f>
        <v>348950</v>
      </c>
      <c r="S99">
        <f ca="1">_xll.BDP($B$37,$C$37,CONCATENATE("PX391=", $S$71), CONCATENATE("PX392=",$S$72), CONCATENATE("DS004=",$B$64), "Fill=B")</f>
        <v>371994</v>
      </c>
      <c r="T99">
        <f ca="1">_xll.BDP($B$37,$C$37,CONCATENATE("PX391=", $T$71), CONCATENATE("PX392=",$T$72), CONCATENATE("DS004=",$B$64), "Fill=B")</f>
        <v>353524</v>
      </c>
      <c r="U99">
        <f ca="1">_xll.BDP($B$37,$C$37,CONCATENATE("PX391=", $U$71), CONCATENATE("PX392=",$U$72), CONCATENATE("DS004=",$B$64), "Fill=B")</f>
        <v>382842</v>
      </c>
      <c r="V99">
        <f ca="1">_xll.BDP($B$37,$C$37,CONCATENATE("PX391=", $V$71), CONCATENATE("PX392=",$V$72), CONCATENATE("DS004=",$B$64), "Fill=B")</f>
        <v>328498</v>
      </c>
      <c r="W99">
        <f ca="1">_xll.BDP($B$37,$C$37,CONCATENATE("PX391=", $W$71), CONCATENATE("PX392=",$W$72), CONCATENATE("DS004=",$B$64), "Fill=B")</f>
        <v>323823</v>
      </c>
      <c r="X99">
        <f ca="1">_xll.BDP($B$37,$C$37,CONCATENATE("PX391=", $X$71), CONCATENATE("PX392=",$X$72), CONCATENATE("DS004=",$B$64), "Fill=B")</f>
        <v>335366</v>
      </c>
      <c r="Y99">
        <f ca="1">_xll.BDP($B$37,$C$37,CONCATENATE("PX391=", $Y$71), CONCATENATE("PX392=",$Y$72), CONCATENATE("DS004=",$B$64), "Fill=B")</f>
        <v>334493</v>
      </c>
      <c r="Z99">
        <f ca="1">_xll.BDP($B$37,$C$37,CONCATENATE("PX391=", $Z$71), CONCATENATE("PX392=",$Z$72), CONCATENATE("DS004=",$B$64), "Fill=B")</f>
        <v>308557</v>
      </c>
      <c r="AA99">
        <f ca="1">_xll.BDP($B$37,$C$37,CONCATENATE("PX391=", $AA$71), CONCATENATE("PX392=",$AA$72), CONCATENATE("DS004=",$B$64), "Fill=B")</f>
        <v>271399</v>
      </c>
      <c r="AB99">
        <f ca="1">_xll.BDP($B$37,$C$37,CONCATENATE("PX391=", $AB$71), CONCATENATE("PX392=",$AB$72), CONCATENATE("DS004=",$B$64), "Fill=B")</f>
        <v>323427</v>
      </c>
      <c r="AC99">
        <f ca="1">_xll.BDP($B$37,$C$37,CONCATENATE("PX391=", $AC$71), CONCATENATE("PX392=",$AC$72), CONCATENATE("DS004=",$B$64), "Fill=B")</f>
        <v>303204</v>
      </c>
      <c r="AD99">
        <f ca="1">_xll.BDP($B$37,$C$37,CONCATENATE("PX391=", $AD$71), CONCATENATE("PX392=",$AD$72), CONCATENATE("DS004=",$B$64), "Fill=B")</f>
        <v>314576</v>
      </c>
      <c r="AE99">
        <f ca="1">_xll.BDP($B$37,$C$37,CONCATENATE("PX391=", $AE$71), CONCATENATE("PX392=",$AE$72), CONCATENATE("DS004=",$B$64), "Fill=B")</f>
        <v>328486</v>
      </c>
      <c r="AF99">
        <f ca="1">_xll.BDP($B$37,$C$37,CONCATENATE("PX391=", $AF$71), CONCATENATE("PX392=",$AF$72), CONCATENATE("DS004=",$B$64), "Fill=B")</f>
        <v>281500</v>
      </c>
      <c r="AG99">
        <f ca="1">_xll.BDP($B$37,$C$37,CONCATENATE("PX391=", $AG$71), CONCATENATE("PX392=",$AG$72), CONCATENATE("DS004=",$B$64), "Fill=B")</f>
        <v>320086</v>
      </c>
      <c r="AH99">
        <f ca="1">_xll.BDP($B$37,$C$37,CONCATENATE("PX391=", $AH$71), CONCATENATE("PX392=",$AH$72), CONCATENATE("DS004=",$B$64), "Fill=B")</f>
        <v>297621</v>
      </c>
      <c r="AI99">
        <f ca="1">_xll.BDP($B$37,$C$37,CONCATENATE("PX391=", $AI$71), CONCATENATE("PX392=",$AI$72), CONCATENATE("DS004=",$B$64), "Fill=B")</f>
        <v>292587</v>
      </c>
      <c r="AJ99">
        <f ca="1">_xll.BDP($B$37,$C$37,CONCATENATE("PX391=", $AJ$71), CONCATENATE("PX392=",$AJ$72), CONCATENATE("DS004=",$B$64), "Fill=B")</f>
        <v>288127</v>
      </c>
      <c r="AK99">
        <f ca="1">_xll.BDP($B$37,$C$37,CONCATENATE("PX391=", $AK$71), CONCATENATE("PX392=",$AK$72), CONCATENATE("DS004=",$B$64), "Fill=B")</f>
        <v>275840</v>
      </c>
      <c r="AL99">
        <f ca="1">_xll.BDP($B$37,$C$37,CONCATENATE("PX391=", $AL$71), CONCATENATE("PX392=",$AL$72), CONCATENATE("DS004=",$B$64), "Fill=B")</f>
        <v>297397</v>
      </c>
      <c r="AM99">
        <f ca="1">_xll.BDP($B$37,$C$37,CONCATENATE("PX391=", $AM$71), CONCATENATE("PX392=",$AM$72), CONCATENATE("DS004=",$B$64), "Fill=B")</f>
        <v>198763</v>
      </c>
      <c r="AN99">
        <f ca="1">_xll.BDP($B$37,$C$37,CONCATENATE("PX391=", $AN$71), CONCATENATE("PX392=",$AN$72), CONCATENATE("DS004=",$B$64), "Fill=B")</f>
        <v>255039</v>
      </c>
      <c r="AO99">
        <f ca="1">_xll.BDP($B$37,$C$37,CONCATENATE("PX391=", $AO$71), CONCATENATE("PX392=",$AO$72), CONCATENATE("DS004=",$B$64), "Fill=B")</f>
        <v>264626</v>
      </c>
      <c r="AP99">
        <f ca="1">_xll.BDP($B$37,$C$37,CONCATENATE("PX391=", $AP$71), CONCATENATE("PX392=",$AP$72), CONCATENATE("DS004=",$B$64), "Fill=B")</f>
        <v>262930</v>
      </c>
      <c r="AQ99">
        <f ca="1">_xll.BDP($B$37,$C$37,CONCATENATE("PX391=", $AQ$71), CONCATENATE("PX392=",$AQ$72), CONCATENATE("DS004=",$B$64), "Fill=B")</f>
        <v>296210</v>
      </c>
      <c r="AR99">
        <f ca="1">_xll.BDP($B$37,$C$37,CONCATENATE("PX391=", $AR$71), CONCATENATE("PX392=",$AR$72), CONCATENATE("DS004=",$B$64), "Fill=B")</f>
        <v>254405</v>
      </c>
      <c r="AS99">
        <f ca="1">_xll.BDP($B$37,$C$37,CONCATENATE("PX391=", $AS$71), CONCATENATE("PX392=",$AS$72), CONCATENATE("DS004=",$B$64), "Fill=B")</f>
        <v>248630</v>
      </c>
      <c r="AT99">
        <f ca="1">_xll.BDP($B$37,$C$37,CONCATENATE("PX391=", $AT$71), CONCATENATE("PX392=",$AT$72), CONCATENATE("DS004=",$B$64), "Fill=B")</f>
        <v>234737</v>
      </c>
      <c r="AU99">
        <f ca="1">_xll.BDP($B$37,$C$37,CONCATENATE("PX391=", $AU$71), CONCATENATE("PX392=",$AU$72), CONCATENATE("DS004=",$B$64), "Fill=B")</f>
        <v>210932</v>
      </c>
      <c r="AV99">
        <f ca="1">_xll.BDP($B$37,$C$37,CONCATENATE("PX391=", $AV$71), CONCATENATE("PX392=",$AV$72), CONCATENATE("DS004=",$B$64), "Fill=B")</f>
        <v>222250</v>
      </c>
      <c r="AW99">
        <f ca="1">_xll.BDP($B$37,$C$37,CONCATENATE("PX391=", $AW$71), CONCATENATE("PX392=",$AW$72), CONCATENATE("DS004=",$B$64), "Fill=B")</f>
        <v>221540</v>
      </c>
      <c r="AX99">
        <f ca="1">_xll.BDP($B$37,$C$37,CONCATENATE("PX391=", $AX$71), CONCATENATE("PX392=",$AX$72), CONCATENATE("DS004=",$B$64), "Fill=B")</f>
        <v>248840</v>
      </c>
      <c r="AY99">
        <f ca="1">_xll.BDP($B$37,$C$37,CONCATENATE("PX391=", $AY$71), CONCATENATE("PX392=",$AY$72), CONCATENATE("DS004=",$B$64), "Fill=B")</f>
        <v>255474</v>
      </c>
      <c r="AZ99">
        <f ca="1">_xll.BDP($B$37,$C$37,CONCATENATE("PX391=", $AZ$71), CONCATENATE("PX392=",$AZ$72), CONCATENATE("DS004=",$B$64), "Fill=B")</f>
        <v>268773</v>
      </c>
      <c r="BA99">
        <f ca="1">_xll.BDP($B$37,$C$37,CONCATENATE("PX391=", $BA$71), CONCATENATE("PX392=",$BA$72), CONCATENATE("DS004=",$B$64), "Fill=B")</f>
        <v>250946</v>
      </c>
      <c r="BB99">
        <f ca="1">_xll.BDP($B$37,$C$37,CONCATENATE("PX391=", $BB$71), CONCATENATE("PX392=",$BB$72), CONCATENATE("DS004=",$B$64), "Fill=B")</f>
        <v>245738</v>
      </c>
      <c r="BC99">
        <f ca="1">_xll.BDP($B$37,$C$37,CONCATENATE("PX391=", $BC$71), CONCATENATE("PX392=",$BC$72), CONCATENATE("DS004=",$B$64), "Fill=B")</f>
        <v>258571</v>
      </c>
      <c r="BD99">
        <f ca="1">_xll.BDP($B$37,$C$37,CONCATENATE("PX391=", $BD$71), CONCATENATE("PX392=",$BD$72), CONCATENATE("DS004=",$B$64), "Fill=B")</f>
        <v>251524</v>
      </c>
      <c r="BE99">
        <f ca="1">_xll.BDP($B$37,$C$37,CONCATENATE("PX391=", $BE$71), CONCATENATE("PX392=",$BE$72), CONCATENATE("DS004=",$B$64), "Fill=B")</f>
        <v>259110</v>
      </c>
      <c r="BF99">
        <f ca="1">_xll.BDP($B$37,$C$37,CONCATENATE("PX391=", $BF$71), CONCATENATE("PX392=",$BF$72), CONCATENATE("DS004=",$B$64), "Fill=B")</f>
        <v>259993</v>
      </c>
      <c r="BG99">
        <f ca="1">_xll.BDP($B$37,$C$37,CONCATENATE("PX391=", $BG$71), CONCATENATE("PX392=",$BG$72), CONCATENATE("DS004=",$B$64), "Fill=B")</f>
        <v>251488</v>
      </c>
      <c r="BH99">
        <f ca="1">_xll.BDP($B$37,$C$37,CONCATENATE("PX391=", $BH$71), CONCATENATE("PX392=",$BH$72), CONCATENATE("DS004=",$B$64), "Fill=B")</f>
        <v>263061</v>
      </c>
      <c r="BI99">
        <f ca="1">_xll.BDP($B$37,$C$37,CONCATENATE("PX391=", $BI$71), CONCATENATE("PX392=",$BI$72), CONCATENATE("DS004=",$B$64), "Fill=B")</f>
        <v>252693</v>
      </c>
      <c r="BJ99">
        <f ca="1">_xll.BDP($B$37,$C$37,CONCATENATE("PX391=", $BJ$71), CONCATENATE("PX392=",$BJ$72), CONCATENATE("DS004=",$B$64), "Fill=B")</f>
        <v>280721</v>
      </c>
      <c r="BK99">
        <f ca="1">_xll.BDP($B$37,$C$37,CONCATENATE("PX391=", $BK$71), CONCATENATE("PX392=",$BK$72), CONCATENATE("DS004=",$B$64), "Fill=B")</f>
        <v>198494</v>
      </c>
      <c r="BL99">
        <f ca="1">_xll.BDP($B$37,$C$37,CONCATENATE("PX391=", $BL$71), CONCATENATE("PX392=",$BL$72), CONCATENATE("DS004=",$B$64), "Fill=B")</f>
        <v>214952</v>
      </c>
      <c r="BM99">
        <f ca="1">_xll.BDP($B$37,$C$37,CONCATENATE("PX391=", $BM$71), CONCATENATE("PX392=",$BM$72), CONCATENATE("DS004=",$B$64), "Fill=B")</f>
        <v>221358</v>
      </c>
      <c r="BN99">
        <f ca="1">_xll.BDP($B$37,$C$37,CONCATENATE("PX391=", $BN$71), CONCATENATE("PX392=",$BN$72), CONCATENATE("DS004=",$B$64), "Fill=B")</f>
        <v>226343</v>
      </c>
      <c r="BO99">
        <f ca="1">_xll.BDP($B$37,$C$37,CONCATENATE("PX391=", $BO$71), CONCATENATE("PX392=",$BO$72), CONCATENATE("DS004=",$B$64), "Fill=B")</f>
        <v>240982</v>
      </c>
      <c r="BP99">
        <f ca="1">_xll.BDP($B$37,$C$37,CONCATENATE("PX391=", $BP$71), CONCATENATE("PX392=",$BP$72), CONCATENATE("DS004=",$B$64), "Fill=B")</f>
        <v>230331</v>
      </c>
      <c r="BQ99">
        <f ca="1">_xll.BDP($B$37,$C$37,CONCATENATE("PX391=", $BQ$71), CONCATENATE("PX392=",$BQ$72), CONCATENATE("DS004=",$B$64), "Fill=B")</f>
        <v>238644</v>
      </c>
      <c r="BR99">
        <f ca="1">_xll.BDP($B$37,$C$37,CONCATENATE("PX391=", $BR$71), CONCATENATE("PX392=",$BR$72), CONCATENATE("DS004=",$B$64), "Fill=B")</f>
        <v>236032</v>
      </c>
      <c r="BS99">
        <f ca="1">_xll.BDP($B$37,$C$37,CONCATENATE("PX391=", $BS$71), CONCATENATE("PX392=",$BS$72), CONCATENATE("DS004=",$B$64), "Fill=B")</f>
        <v>223890</v>
      </c>
      <c r="BT99">
        <f ca="1">_xll.BDP($B$37,$C$37,CONCATENATE("PX391=", $BT$71), CONCATENATE("PX392=",$BT$72), CONCATENATE("DS004=",$B$64), "Fill=B")</f>
        <v>245996</v>
      </c>
      <c r="BU99">
        <f ca="1">_xll.BDP($B$37,$C$37,CONCATENATE("PX391=", $BU$71), CONCATENATE("PX392=",$BU$72), CONCATENATE("DS004=",$B$64), "Fill=B")</f>
        <v>218799</v>
      </c>
      <c r="BV99">
        <f ca="1">_xll.BDP($B$37,$C$37,CONCATENATE("PX391=", $BV$71), CONCATENATE("PX392=",$BV$72), CONCATENATE("DS004=",$B$64), "Fill=B")</f>
        <v>229158</v>
      </c>
      <c r="BW99">
        <f ca="1">_xll.BDP($B$37,$C$37,CONCATENATE("PX391=", $BW$71), CONCATENATE("PX392=",$BW$72), CONCATENATE("DS004=",$B$64), "Fill=B")</f>
        <v>198621</v>
      </c>
      <c r="BX99">
        <f ca="1">_xll.BDP($B$37,$C$37,CONCATENATE("PX391=", $BX$71), CONCATENATE("PX392=",$BX$72), CONCATENATE("DS004=",$B$64), "Fill=B")</f>
        <v>189696</v>
      </c>
      <c r="BY99">
        <f ca="1">_xll.BDP($B$37,$C$37,CONCATENATE("PX391=", $BY$71), CONCATENATE("PX392=",$BY$72), CONCATENATE("DS004=",$B$64), "Fill=B")</f>
        <v>208257</v>
      </c>
      <c r="BZ99">
        <f ca="1">_xll.BDP($B$37,$C$37,CONCATENATE("PX391=", $BZ$71), CONCATENATE("PX392=",$BZ$72), CONCATENATE("DS004=",$B$64), "Fill=B")</f>
        <v>195875</v>
      </c>
      <c r="CA99">
        <f ca="1">_xll.BDP($B$37,$C$37,CONCATENATE("PX391=", $CA$71), CONCATENATE("PX392=",$CA$72), CONCATENATE("DS004=",$B$64), "Fill=B")</f>
        <v>223127</v>
      </c>
      <c r="CB99">
        <f ca="1">_xll.BDP($B$37,$C$37,CONCATENATE("PX391=", $CB$71), CONCATENATE("PX392=",$CB$72), CONCATENATE("DS004=",$B$64), "Fill=B")</f>
        <v>226483</v>
      </c>
      <c r="CC99">
        <f ca="1">_xll.BDP($B$37,$C$37,CONCATENATE("PX391=", $CC$71), CONCATENATE("PX392=",$CC$72), CONCATENATE("DS004=",$B$64), "Fill=B")</f>
        <v>166353</v>
      </c>
      <c r="CD99">
        <f ca="1">_xll.BDP($B$37,$C$37,CONCATENATE("PX391=", $CD$71), CONCATENATE("PX392=",$CD$72), CONCATENATE("DS004=",$B$64), "Fill=B")</f>
        <v>203010</v>
      </c>
      <c r="CE99">
        <f ca="1">_xll.BDP($B$37,$C$37,CONCATENATE("PX391=", $CE$71), CONCATENATE("PX392=",$CE$72), CONCATENATE("DS004=",$B$64), "Fill=B")</f>
        <v>212843</v>
      </c>
      <c r="CF99">
        <f ca="1">_xll.BDP($B$37,$C$37,CONCATENATE("PX391=", $CF$71), CONCATENATE("PX392=",$CF$72), CONCATENATE("DS004=",$B$64), "Fill=B")</f>
        <v>213893</v>
      </c>
      <c r="CG99">
        <f ca="1">_xll.BDP($B$37,$C$37,CONCATENATE("PX391=", $CG$71), CONCATENATE("PX392=",$CG$72), CONCATENATE("DS004=",$B$64), "Fill=B")</f>
        <v>201804</v>
      </c>
      <c r="CH99">
        <f ca="1">_xll.BDP($B$37,$C$37,CONCATENATE("PX391=", $CH$71), CONCATENATE("PX392=",$CH$72), CONCATENATE("DS004=",$B$64), "Fill=B")</f>
        <v>221661</v>
      </c>
      <c r="CI99">
        <f ca="1">_xll.BDP($B$37,$C$37,CONCATENATE("PX391=", $CI$71), CONCATENATE("PX392=",$CI$72), CONCATENATE("DS004=",$B$64), "Fill=B")</f>
        <v>188861</v>
      </c>
      <c r="CJ99">
        <f ca="1">_xll.BDP($B$37,$C$37,CONCATENATE("PX391=", $CJ$71), CONCATENATE("PX392=",$CJ$72), CONCATENATE("DS004=",$B$64), "Fill=B")</f>
        <v>196940</v>
      </c>
      <c r="CK99">
        <f ca="1">_xll.BDP($B$37,$C$37,CONCATENATE("PX391=", $CK$71), CONCATENATE("PX392=",$CK$72), CONCATENATE("DS004=",$B$64), "Fill=B")</f>
        <v>173256</v>
      </c>
      <c r="CL99" t="str">
        <f>""</f>
        <v/>
      </c>
      <c r="CM99" t="str">
        <f>""</f>
        <v/>
      </c>
      <c r="CN99" t="str">
        <f>""</f>
        <v/>
      </c>
      <c r="CO99" t="str">
        <f>""</f>
        <v/>
      </c>
      <c r="CP99" t="str">
        <f>""</f>
        <v/>
      </c>
      <c r="CQ99" t="str">
        <f>""</f>
        <v/>
      </c>
      <c r="CR99" t="str">
        <f>""</f>
        <v/>
      </c>
      <c r="CS99" t="str">
        <f>""</f>
        <v/>
      </c>
      <c r="CT99" t="str">
        <f>""</f>
        <v/>
      </c>
      <c r="CU99" t="str">
        <f>""</f>
        <v/>
      </c>
      <c r="CV99" t="str">
        <f>""</f>
        <v/>
      </c>
      <c r="CW99" t="str">
        <f>""</f>
        <v/>
      </c>
      <c r="CX99" t="str">
        <f>""</f>
        <v/>
      </c>
      <c r="CY99" t="str">
        <f>""</f>
        <v/>
      </c>
      <c r="CZ99" t="str">
        <f>""</f>
        <v/>
      </c>
      <c r="DA99" t="str">
        <f>""</f>
        <v/>
      </c>
      <c r="DB99" t="str">
        <f>""</f>
        <v/>
      </c>
      <c r="DC99" t="str">
        <f>""</f>
        <v/>
      </c>
      <c r="DD99" t="str">
        <f>""</f>
        <v/>
      </c>
      <c r="DE99" t="str">
        <f>""</f>
        <v/>
      </c>
      <c r="DF99" t="str">
        <f>""</f>
        <v/>
      </c>
      <c r="DG99" t="str">
        <f>""</f>
        <v/>
      </c>
      <c r="DH99" t="str">
        <f>""</f>
        <v/>
      </c>
      <c r="DI99" t="str">
        <f>""</f>
        <v/>
      </c>
      <c r="DJ99" t="str">
        <f>""</f>
        <v/>
      </c>
      <c r="DK99" t="str">
        <f>""</f>
        <v/>
      </c>
      <c r="DL99" t="str">
        <f>""</f>
        <v/>
      </c>
      <c r="DM99" t="str">
        <f>""</f>
        <v/>
      </c>
      <c r="DN99" t="str">
        <f>""</f>
        <v/>
      </c>
      <c r="DO99" t="str">
        <f>""</f>
        <v/>
      </c>
      <c r="DP99" t="str">
        <f>""</f>
        <v/>
      </c>
      <c r="DQ99" t="str">
        <f>""</f>
        <v/>
      </c>
      <c r="DR99" t="str">
        <f>""</f>
        <v/>
      </c>
      <c r="DS99" t="str">
        <f>""</f>
        <v/>
      </c>
      <c r="DT99" t="str">
        <f>""</f>
        <v/>
      </c>
      <c r="DU99" t="str">
        <f>""</f>
        <v/>
      </c>
      <c r="DV99" t="str">
        <f>""</f>
        <v/>
      </c>
      <c r="DW99" t="str">
        <f>""</f>
        <v/>
      </c>
      <c r="DX99" t="str">
        <f>""</f>
        <v/>
      </c>
      <c r="DY99" t="str">
        <f>""</f>
        <v/>
      </c>
      <c r="DZ99" t="str">
        <f>""</f>
        <v/>
      </c>
      <c r="EA99" t="str">
        <f>""</f>
        <v/>
      </c>
      <c r="EB99" t="str">
        <f>""</f>
        <v/>
      </c>
      <c r="EC99" t="str">
        <f>""</f>
        <v/>
      </c>
      <c r="ED99" t="str">
        <f>""</f>
        <v/>
      </c>
      <c r="EE99" t="str">
        <f>""</f>
        <v/>
      </c>
      <c r="EF99" t="str">
        <f>""</f>
        <v/>
      </c>
      <c r="EG99" t="str">
        <f>""</f>
        <v/>
      </c>
      <c r="EH99" t="str">
        <f>""</f>
        <v/>
      </c>
      <c r="EI99" t="str">
        <f>""</f>
        <v/>
      </c>
      <c r="EJ99" t="str">
        <f>""</f>
        <v/>
      </c>
      <c r="EK99" t="str">
        <f>""</f>
        <v/>
      </c>
      <c r="EL99" t="str">
        <f>""</f>
        <v/>
      </c>
      <c r="EM99" t="str">
        <f>""</f>
        <v/>
      </c>
      <c r="EN99" t="str">
        <f>""</f>
        <v/>
      </c>
      <c r="EO99" t="str">
        <f>""</f>
        <v/>
      </c>
      <c r="EP99" t="str">
        <f>""</f>
        <v/>
      </c>
      <c r="EQ99" t="str">
        <f>""</f>
        <v/>
      </c>
      <c r="ER99" t="str">
        <f>""</f>
        <v/>
      </c>
      <c r="ES99" t="str">
        <f>""</f>
        <v/>
      </c>
      <c r="ET99" t="str">
        <f>""</f>
        <v/>
      </c>
      <c r="EU99" t="str">
        <f>""</f>
        <v/>
      </c>
      <c r="EV99" t="str">
        <f>""</f>
        <v/>
      </c>
      <c r="EW99" t="str">
        <f>""</f>
        <v/>
      </c>
      <c r="EX99" t="str">
        <f>""</f>
        <v/>
      </c>
      <c r="EY99" t="str">
        <f>""</f>
        <v/>
      </c>
      <c r="EZ99" t="str">
        <f>""</f>
        <v/>
      </c>
      <c r="FA99" t="str">
        <f>""</f>
        <v/>
      </c>
      <c r="FB99" t="str">
        <f>""</f>
        <v/>
      </c>
      <c r="FC99" t="str">
        <f>""</f>
        <v/>
      </c>
      <c r="FD99" t="str">
        <f>""</f>
        <v/>
      </c>
      <c r="FE99" t="str">
        <f>""</f>
        <v/>
      </c>
      <c r="FF99" t="str">
        <f>""</f>
        <v/>
      </c>
      <c r="FG99" t="str">
        <f>""</f>
        <v/>
      </c>
      <c r="FH99" t="str">
        <f>""</f>
        <v/>
      </c>
      <c r="FI99" t="str">
        <f>""</f>
        <v/>
      </c>
      <c r="FJ99" t="str">
        <f>""</f>
        <v/>
      </c>
      <c r="FK99" t="str">
        <f>""</f>
        <v/>
      </c>
      <c r="FL99" t="str">
        <f>""</f>
        <v/>
      </c>
      <c r="FM99" t="str">
        <f>""</f>
        <v/>
      </c>
      <c r="FN99" t="str">
        <f>""</f>
        <v/>
      </c>
      <c r="FO99" t="str">
        <f>""</f>
        <v/>
      </c>
      <c r="FP99" t="str">
        <f>""</f>
        <v/>
      </c>
      <c r="FQ99" t="str">
        <f>""</f>
        <v/>
      </c>
    </row>
    <row r="100" spans="1:173" x14ac:dyDescent="0.25">
      <c r="A100" t="str">
        <f>$A$38</f>
        <v xml:space="preserve">    Port of Charleston (TEU)</v>
      </c>
      <c r="B100" t="str">
        <f>$B$38</f>
        <v>POCHTOTL Index</v>
      </c>
      <c r="C100" t="str">
        <f>$C$38</f>
        <v>PX385</v>
      </c>
      <c r="D100" t="str">
        <f>$D$38</f>
        <v>INTERVAL_SUM</v>
      </c>
      <c r="E100" t="str">
        <f>$E$38</f>
        <v>Dynamic</v>
      </c>
      <c r="F100" t="str">
        <f ca="1">_xll.BDP($B$38,$C$38,CONCATENATE("PX391=", $F$71), CONCATENATE("PX392=",$F$72), CONCATENATE("DS004=",$B$64), "Fill=B")</f>
        <v/>
      </c>
      <c r="G100" t="str">
        <f ca="1">_xll.BDP($B$38,$C$38,CONCATENATE("PX391=", $G$71), CONCATENATE("PX392=",$G$72), CONCATENATE("DS004=",$B$64), "Fill=B")</f>
        <v/>
      </c>
      <c r="H100">
        <f ca="1">_xll.BDP($B$38,$C$38,CONCATENATE("PX391=", $H$71), CONCATENATE("PX392=",$H$72), CONCATENATE("DS004=",$B$64), "Fill=B")</f>
        <v>199208</v>
      </c>
      <c r="I100">
        <f ca="1">_xll.BDP($B$38,$C$38,CONCATENATE("PX391=", $I$71), CONCATENATE("PX392=",$I$72), CONCATENATE("DS004=",$B$64), "Fill=B")</f>
        <v>203169</v>
      </c>
      <c r="J100">
        <f ca="1">_xll.BDP($B$38,$C$38,CONCATENATE("PX391=", $J$71), CONCATENATE("PX392=",$J$72), CONCATENATE("DS004=",$B$64), "Fill=B")</f>
        <v>208134</v>
      </c>
      <c r="K100">
        <f ca="1">_xll.BDP($B$38,$C$38,CONCATENATE("PX391=", $K$71), CONCATENATE("PX392=",$K$72), CONCATENATE("DS004=",$B$64), "Fill=B")</f>
        <v>203091</v>
      </c>
      <c r="L100">
        <f ca="1">_xll.BDP($B$38,$C$38,CONCATENATE("PX391=", $L$71), CONCATENATE("PX392=",$L$72), CONCATENATE("DS004=",$B$64), "Fill=B")</f>
        <v>198824</v>
      </c>
      <c r="M100">
        <f ca="1">_xll.BDP($B$38,$C$38,CONCATENATE("PX391=", $M$71), CONCATENATE("PX392=",$M$72), CONCATENATE("DS004=",$B$64), "Fill=B")</f>
        <v>214101</v>
      </c>
      <c r="N100">
        <f ca="1">_xll.BDP($B$38,$C$38,CONCATENATE("PX391=", $N$71), CONCATENATE("PX392=",$N$72), CONCATENATE("DS004=",$B$64), "Fill=B")</f>
        <v>193085</v>
      </c>
      <c r="O100">
        <f ca="1">_xll.BDP($B$38,$C$38,CONCATENATE("PX391=", $O$71), CONCATENATE("PX392=",$O$72), CONCATENATE("DS004=",$B$64), "Fill=B")</f>
        <v>201418</v>
      </c>
      <c r="P100">
        <f ca="1">_xll.BDP($B$38,$C$38,CONCATENATE("PX391=", $P$71), CONCATENATE("PX392=",$P$72), CONCATENATE("DS004=",$B$64), "Fill=B")</f>
        <v>215238</v>
      </c>
      <c r="Q100">
        <f ca="1">_xll.BDP($B$38,$C$38,CONCATENATE("PX391=", $Q$71), CONCATENATE("PX392=",$Q$72), CONCATENATE("DS004=",$B$64), "Fill=B")</f>
        <v>219351</v>
      </c>
      <c r="R100">
        <f ca="1">_xll.BDP($B$38,$C$38,CONCATENATE("PX391=", $R$71), CONCATENATE("PX392=",$R$72), CONCATENATE("DS004=",$B$64), "Fill=B")</f>
        <v>213073</v>
      </c>
      <c r="S100">
        <f ca="1">_xll.BDP($B$38,$C$38,CONCATENATE("PX391=", $S$71), CONCATENATE("PX392=",$S$72), CONCATENATE("DS004=",$B$64), "Fill=B")</f>
        <v>256879</v>
      </c>
      <c r="T100">
        <f ca="1">_xll.BDP($B$38,$C$38,CONCATENATE("PX391=", $T$71), CONCATENATE("PX392=",$T$72), CONCATENATE("DS004=",$B$64), "Fill=B")</f>
        <v>226807</v>
      </c>
      <c r="U100">
        <f ca="1">_xll.BDP($B$38,$C$38,CONCATENATE("PX391=", $U$71), CONCATENATE("PX392=",$U$72), CONCATENATE("DS004=",$B$64), "Fill=B")</f>
        <v>223411</v>
      </c>
      <c r="V100">
        <f ca="1">_xll.BDP($B$38,$C$38,CONCATENATE("PX391=", $V$71), CONCATENATE("PX392=",$V$72), CONCATENATE("DS004=",$B$64), "Fill=B")</f>
        <v>216097</v>
      </c>
      <c r="W100">
        <f ca="1">_xll.BDP($B$38,$C$38,CONCATENATE("PX391=", $W$71), CONCATENATE("PX392=",$W$72), CONCATENATE("DS004=",$B$64), "Fill=B")</f>
        <v>196225</v>
      </c>
      <c r="X100">
        <f ca="1">_xll.BDP($B$38,$C$38,CONCATENATE("PX391=", $X$71), CONCATENATE("PX392=",$X$72), CONCATENATE("DS004=",$B$64), "Fill=B")</f>
        <v>255104</v>
      </c>
      <c r="Y100">
        <f ca="1">_xll.BDP($B$38,$C$38,CONCATENATE("PX391=", $Y$71), CONCATENATE("PX392=",$Y$72), CONCATENATE("DS004=",$B$64), "Fill=B")</f>
        <v>264099</v>
      </c>
      <c r="Z100">
        <f ca="1">_xll.BDP($B$38,$C$38,CONCATENATE("PX391=", $Z$71), CONCATENATE("PX392=",$Z$72), CONCATENATE("DS004=",$B$64), "Fill=B")</f>
        <v>264334</v>
      </c>
      <c r="AA100">
        <f ca="1">_xll.BDP($B$38,$C$38,CONCATENATE("PX391=", $AA$71), CONCATENATE("PX392=",$AA$72), CONCATENATE("DS004=",$B$64), "Fill=B")</f>
        <v>230420</v>
      </c>
      <c r="AB100">
        <f ca="1">_xll.BDP($B$38,$C$38,CONCATENATE("PX391=", $AB$71), CONCATENATE("PX392=",$AB$72), CONCATENATE("DS004=",$B$64), "Fill=B")</f>
        <v>226515</v>
      </c>
      <c r="AC100">
        <f ca="1">_xll.BDP($B$38,$C$38,CONCATENATE("PX391=", $AC$71), CONCATENATE("PX392=",$AC$72), CONCATENATE("DS004=",$B$64), "Fill=B")</f>
        <v>246198</v>
      </c>
      <c r="AD100">
        <f ca="1">_xll.BDP($B$38,$C$38,CONCATENATE("PX391=", $AD$71), CONCATENATE("PX392=",$AD$72), CONCATENATE("DS004=",$B$64), "Fill=B")</f>
        <v>250711</v>
      </c>
      <c r="AE100">
        <f ca="1">_xll.BDP($B$38,$C$38,CONCATENATE("PX391=", $AE$71), CONCATENATE("PX392=",$AE$72), CONCATENATE("DS004=",$B$64), "Fill=B")</f>
        <v>234923</v>
      </c>
      <c r="AF100">
        <f ca="1">_xll.BDP($B$38,$C$38,CONCATENATE("PX391=", $AF$71), CONCATENATE("PX392=",$AF$72), CONCATENATE("DS004=",$B$64), "Fill=B")</f>
        <v>205008</v>
      </c>
      <c r="AG100">
        <f ca="1">_xll.BDP($B$38,$C$38,CONCATENATE("PX391=", $AG$71), CONCATENATE("PX392=",$AG$72), CONCATENATE("DS004=",$B$64), "Fill=B")</f>
        <v>234688</v>
      </c>
      <c r="AH100">
        <f ca="1">_xll.BDP($B$38,$C$38,CONCATENATE("PX391=", $AH$71), CONCATENATE("PX392=",$AH$72), CONCATENATE("DS004=",$B$64), "Fill=B")</f>
        <v>244821</v>
      </c>
      <c r="AI100">
        <f ca="1">_xll.BDP($B$38,$C$38,CONCATENATE("PX391=", $AI$71), CONCATENATE("PX392=",$AI$72), CONCATENATE("DS004=",$B$64), "Fill=B")</f>
        <v>231758</v>
      </c>
      <c r="AJ100">
        <f ca="1">_xll.BDP($B$38,$C$38,CONCATENATE("PX391=", $AJ$71), CONCATENATE("PX392=",$AJ$72), CONCATENATE("DS004=",$B$64), "Fill=B")</f>
        <v>230870</v>
      </c>
      <c r="AK100">
        <f ca="1">_xll.BDP($B$38,$C$38,CONCATENATE("PX391=", $AK$71), CONCATENATE("PX392=",$AK$72), CONCATENATE("DS004=",$B$64), "Fill=B")</f>
        <v>225136</v>
      </c>
      <c r="AL100">
        <f ca="1">_xll.BDP($B$38,$C$38,CONCATENATE("PX391=", $AL$71), CONCATENATE("PX392=",$AL$72), CONCATENATE("DS004=",$B$64), "Fill=B")</f>
        <v>248796</v>
      </c>
      <c r="AM100">
        <f ca="1">_xll.BDP($B$38,$C$38,CONCATENATE("PX391=", $AM$71), CONCATENATE("PX392=",$AM$72), CONCATENATE("DS004=",$B$64), "Fill=B")</f>
        <v>182269</v>
      </c>
      <c r="AN100">
        <f ca="1">_xll.BDP($B$38,$C$38,CONCATENATE("PX391=", $AN$71), CONCATENATE("PX392=",$AN$72), CONCATENATE("DS004=",$B$64), "Fill=B")</f>
        <v>216265</v>
      </c>
      <c r="AO100">
        <f ca="1">_xll.BDP($B$38,$C$38,CONCATENATE("PX391=", $AO$71), CONCATENATE("PX392=",$AO$72), CONCATENATE("DS004=",$B$64), "Fill=B")</f>
        <v>209606</v>
      </c>
      <c r="AP100">
        <f ca="1">_xll.BDP($B$38,$C$38,CONCATENATE("PX391=", $AP$71), CONCATENATE("PX392=",$AP$72), CONCATENATE("DS004=",$B$64), "Fill=B")</f>
        <v>207066</v>
      </c>
      <c r="AQ100">
        <f ca="1">_xll.BDP($B$38,$C$38,CONCATENATE("PX391=", $AQ$71), CONCATENATE("PX392=",$AQ$72), CONCATENATE("DS004=",$B$64), "Fill=B")</f>
        <v>216196</v>
      </c>
      <c r="AR100">
        <f ca="1">_xll.BDP($B$38,$C$38,CONCATENATE("PX391=", $AR$71), CONCATENATE("PX392=",$AR$72), CONCATENATE("DS004=",$B$64), "Fill=B")</f>
        <v>195101</v>
      </c>
      <c r="AS100">
        <f ca="1">_xll.BDP($B$38,$C$38,CONCATENATE("PX391=", $AS$71), CONCATENATE("PX392=",$AS$72), CONCATENATE("DS004=",$B$64), "Fill=B")</f>
        <v>208837</v>
      </c>
      <c r="AT100">
        <f ca="1">_xll.BDP($B$38,$C$38,CONCATENATE("PX391=", $AT$71), CONCATENATE("PX392=",$AT$72), CONCATENATE("DS004=",$B$64), "Fill=B")</f>
        <v>176974</v>
      </c>
      <c r="AU100">
        <f ca="1">_xll.BDP($B$38,$C$38,CONCATENATE("PX391=", $AU$71), CONCATENATE("PX392=",$AU$72), CONCATENATE("DS004=",$B$64), "Fill=B")</f>
        <v>156494</v>
      </c>
      <c r="AV100">
        <f ca="1">_xll.BDP($B$38,$C$38,CONCATENATE("PX391=", $AV$71), CONCATENATE("PX392=",$AV$72), CONCATENATE("DS004=",$B$64), "Fill=B")</f>
        <v>169705</v>
      </c>
      <c r="AW100">
        <f ca="1">_xll.BDP($B$38,$C$38,CONCATENATE("PX391=", $AW$71), CONCATENATE("PX392=",$AW$72), CONCATENATE("DS004=",$B$64), "Fill=B")</f>
        <v>176152</v>
      </c>
      <c r="AX100">
        <f ca="1">_xll.BDP($B$38,$C$38,CONCATENATE("PX391=", $AX$71), CONCATENATE("PX392=",$AX$72), CONCATENATE("DS004=",$B$64), "Fill=B")</f>
        <v>185631</v>
      </c>
      <c r="AY100">
        <f ca="1">_xll.BDP($B$38,$C$38,CONCATENATE("PX391=", $AY$71), CONCATENATE("PX392=",$AY$72), CONCATENATE("DS004=",$B$64), "Fill=B")</f>
        <v>197214</v>
      </c>
      <c r="AZ100">
        <f ca="1">_xll.BDP($B$38,$C$38,CONCATENATE("PX391=", $AZ$71), CONCATENATE("PX392=",$AZ$72), CONCATENATE("DS004=",$B$64), "Fill=B")</f>
        <v>211020</v>
      </c>
      <c r="BA100">
        <f ca="1">_xll.BDP($B$38,$C$38,CONCATENATE("PX391=", $BA$71), CONCATENATE("PX392=",$BA$72), CONCATENATE("DS004=",$B$64), "Fill=B")</f>
        <v>187882</v>
      </c>
      <c r="BB100">
        <f ca="1">_xll.BDP($B$38,$C$38,CONCATENATE("PX391=", $BB$71), CONCATENATE("PX392=",$BB$72), CONCATENATE("DS004=",$B$64), "Fill=B")</f>
        <v>184928</v>
      </c>
      <c r="BC100">
        <f ca="1">_xll.BDP($B$38,$C$38,CONCATENATE("PX391=", $BC$71), CONCATENATE("PX392=",$BC$72), CONCATENATE("DS004=",$B$64), "Fill=B")</f>
        <v>217360</v>
      </c>
      <c r="BD100">
        <f ca="1">_xll.BDP($B$38,$C$38,CONCATENATE("PX391=", $BD$71), CONCATENATE("PX392=",$BD$72), CONCATENATE("DS004=",$B$64), "Fill=B")</f>
        <v>194948</v>
      </c>
      <c r="BE100">
        <f ca="1">_xll.BDP($B$38,$C$38,CONCATENATE("PX391=", $BE$71), CONCATENATE("PX392=",$BE$72), CONCATENATE("DS004=",$B$64), "Fill=B")</f>
        <v>233110</v>
      </c>
      <c r="BF100">
        <f ca="1">_xll.BDP($B$38,$C$38,CONCATENATE("PX391=", $BF$71), CONCATENATE("PX392=",$BF$72), CONCATENATE("DS004=",$B$64), "Fill=B")</f>
        <v>210542</v>
      </c>
      <c r="BG100">
        <f ca="1">_xll.BDP($B$38,$C$38,CONCATENATE("PX391=", $BG$71), CONCATENATE("PX392=",$BG$72), CONCATENATE("DS004=",$B$64), "Fill=B")</f>
        <v>200406</v>
      </c>
      <c r="BH100">
        <f ca="1">_xll.BDP($B$38,$C$38,CONCATENATE("PX391=", $BH$71), CONCATENATE("PX392=",$BH$72), CONCATENATE("DS004=",$B$64), "Fill=B")</f>
        <v>204457</v>
      </c>
      <c r="BI100">
        <f ca="1">_xll.BDP($B$38,$C$38,CONCATENATE("PX391=", $BI$71), CONCATENATE("PX392=",$BI$72), CONCATENATE("DS004=",$B$64), "Fill=B")</f>
        <v>204621</v>
      </c>
      <c r="BJ100">
        <f ca="1">_xll.BDP($B$38,$C$38,CONCATENATE("PX391=", $BJ$71), CONCATENATE("PX392=",$BJ$72), CONCATENATE("DS004=",$B$64), "Fill=B")</f>
        <v>214113</v>
      </c>
      <c r="BK100">
        <f ca="1">_xll.BDP($B$38,$C$38,CONCATENATE("PX391=", $BK$71), CONCATENATE("PX392=",$BK$72), CONCATENATE("DS004=",$B$64), "Fill=B")</f>
        <v>178131</v>
      </c>
      <c r="BL100">
        <f ca="1">_xll.BDP($B$38,$C$38,CONCATENATE("PX391=", $BL$71), CONCATENATE("PX392=",$BL$72), CONCATENATE("DS004=",$B$64), "Fill=B")</f>
        <v>205689</v>
      </c>
      <c r="BM100">
        <f ca="1">_xll.BDP($B$38,$C$38,CONCATENATE("PX391=", $BM$71), CONCATENATE("PX392=",$BM$72), CONCATENATE("DS004=",$B$64), "Fill=B")</f>
        <v>199701</v>
      </c>
      <c r="BN100">
        <f ca="1">_xll.BDP($B$38,$C$38,CONCATENATE("PX391=", $BN$71), CONCATENATE("PX392=",$BN$72), CONCATENATE("DS004=",$B$64), "Fill=B")</f>
        <v>188583</v>
      </c>
      <c r="BO100">
        <f ca="1">_xll.BDP($B$38,$C$38,CONCATENATE("PX391=", $BO$71), CONCATENATE("PX392=",$BO$72), CONCATENATE("DS004=",$B$64), "Fill=B")</f>
        <v>217035</v>
      </c>
      <c r="BP100">
        <f ca="1">_xll.BDP($B$38,$C$38,CONCATENATE("PX391=", $BP$71), CONCATENATE("PX392=",$BP$72), CONCATENATE("DS004=",$B$64), "Fill=B")</f>
        <v>173226</v>
      </c>
      <c r="BQ100">
        <f ca="1">_xll.BDP($B$38,$C$38,CONCATENATE("PX391=", $BQ$71), CONCATENATE("PX392=",$BQ$72), CONCATENATE("DS004=",$B$64), "Fill=B")</f>
        <v>206541</v>
      </c>
      <c r="BR100">
        <f ca="1">_xll.BDP($B$38,$C$38,CONCATENATE("PX391=", $BR$71), CONCATENATE("PX392=",$BR$72), CONCATENATE("DS004=",$B$64), "Fill=B")</f>
        <v>200594</v>
      </c>
      <c r="BS100">
        <f ca="1">_xll.BDP($B$38,$C$38,CONCATENATE("PX391=", $BS$71), CONCATENATE("PX392=",$BS$72), CONCATENATE("DS004=",$B$64), "Fill=B")</f>
        <v>201163</v>
      </c>
      <c r="BT100">
        <f ca="1">_xll.BDP($B$38,$C$38,CONCATENATE("PX391=", $BT$71), CONCATENATE("PX392=",$BT$72), CONCATENATE("DS004=",$B$64), "Fill=B")</f>
        <v>197437</v>
      </c>
      <c r="BU100">
        <f ca="1">_xll.BDP($B$38,$C$38,CONCATENATE("PX391=", $BU$71), CONCATENATE("PX392=",$BU$72), CONCATENATE("DS004=",$B$64), "Fill=B")</f>
        <v>196439</v>
      </c>
      <c r="BV100">
        <f ca="1">_xll.BDP($B$38,$C$38,CONCATENATE("PX391=", $BV$71), CONCATENATE("PX392=",$BV$72), CONCATENATE("DS004=",$B$64), "Fill=B")</f>
        <v>199659</v>
      </c>
      <c r="BW100">
        <f ca="1">_xll.BDP($B$38,$C$38,CONCATENATE("PX391=", $BW$71), CONCATENATE("PX392=",$BW$72), CONCATENATE("DS004=",$B$64), "Fill=B")</f>
        <v>168480</v>
      </c>
      <c r="BX100">
        <f ca="1">_xll.BDP($B$38,$C$38,CONCATENATE("PX391=", $BX$71), CONCATENATE("PX392=",$BX$72), CONCATENATE("DS004=",$B$64), "Fill=B")</f>
        <v>167398</v>
      </c>
      <c r="BY100">
        <f ca="1">_xll.BDP($B$38,$C$38,CONCATENATE("PX391=", $BY$71), CONCATENATE("PX392=",$BY$72), CONCATENATE("DS004=",$B$64), "Fill=B")</f>
        <v>182884</v>
      </c>
      <c r="BZ100">
        <f ca="1">_xll.BDP($B$38,$C$38,CONCATENATE("PX391=", $BZ$71), CONCATENATE("PX392=",$BZ$72), CONCATENATE("DS004=",$B$64), "Fill=B")</f>
        <v>163592</v>
      </c>
      <c r="CA100">
        <f ca="1">_xll.BDP($B$38,$C$38,CONCATENATE("PX391=", $CA$71), CONCATENATE("PX392=",$CA$72), CONCATENATE("DS004=",$B$64), "Fill=B")</f>
        <v>182827</v>
      </c>
      <c r="CB100">
        <f ca="1">_xll.BDP($B$38,$C$38,CONCATENATE("PX391=", $CB$71), CONCATENATE("PX392=",$CB$72), CONCATENATE("DS004=",$B$64), "Fill=B")</f>
        <v>179856</v>
      </c>
      <c r="CC100">
        <f ca="1">_xll.BDP($B$38,$C$38,CONCATENATE("PX391=", $CC$71), CONCATENATE("PX392=",$CC$72), CONCATENATE("DS004=",$B$64), "Fill=B")</f>
        <v>177728</v>
      </c>
      <c r="CD100">
        <f ca="1">_xll.BDP($B$38,$C$38,CONCATENATE("PX391=", $CD$71), CONCATENATE("PX392=",$CD$72), CONCATENATE("DS004=",$B$64), "Fill=B")</f>
        <v>182411</v>
      </c>
      <c r="CE100">
        <f ca="1">_xll.BDP($B$38,$C$38,CONCATENATE("PX391=", $CE$71), CONCATENATE("PX392=",$CE$72), CONCATENATE("DS004=",$B$64), "Fill=B")</f>
        <v>183237</v>
      </c>
      <c r="CF100">
        <f ca="1">_xll.BDP($B$38,$C$38,CONCATENATE("PX391=", $CF$71), CONCATENATE("PX392=",$CF$72), CONCATENATE("DS004=",$B$64), "Fill=B")</f>
        <v>182452</v>
      </c>
      <c r="CG100">
        <f ca="1">_xll.BDP($B$38,$C$38,CONCATENATE("PX391=", $CG$71), CONCATENATE("PX392=",$CG$72), CONCATENATE("DS004=",$B$64), "Fill=B")</f>
        <v>189315</v>
      </c>
      <c r="CH100">
        <f ca="1">_xll.BDP($B$38,$C$38,CONCATENATE("PX391=", $CH$71), CONCATENATE("PX392=",$CH$72), CONCATENATE("DS004=",$B$64), "Fill=B")</f>
        <v>192411</v>
      </c>
      <c r="CI100">
        <f ca="1">_xll.BDP($B$38,$C$38,CONCATENATE("PX391=", $CI$71), CONCATENATE("PX392=",$CI$72), CONCATENATE("DS004=",$B$64), "Fill=B")</f>
        <v>175820</v>
      </c>
      <c r="CJ100">
        <f ca="1">_xll.BDP($B$38,$C$38,CONCATENATE("PX391=", $CJ$71), CONCATENATE("PX392=",$CJ$72), CONCATENATE("DS004=",$B$64), "Fill=B")</f>
        <v>185018</v>
      </c>
      <c r="CK100">
        <f ca="1">_xll.BDP($B$38,$C$38,CONCATENATE("PX391=", $CK$71), CONCATENATE("PX392=",$CK$72), CONCATENATE("DS004=",$B$64), "Fill=B")</f>
        <v>164480</v>
      </c>
      <c r="CL100" t="str">
        <f>""</f>
        <v/>
      </c>
      <c r="CM100" t="str">
        <f>""</f>
        <v/>
      </c>
      <c r="CN100" t="str">
        <f>""</f>
        <v/>
      </c>
      <c r="CO100" t="str">
        <f>""</f>
        <v/>
      </c>
      <c r="CP100" t="str">
        <f>""</f>
        <v/>
      </c>
      <c r="CQ100" t="str">
        <f>""</f>
        <v/>
      </c>
      <c r="CR100" t="str">
        <f>""</f>
        <v/>
      </c>
      <c r="CS100" t="str">
        <f>""</f>
        <v/>
      </c>
      <c r="CT100" t="str">
        <f>""</f>
        <v/>
      </c>
      <c r="CU100" t="str">
        <f>""</f>
        <v/>
      </c>
      <c r="CV100" t="str">
        <f>""</f>
        <v/>
      </c>
      <c r="CW100" t="str">
        <f>""</f>
        <v/>
      </c>
      <c r="CX100" t="str">
        <f>""</f>
        <v/>
      </c>
      <c r="CY100" t="str">
        <f>""</f>
        <v/>
      </c>
      <c r="CZ100" t="str">
        <f>""</f>
        <v/>
      </c>
      <c r="DA100" t="str">
        <f>""</f>
        <v/>
      </c>
      <c r="DB100" t="str">
        <f>""</f>
        <v/>
      </c>
      <c r="DC100" t="str">
        <f>""</f>
        <v/>
      </c>
      <c r="DD100" t="str">
        <f>""</f>
        <v/>
      </c>
      <c r="DE100" t="str">
        <f>""</f>
        <v/>
      </c>
      <c r="DF100" t="str">
        <f>""</f>
        <v/>
      </c>
      <c r="DG100" t="str">
        <f>""</f>
        <v/>
      </c>
      <c r="DH100" t="str">
        <f>""</f>
        <v/>
      </c>
      <c r="DI100" t="str">
        <f>""</f>
        <v/>
      </c>
      <c r="DJ100" t="str">
        <f>""</f>
        <v/>
      </c>
      <c r="DK100" t="str">
        <f>""</f>
        <v/>
      </c>
      <c r="DL100" t="str">
        <f>""</f>
        <v/>
      </c>
      <c r="DM100" t="str">
        <f>""</f>
        <v/>
      </c>
      <c r="DN100" t="str">
        <f>""</f>
        <v/>
      </c>
      <c r="DO100" t="str">
        <f>""</f>
        <v/>
      </c>
      <c r="DP100" t="str">
        <f>""</f>
        <v/>
      </c>
      <c r="DQ100" t="str">
        <f>""</f>
        <v/>
      </c>
      <c r="DR100" t="str">
        <f>""</f>
        <v/>
      </c>
      <c r="DS100" t="str">
        <f>""</f>
        <v/>
      </c>
      <c r="DT100" t="str">
        <f>""</f>
        <v/>
      </c>
      <c r="DU100" t="str">
        <f>""</f>
        <v/>
      </c>
      <c r="DV100" t="str">
        <f>""</f>
        <v/>
      </c>
      <c r="DW100" t="str">
        <f>""</f>
        <v/>
      </c>
      <c r="DX100" t="str">
        <f>""</f>
        <v/>
      </c>
      <c r="DY100" t="str">
        <f>""</f>
        <v/>
      </c>
      <c r="DZ100" t="str">
        <f>""</f>
        <v/>
      </c>
      <c r="EA100" t="str">
        <f>""</f>
        <v/>
      </c>
      <c r="EB100" t="str">
        <f>""</f>
        <v/>
      </c>
      <c r="EC100" t="str">
        <f>""</f>
        <v/>
      </c>
      <c r="ED100" t="str">
        <f>""</f>
        <v/>
      </c>
      <c r="EE100" t="str">
        <f>""</f>
        <v/>
      </c>
      <c r="EF100" t="str">
        <f>""</f>
        <v/>
      </c>
      <c r="EG100" t="str">
        <f>""</f>
        <v/>
      </c>
      <c r="EH100" t="str">
        <f>""</f>
        <v/>
      </c>
      <c r="EI100" t="str">
        <f>""</f>
        <v/>
      </c>
      <c r="EJ100" t="str">
        <f>""</f>
        <v/>
      </c>
      <c r="EK100" t="str">
        <f>""</f>
        <v/>
      </c>
      <c r="EL100" t="str">
        <f>""</f>
        <v/>
      </c>
      <c r="EM100" t="str">
        <f>""</f>
        <v/>
      </c>
      <c r="EN100" t="str">
        <f>""</f>
        <v/>
      </c>
      <c r="EO100" t="str">
        <f>""</f>
        <v/>
      </c>
      <c r="EP100" t="str">
        <f>""</f>
        <v/>
      </c>
      <c r="EQ100" t="str">
        <f>""</f>
        <v/>
      </c>
      <c r="ER100" t="str">
        <f>""</f>
        <v/>
      </c>
      <c r="ES100" t="str">
        <f>""</f>
        <v/>
      </c>
      <c r="ET100" t="str">
        <f>""</f>
        <v/>
      </c>
      <c r="EU100" t="str">
        <f>""</f>
        <v/>
      </c>
      <c r="EV100" t="str">
        <f>""</f>
        <v/>
      </c>
      <c r="EW100" t="str">
        <f>""</f>
        <v/>
      </c>
      <c r="EX100" t="str">
        <f>""</f>
        <v/>
      </c>
      <c r="EY100" t="str">
        <f>""</f>
        <v/>
      </c>
      <c r="EZ100" t="str">
        <f>""</f>
        <v/>
      </c>
      <c r="FA100" t="str">
        <f>""</f>
        <v/>
      </c>
      <c r="FB100" t="str">
        <f>""</f>
        <v/>
      </c>
      <c r="FC100" t="str">
        <f>""</f>
        <v/>
      </c>
      <c r="FD100" t="str">
        <f>""</f>
        <v/>
      </c>
      <c r="FE100" t="str">
        <f>""</f>
        <v/>
      </c>
      <c r="FF100" t="str">
        <f>""</f>
        <v/>
      </c>
      <c r="FG100" t="str">
        <f>""</f>
        <v/>
      </c>
      <c r="FH100" t="str">
        <f>""</f>
        <v/>
      </c>
      <c r="FI100" t="str">
        <f>""</f>
        <v/>
      </c>
      <c r="FJ100" t="str">
        <f>""</f>
        <v/>
      </c>
      <c r="FK100" t="str">
        <f>""</f>
        <v/>
      </c>
      <c r="FL100" t="str">
        <f>""</f>
        <v/>
      </c>
      <c r="FM100" t="str">
        <f>""</f>
        <v/>
      </c>
      <c r="FN100" t="str">
        <f>""</f>
        <v/>
      </c>
      <c r="FO100" t="str">
        <f>""</f>
        <v/>
      </c>
      <c r="FP100" t="str">
        <f>""</f>
        <v/>
      </c>
      <c r="FQ100" t="str">
        <f>""</f>
        <v/>
      </c>
    </row>
    <row r="101" spans="1:173" x14ac:dyDescent="0.25">
      <c r="A101" t="str">
        <f>$A$39</f>
        <v xml:space="preserve">    Port of Prince Rupert (TEU)</v>
      </c>
      <c r="B101" t="str">
        <f>$B$39</f>
        <v>PRPSTTTE Index</v>
      </c>
      <c r="C101" t="str">
        <f>$C$39</f>
        <v>PX385</v>
      </c>
      <c r="D101" t="str">
        <f>$D$39</f>
        <v>INTERVAL_SUM</v>
      </c>
      <c r="E101" t="str">
        <f>$E$39</f>
        <v>Dynamic</v>
      </c>
      <c r="F101" t="str">
        <f ca="1">_xll.BDP($B$39,$C$39,CONCATENATE("PX391=", $F$71), CONCATENATE("PX392=",$F$72), CONCATENATE("DS004=",$B$64), "Fill=B")</f>
        <v/>
      </c>
      <c r="G101" t="str">
        <f ca="1">_xll.BDP($B$39,$C$39,CONCATENATE("PX391=", $G$71), CONCATENATE("PX392=",$G$72), CONCATENATE("DS004=",$B$64), "Fill=B")</f>
        <v/>
      </c>
      <c r="H101">
        <f ca="1">_xll.BDP($B$39,$C$39,CONCATENATE("PX391=", $H$71), CONCATENATE("PX392=",$H$72), CONCATENATE("DS004=",$B$64), "Fill=B")</f>
        <v>65899</v>
      </c>
      <c r="I101">
        <f ca="1">_xll.BDP($B$39,$C$39,CONCATENATE("PX391=", $I$71), CONCATENATE("PX392=",$I$72), CONCATENATE("DS004=",$B$64), "Fill=B")</f>
        <v>47270</v>
      </c>
      <c r="J101">
        <f ca="1">_xll.BDP($B$39,$C$39,CONCATENATE("PX391=", $J$71), CONCATENATE("PX392=",$J$72), CONCATENATE("DS004=",$B$64), "Fill=B")</f>
        <v>48499</v>
      </c>
      <c r="K101">
        <f ca="1">_xll.BDP($B$39,$C$39,CONCATENATE("PX391=", $K$71), CONCATENATE("PX392=",$K$72), CONCATENATE("DS004=",$B$64), "Fill=B")</f>
        <v>64865</v>
      </c>
      <c r="L101">
        <f ca="1">_xll.BDP($B$39,$C$39,CONCATENATE("PX391=", $L$71), CONCATENATE("PX392=",$L$72), CONCATENATE("DS004=",$B$64), "Fill=B")</f>
        <v>78458</v>
      </c>
      <c r="M101">
        <f ca="1">_xll.BDP($B$39,$C$39,CONCATENATE("PX391=", $M$71), CONCATENATE("PX392=",$M$72), CONCATENATE("DS004=",$B$64), "Fill=B")</f>
        <v>51537</v>
      </c>
      <c r="N101">
        <f ca="1">_xll.BDP($B$39,$C$39,CONCATENATE("PX391=", $N$71), CONCATENATE("PX392=",$N$72), CONCATENATE("DS004=",$B$64), "Fill=B")</f>
        <v>63401</v>
      </c>
      <c r="O101">
        <f ca="1">_xll.BDP($B$39,$C$39,CONCATENATE("PX391=", $O$71), CONCATENATE("PX392=",$O$72), CONCATENATE("DS004=",$B$64), "Fill=B")</f>
        <v>47578</v>
      </c>
      <c r="P101">
        <f ca="1">_xll.BDP($B$39,$C$39,CONCATENATE("PX391=", $P$71), CONCATENATE("PX392=",$P$72), CONCATENATE("DS004=",$B$64), "Fill=B")</f>
        <v>76564</v>
      </c>
      <c r="Q101">
        <f ca="1">_xll.BDP($B$39,$C$39,CONCATENATE("PX391=", $Q$71), CONCATENATE("PX392=",$Q$72), CONCATENATE("DS004=",$B$64), "Fill=B")</f>
        <v>86765</v>
      </c>
      <c r="R101">
        <f ca="1">_xll.BDP($B$39,$C$39,CONCATENATE("PX391=", $R$71), CONCATENATE("PX392=",$R$72), CONCATENATE("DS004=",$B$64), "Fill=B")</f>
        <v>72388</v>
      </c>
      <c r="S101">
        <f ca="1">_xll.BDP($B$39,$C$39,CONCATENATE("PX391=", $S$71), CONCATENATE("PX392=",$S$72), CONCATENATE("DS004=",$B$64), "Fill=B")</f>
        <v>85930</v>
      </c>
      <c r="T101">
        <f ca="1">_xll.BDP($B$39,$C$39,CONCATENATE("PX391=", $T$71), CONCATENATE("PX392=",$T$72), CONCATENATE("DS004=",$B$64), "Fill=B")</f>
        <v>89292</v>
      </c>
      <c r="U101">
        <f ca="1">_xll.BDP($B$39,$C$39,CONCATENATE("PX391=", $U$71), CONCATENATE("PX392=",$U$72), CONCATENATE("DS004=",$B$64), "Fill=B")</f>
        <v>114042</v>
      </c>
      <c r="V101">
        <f ca="1">_xll.BDP($B$39,$C$39,CONCATENATE("PX391=", $V$71), CONCATENATE("PX392=",$V$72), CONCATENATE("DS004=",$B$64), "Fill=B")</f>
        <v>65347</v>
      </c>
      <c r="W101">
        <f ca="1">_xll.BDP($B$39,$C$39,CONCATENATE("PX391=", $W$71), CONCATENATE("PX392=",$W$72), CONCATENATE("DS004=",$B$64), "Fill=B")</f>
        <v>84384</v>
      </c>
      <c r="X101">
        <f ca="1">_xll.BDP($B$39,$C$39,CONCATENATE("PX391=", $X$71), CONCATENATE("PX392=",$X$72), CONCATENATE("DS004=",$B$64), "Fill=B")</f>
        <v>86559</v>
      </c>
      <c r="Y101">
        <f ca="1">_xll.BDP($B$39,$C$39,CONCATENATE("PX391=", $Y$71), CONCATENATE("PX392=",$Y$72), CONCATENATE("DS004=",$B$64), "Fill=B")</f>
        <v>100540</v>
      </c>
      <c r="Z101">
        <f ca="1">_xll.BDP($B$39,$C$39,CONCATENATE("PX391=", $Z$71), CONCATENATE("PX392=",$Z$72), CONCATENATE("DS004=",$B$64), "Fill=B")</f>
        <v>95193</v>
      </c>
      <c r="AA101">
        <f ca="1">_xll.BDP($B$39,$C$39,CONCATENATE("PX391=", $AA$71), CONCATENATE("PX392=",$AA$72), CONCATENATE("DS004=",$B$64), "Fill=B")</f>
        <v>75777</v>
      </c>
      <c r="AB101">
        <f ca="1">_xll.BDP($B$39,$C$39,CONCATENATE("PX391=", $AB$71), CONCATENATE("PX392=",$AB$72), CONCATENATE("DS004=",$B$64), "Fill=B")</f>
        <v>79425</v>
      </c>
      <c r="AC101">
        <f ca="1">_xll.BDP($B$39,$C$39,CONCATENATE("PX391=", $AC$71), CONCATENATE("PX392=",$AC$72), CONCATENATE("DS004=",$B$64), "Fill=B")</f>
        <v>110030</v>
      </c>
      <c r="AD101">
        <f ca="1">_xll.BDP($B$39,$C$39,CONCATENATE("PX391=", $AD$71), CONCATENATE("PX392=",$AD$72), CONCATENATE("DS004=",$B$64), "Fill=B")</f>
        <v>61231</v>
      </c>
      <c r="AE101">
        <f ca="1">_xll.BDP($B$39,$C$39,CONCATENATE("PX391=", $AE$71), CONCATENATE("PX392=",$AE$72), CONCATENATE("DS004=",$B$64), "Fill=B")</f>
        <v>110132</v>
      </c>
      <c r="AF101">
        <f ca="1">_xll.BDP($B$39,$C$39,CONCATENATE("PX391=", $AF$71), CONCATENATE("PX392=",$AF$72), CONCATENATE("DS004=",$B$64), "Fill=B")</f>
        <v>84786</v>
      </c>
      <c r="AG101">
        <f ca="1">_xll.BDP($B$39,$C$39,CONCATENATE("PX391=", $AG$71), CONCATENATE("PX392=",$AG$72), CONCATENATE("DS004=",$B$64), "Fill=B")</f>
        <v>89000</v>
      </c>
      <c r="AH101">
        <f ca="1">_xll.BDP($B$39,$C$39,CONCATENATE("PX391=", $AH$71), CONCATENATE("PX392=",$AH$72), CONCATENATE("DS004=",$B$64), "Fill=B")</f>
        <v>107948</v>
      </c>
      <c r="AI101">
        <f ca="1">_xll.BDP($B$39,$C$39,CONCATENATE("PX391=", $AI$71), CONCATENATE("PX392=",$AI$72), CONCATENATE("DS004=",$B$64), "Fill=B")</f>
        <v>57145</v>
      </c>
      <c r="AJ101">
        <f ca="1">_xll.BDP($B$39,$C$39,CONCATENATE("PX391=", $AJ$71), CONCATENATE("PX392=",$AJ$72), CONCATENATE("DS004=",$B$64), "Fill=B")</f>
        <v>103885</v>
      </c>
      <c r="AK101">
        <f ca="1">_xll.BDP($B$39,$C$39,CONCATENATE("PX391=", $AK$71), CONCATENATE("PX392=",$AK$72), CONCATENATE("DS004=",$B$64), "Fill=B")</f>
        <v>59115</v>
      </c>
      <c r="AL101">
        <f ca="1">_xll.BDP($B$39,$C$39,CONCATENATE("PX391=", $AL$71), CONCATENATE("PX392=",$AL$72), CONCATENATE("DS004=",$B$64), "Fill=B")</f>
        <v>100445</v>
      </c>
      <c r="AM101">
        <f ca="1">_xll.BDP($B$39,$C$39,CONCATENATE("PX391=", $AM$71), CONCATENATE("PX392=",$AM$72), CONCATENATE("DS004=",$B$64), "Fill=B")</f>
        <v>72055</v>
      </c>
      <c r="AN101">
        <f ca="1">_xll.BDP($B$39,$C$39,CONCATENATE("PX391=", $AN$71), CONCATENATE("PX392=",$AN$72), CONCATENATE("DS004=",$B$64), "Fill=B")</f>
        <v>99066</v>
      </c>
      <c r="AO101">
        <f ca="1">_xll.BDP($B$39,$C$39,CONCATENATE("PX391=", $AO$71), CONCATENATE("PX392=",$AO$72), CONCATENATE("DS004=",$B$64), "Fill=B")</f>
        <v>110077</v>
      </c>
      <c r="AP101">
        <f ca="1">_xll.BDP($B$39,$C$39,CONCATENATE("PX391=", $AP$71), CONCATENATE("PX392=",$AP$72), CONCATENATE("DS004=",$B$64), "Fill=B")</f>
        <v>95771</v>
      </c>
      <c r="AQ101">
        <f ca="1">_xll.BDP($B$39,$C$39,CONCATENATE("PX391=", $AQ$71), CONCATENATE("PX392=",$AQ$72), CONCATENATE("DS004=",$B$64), "Fill=B")</f>
        <v>120987</v>
      </c>
      <c r="AR101">
        <f ca="1">_xll.BDP($B$39,$C$39,CONCATENATE("PX391=", $AR$71), CONCATENATE("PX392=",$AR$72), CONCATENATE("DS004=",$B$64), "Fill=B")</f>
        <v>110083</v>
      </c>
      <c r="AS101">
        <f ca="1">_xll.BDP($B$39,$C$39,CONCATENATE("PX391=", $AS$71), CONCATENATE("PX392=",$AS$72), CONCATENATE("DS004=",$B$64), "Fill=B")</f>
        <v>118936</v>
      </c>
      <c r="AT101">
        <f ca="1">_xll.BDP($B$39,$C$39,CONCATENATE("PX391=", $AT$71), CONCATENATE("PX392=",$AT$72), CONCATENATE("DS004=",$B$64), "Fill=B")</f>
        <v>105104</v>
      </c>
      <c r="AU101">
        <f ca="1">_xll.BDP($B$39,$C$39,CONCATENATE("PX391=", $AU$71), CONCATENATE("PX392=",$AU$72), CONCATENATE("DS004=",$B$64), "Fill=B")</f>
        <v>81915</v>
      </c>
      <c r="AV101">
        <f ca="1">_xll.BDP($B$39,$C$39,CONCATENATE("PX391=", $AV$71), CONCATENATE("PX392=",$AV$72), CONCATENATE("DS004=",$B$64), "Fill=B")</f>
        <v>68472</v>
      </c>
      <c r="AW101">
        <f ca="1">_xll.BDP($B$39,$C$39,CONCATENATE("PX391=", $AW$71), CONCATENATE("PX392=",$AW$72), CONCATENATE("DS004=",$B$64), "Fill=B")</f>
        <v>92047</v>
      </c>
      <c r="AX101">
        <f ca="1">_xll.BDP($B$39,$C$39,CONCATENATE("PX391=", $AX$71), CONCATENATE("PX392=",$AX$72), CONCATENATE("DS004=",$B$64), "Fill=B")</f>
        <v>56162</v>
      </c>
      <c r="AY101">
        <f ca="1">_xll.BDP($B$39,$C$39,CONCATENATE("PX391=", $AY$71), CONCATENATE("PX392=",$AY$72), CONCATENATE("DS004=",$B$64), "Fill=B")</f>
        <v>100340</v>
      </c>
      <c r="AZ101">
        <f ca="1">_xll.BDP($B$39,$C$39,CONCATENATE("PX391=", $AZ$71), CONCATENATE("PX392=",$AZ$72), CONCATENATE("DS004=",$B$64), "Fill=B")</f>
        <v>81487</v>
      </c>
      <c r="BA101">
        <f ca="1">_xll.BDP($B$39,$C$39,CONCATENATE("PX391=", $BA$71), CONCATENATE("PX392=",$BA$72), CONCATENATE("DS004=",$B$64), "Fill=B")</f>
        <v>107088</v>
      </c>
      <c r="BB101">
        <f ca="1">_xll.BDP($B$39,$C$39,CONCATENATE("PX391=", $BB$71), CONCATENATE("PX392=",$BB$72), CONCATENATE("DS004=",$B$64), "Fill=B")</f>
        <v>105545</v>
      </c>
      <c r="BC101">
        <f ca="1">_xll.BDP($B$39,$C$39,CONCATENATE("PX391=", $BC$71), CONCATENATE("PX392=",$BC$72), CONCATENATE("DS004=",$B$64), "Fill=B")</f>
        <v>101674</v>
      </c>
      <c r="BD101">
        <f ca="1">_xll.BDP($B$39,$C$39,CONCATENATE("PX391=", $BD$71), CONCATENATE("PX392=",$BD$72), CONCATENATE("DS004=",$B$64), "Fill=B")</f>
        <v>113800</v>
      </c>
      <c r="BE101">
        <f ca="1">_xll.BDP($B$39,$C$39,CONCATENATE("PX391=", $BE$71), CONCATENATE("PX392=",$BE$72), CONCATENATE("DS004=",$B$64), "Fill=B")</f>
        <v>123261</v>
      </c>
      <c r="BF101">
        <f ca="1">_xll.BDP($B$39,$C$39,CONCATENATE("PX391=", $BF$71), CONCATENATE("PX392=",$BF$72), CONCATENATE("DS004=",$B$64), "Fill=B")</f>
        <v>109315</v>
      </c>
      <c r="BG101">
        <f ca="1">_xll.BDP($B$39,$C$39,CONCATENATE("PX391=", $BG$71), CONCATENATE("PX392=",$BG$72), CONCATENATE("DS004=",$B$64), "Fill=B")</f>
        <v>95677</v>
      </c>
      <c r="BH101">
        <f ca="1">_xll.BDP($B$39,$C$39,CONCATENATE("PX391=", $BH$71), CONCATENATE("PX392=",$BH$72), CONCATENATE("DS004=",$B$64), "Fill=B")</f>
        <v>108351</v>
      </c>
      <c r="BI101">
        <f ca="1">_xll.BDP($B$39,$C$39,CONCATENATE("PX391=", $BI$71), CONCATENATE("PX392=",$BI$72), CONCATENATE("DS004=",$B$64), "Fill=B")</f>
        <v>97804</v>
      </c>
      <c r="BJ101">
        <f ca="1">_xll.BDP($B$39,$C$39,CONCATENATE("PX391=", $BJ$71), CONCATENATE("PX392=",$BJ$72), CONCATENATE("DS004=",$B$64), "Fill=B")</f>
        <v>86403</v>
      </c>
      <c r="BK101">
        <f ca="1">_xll.BDP($B$39,$C$39,CONCATENATE("PX391=", $BK$71), CONCATENATE("PX392=",$BK$72), CONCATENATE("DS004=",$B$64), "Fill=B")</f>
        <v>60980</v>
      </c>
      <c r="BL101">
        <f ca="1">_xll.BDP($B$39,$C$39,CONCATENATE("PX391=", $BL$71), CONCATENATE("PX392=",$BL$72), CONCATENATE("DS004=",$B$64), "Fill=B")</f>
        <v>100868</v>
      </c>
      <c r="BM101">
        <f ca="1">_xll.BDP($B$39,$C$39,CONCATENATE("PX391=", $BM$71), CONCATENATE("PX392=",$BM$72), CONCATENATE("DS004=",$B$64), "Fill=B")</f>
        <v>90830</v>
      </c>
      <c r="BN101">
        <f ca="1">_xll.BDP($B$39,$C$39,CONCATENATE("PX391=", $BN$71), CONCATENATE("PX392=",$BN$72), CONCATENATE("DS004=",$B$64), "Fill=B")</f>
        <v>81666</v>
      </c>
      <c r="BO101">
        <f ca="1">_xll.BDP($B$39,$C$39,CONCATENATE("PX391=", $BO$71), CONCATENATE("PX392=",$BO$72), CONCATENATE("DS004=",$B$64), "Fill=B")</f>
        <v>92316</v>
      </c>
      <c r="BP101">
        <f ca="1">_xll.BDP($B$39,$C$39,CONCATENATE("PX391=", $BP$71), CONCATENATE("PX392=",$BP$72), CONCATENATE("DS004=",$B$64), "Fill=B")</f>
        <v>105059.8</v>
      </c>
      <c r="BQ101">
        <f ca="1">_xll.BDP($B$39,$C$39,CONCATENATE("PX391=", $BQ$71), CONCATENATE("PX392=",$BQ$72), CONCATENATE("DS004=",$B$64), "Fill=B")</f>
        <v>74822</v>
      </c>
      <c r="BR101">
        <f ca="1">_xll.BDP($B$39,$C$39,CONCATENATE("PX391=", $BR$71), CONCATENATE("PX392=",$BR$72), CONCATENATE("DS004=",$B$64), "Fill=B")</f>
        <v>88490</v>
      </c>
      <c r="BS101">
        <f ca="1">_xll.BDP($B$39,$C$39,CONCATENATE("PX391=", $BS$71), CONCATENATE("PX392=",$BS$72), CONCATENATE("DS004=",$B$64), "Fill=B")</f>
        <v>91922</v>
      </c>
      <c r="BT101">
        <f ca="1">_xll.BDP($B$39,$C$39,CONCATENATE("PX391=", $BT$71), CONCATENATE("PX392=",$BT$72), CONCATENATE("DS004=",$B$64), "Fill=B")</f>
        <v>89950</v>
      </c>
      <c r="BU101">
        <f ca="1">_xll.BDP($B$39,$C$39,CONCATENATE("PX391=", $BU$71), CONCATENATE("PX392=",$BU$72), CONCATENATE("DS004=",$B$64), "Fill=B")</f>
        <v>81481</v>
      </c>
      <c r="BV101">
        <f ca="1">_xll.BDP($B$39,$C$39,CONCATENATE("PX391=", $BV$71), CONCATENATE("PX392=",$BV$72), CONCATENATE("DS004=",$B$64), "Fill=B")</f>
        <v>78953</v>
      </c>
      <c r="BW101">
        <f ca="1">_xll.BDP($B$39,$C$39,CONCATENATE("PX391=", $BW$71), CONCATENATE("PX392=",$BW$72), CONCATENATE("DS004=",$B$64), "Fill=B")</f>
        <v>76754</v>
      </c>
      <c r="BX101">
        <f ca="1">_xll.BDP($B$39,$C$39,CONCATENATE("PX391=", $BX$71), CONCATENATE("PX392=",$BX$72), CONCATENATE("DS004=",$B$64), "Fill=B")</f>
        <v>83778</v>
      </c>
      <c r="BY101">
        <f ca="1">_xll.BDP($B$39,$C$39,CONCATENATE("PX391=", $BY$71), CONCATENATE("PX392=",$BY$72), CONCATENATE("DS004=",$B$64), "Fill=B")</f>
        <v>77645</v>
      </c>
      <c r="BZ101">
        <f ca="1">_xll.BDP($B$39,$C$39,CONCATENATE("PX391=", $BZ$71), CONCATENATE("PX392=",$BZ$72), CONCATENATE("DS004=",$B$64), "Fill=B")</f>
        <v>85119</v>
      </c>
      <c r="CA101">
        <f ca="1">_xll.BDP($B$39,$C$39,CONCATENATE("PX391=", $CA$71), CONCATENATE("PX392=",$CA$72), CONCATENATE("DS004=",$B$64), "Fill=B")</f>
        <v>91829.5</v>
      </c>
      <c r="CB101">
        <f ca="1">_xll.BDP($B$39,$C$39,CONCATENATE("PX391=", $CB$71), CONCATENATE("PX392=",$CB$72), CONCATENATE("DS004=",$B$64), "Fill=B")</f>
        <v>75772.3</v>
      </c>
      <c r="CC101">
        <f ca="1">_xll.BDP($B$39,$C$39,CONCATENATE("PX391=", $CC$71), CONCATENATE("PX392=",$CC$72), CONCATENATE("DS004=",$B$64), "Fill=B")</f>
        <v>87521</v>
      </c>
      <c r="CD101">
        <f ca="1">_xll.BDP($B$39,$C$39,CONCATENATE("PX391=", $CD$71), CONCATENATE("PX392=",$CD$72), CONCATENATE("DS004=",$B$64), "Fill=B")</f>
        <v>85784.8</v>
      </c>
      <c r="CE101">
        <f ca="1">_xll.BDP($B$39,$C$39,CONCATENATE("PX391=", $CE$71), CONCATENATE("PX392=",$CE$72), CONCATENATE("DS004=",$B$64), "Fill=B")</f>
        <v>91842.3</v>
      </c>
      <c r="CF101">
        <f ca="1">_xll.BDP($B$39,$C$39,CONCATENATE("PX391=", $CF$71), CONCATENATE("PX392=",$CF$72), CONCATENATE("DS004=",$B$64), "Fill=B")</f>
        <v>74174.5</v>
      </c>
      <c r="CG101">
        <f ca="1">_xll.BDP($B$39,$C$39,CONCATENATE("PX391=", $CG$71), CONCATENATE("PX392=",$CG$72), CONCATENATE("DS004=",$B$64), "Fill=B")</f>
        <v>69971.8</v>
      </c>
      <c r="CH101">
        <f ca="1">_xll.BDP($B$39,$C$39,CONCATENATE("PX391=", $CH$71), CONCATENATE("PX392=",$CH$72), CONCATENATE("DS004=",$B$64), "Fill=B")</f>
        <v>64195</v>
      </c>
      <c r="CI101">
        <f ca="1">_xll.BDP($B$39,$C$39,CONCATENATE("PX391=", $CI$71), CONCATENATE("PX392=",$CI$72), CONCATENATE("DS004=",$B$64), "Fill=B")</f>
        <v>56648</v>
      </c>
      <c r="CJ101">
        <f ca="1">_xll.BDP($B$39,$C$39,CONCATENATE("PX391=", $CJ$71), CONCATENATE("PX392=",$CJ$72), CONCATENATE("DS004=",$B$64), "Fill=B")</f>
        <v>66035</v>
      </c>
      <c r="CK101">
        <f ca="1">_xll.BDP($B$39,$C$39,CONCATENATE("PX391=", $CK$71), CONCATENATE("PX392=",$CK$72), CONCATENATE("DS004=",$B$64), "Fill=B")</f>
        <v>58870</v>
      </c>
      <c r="CL101" t="str">
        <f>""</f>
        <v/>
      </c>
      <c r="CM101" t="str">
        <f>""</f>
        <v/>
      </c>
      <c r="CN101" t="str">
        <f>""</f>
        <v/>
      </c>
      <c r="CO101" t="str">
        <f>""</f>
        <v/>
      </c>
      <c r="CP101" t="str">
        <f>""</f>
        <v/>
      </c>
      <c r="CQ101" t="str">
        <f>""</f>
        <v/>
      </c>
      <c r="CR101" t="str">
        <f>""</f>
        <v/>
      </c>
      <c r="CS101" t="str">
        <f>""</f>
        <v/>
      </c>
      <c r="CT101" t="str">
        <f>""</f>
        <v/>
      </c>
      <c r="CU101" t="str">
        <f>""</f>
        <v/>
      </c>
      <c r="CV101" t="str">
        <f>""</f>
        <v/>
      </c>
      <c r="CW101" t="str">
        <f>""</f>
        <v/>
      </c>
      <c r="CX101" t="str">
        <f>""</f>
        <v/>
      </c>
      <c r="CY101" t="str">
        <f>""</f>
        <v/>
      </c>
      <c r="CZ101" t="str">
        <f>""</f>
        <v/>
      </c>
      <c r="DA101" t="str">
        <f>""</f>
        <v/>
      </c>
      <c r="DB101" t="str">
        <f>""</f>
        <v/>
      </c>
      <c r="DC101" t="str">
        <f>""</f>
        <v/>
      </c>
      <c r="DD101" t="str">
        <f>""</f>
        <v/>
      </c>
      <c r="DE101" t="str">
        <f>""</f>
        <v/>
      </c>
      <c r="DF101" t="str">
        <f>""</f>
        <v/>
      </c>
      <c r="DG101" t="str">
        <f>""</f>
        <v/>
      </c>
      <c r="DH101" t="str">
        <f>""</f>
        <v/>
      </c>
      <c r="DI101" t="str">
        <f>""</f>
        <v/>
      </c>
      <c r="DJ101" t="str">
        <f>""</f>
        <v/>
      </c>
      <c r="DK101" t="str">
        <f>""</f>
        <v/>
      </c>
      <c r="DL101" t="str">
        <f>""</f>
        <v/>
      </c>
      <c r="DM101" t="str">
        <f>""</f>
        <v/>
      </c>
      <c r="DN101" t="str">
        <f>""</f>
        <v/>
      </c>
      <c r="DO101" t="str">
        <f>""</f>
        <v/>
      </c>
      <c r="DP101" t="str">
        <f>""</f>
        <v/>
      </c>
      <c r="DQ101" t="str">
        <f>""</f>
        <v/>
      </c>
      <c r="DR101" t="str">
        <f>""</f>
        <v/>
      </c>
      <c r="DS101" t="str">
        <f>""</f>
        <v/>
      </c>
      <c r="DT101" t="str">
        <f>""</f>
        <v/>
      </c>
      <c r="DU101" t="str">
        <f>""</f>
        <v/>
      </c>
      <c r="DV101" t="str">
        <f>""</f>
        <v/>
      </c>
      <c r="DW101" t="str">
        <f>""</f>
        <v/>
      </c>
      <c r="DX101" t="str">
        <f>""</f>
        <v/>
      </c>
      <c r="DY101" t="str">
        <f>""</f>
        <v/>
      </c>
      <c r="DZ101" t="str">
        <f>""</f>
        <v/>
      </c>
      <c r="EA101" t="str">
        <f>""</f>
        <v/>
      </c>
      <c r="EB101" t="str">
        <f>""</f>
        <v/>
      </c>
      <c r="EC101" t="str">
        <f>""</f>
        <v/>
      </c>
      <c r="ED101" t="str">
        <f>""</f>
        <v/>
      </c>
      <c r="EE101" t="str">
        <f>""</f>
        <v/>
      </c>
      <c r="EF101" t="str">
        <f>""</f>
        <v/>
      </c>
      <c r="EG101" t="str">
        <f>""</f>
        <v/>
      </c>
      <c r="EH101" t="str">
        <f>""</f>
        <v/>
      </c>
      <c r="EI101" t="str">
        <f>""</f>
        <v/>
      </c>
      <c r="EJ101" t="str">
        <f>""</f>
        <v/>
      </c>
      <c r="EK101" t="str">
        <f>""</f>
        <v/>
      </c>
      <c r="EL101" t="str">
        <f>""</f>
        <v/>
      </c>
      <c r="EM101" t="str">
        <f>""</f>
        <v/>
      </c>
      <c r="EN101" t="str">
        <f>""</f>
        <v/>
      </c>
      <c r="EO101" t="str">
        <f>""</f>
        <v/>
      </c>
      <c r="EP101" t="str">
        <f>""</f>
        <v/>
      </c>
      <c r="EQ101" t="str">
        <f>""</f>
        <v/>
      </c>
      <c r="ER101" t="str">
        <f>""</f>
        <v/>
      </c>
      <c r="ES101" t="str">
        <f>""</f>
        <v/>
      </c>
      <c r="ET101" t="str">
        <f>""</f>
        <v/>
      </c>
      <c r="EU101" t="str">
        <f>""</f>
        <v/>
      </c>
      <c r="EV101" t="str">
        <f>""</f>
        <v/>
      </c>
      <c r="EW101" t="str">
        <f>""</f>
        <v/>
      </c>
      <c r="EX101" t="str">
        <f>""</f>
        <v/>
      </c>
      <c r="EY101" t="str">
        <f>""</f>
        <v/>
      </c>
      <c r="EZ101" t="str">
        <f>""</f>
        <v/>
      </c>
      <c r="FA101" t="str">
        <f>""</f>
        <v/>
      </c>
      <c r="FB101" t="str">
        <f>""</f>
        <v/>
      </c>
      <c r="FC101" t="str">
        <f>""</f>
        <v/>
      </c>
      <c r="FD101" t="str">
        <f>""</f>
        <v/>
      </c>
      <c r="FE101" t="str">
        <f>""</f>
        <v/>
      </c>
      <c r="FF101" t="str">
        <f>""</f>
        <v/>
      </c>
      <c r="FG101" t="str">
        <f>""</f>
        <v/>
      </c>
      <c r="FH101" t="str">
        <f>""</f>
        <v/>
      </c>
      <c r="FI101" t="str">
        <f>""</f>
        <v/>
      </c>
      <c r="FJ101" t="str">
        <f>""</f>
        <v/>
      </c>
      <c r="FK101" t="str">
        <f>""</f>
        <v/>
      </c>
      <c r="FL101" t="str">
        <f>""</f>
        <v/>
      </c>
      <c r="FM101" t="str">
        <f>""</f>
        <v/>
      </c>
      <c r="FN101" t="str">
        <f>""</f>
        <v/>
      </c>
      <c r="FO101" t="str">
        <f>""</f>
        <v/>
      </c>
      <c r="FP101" t="str">
        <f>""</f>
        <v/>
      </c>
      <c r="FQ101" t="str">
        <f>""</f>
        <v/>
      </c>
    </row>
    <row r="102" spans="1:173" x14ac:dyDescent="0.25">
      <c r="A102" t="str">
        <f>$A$41</f>
        <v xml:space="preserve">    Total Ships Net Tonnage (000)</v>
      </c>
      <c r="B102" t="str">
        <f>$B$41</f>
        <v>SCTSPK Index</v>
      </c>
      <c r="C102" t="str">
        <f>$C$41</f>
        <v>PX385</v>
      </c>
      <c r="D102" t="str">
        <f>$D$41</f>
        <v>INTERVAL_SUM</v>
      </c>
      <c r="E102" t="str">
        <f>$E$41</f>
        <v>Dynamic</v>
      </c>
      <c r="F102" t="str">
        <f ca="1">_xll.BDP($B$41,$C$41,CONCATENATE("PX391=", $F$71), CONCATENATE("PX392=",$F$72), CONCATENATE("DS004=",$B$64), "Fill=B")</f>
        <v/>
      </c>
      <c r="G102" t="str">
        <f ca="1">_xll.BDP($B$41,$C$41,CONCATENATE("PX391=", $G$71), CONCATENATE("PX392=",$G$72), CONCATENATE("DS004=",$B$64), "Fill=B")</f>
        <v/>
      </c>
      <c r="H102" t="str">
        <f ca="1">_xll.BDP($B$41,$C$41,CONCATENATE("PX391=", $H$71), CONCATENATE("PX392=",$H$72), CONCATENATE("DS004=",$B$64), "Fill=B")</f>
        <v/>
      </c>
      <c r="I102" t="str">
        <f ca="1">_xll.BDP($B$41,$C$41,CONCATENATE("PX391=", $I$71), CONCATENATE("PX392=",$I$72), CONCATENATE("DS004=",$B$64), "Fill=B")</f>
        <v/>
      </c>
      <c r="J102" t="str">
        <f ca="1">_xll.BDP($B$41,$C$41,CONCATENATE("PX391=", $J$71), CONCATENATE("PX392=",$J$72), CONCATENATE("DS004=",$B$64), "Fill=B")</f>
        <v/>
      </c>
      <c r="K102" t="str">
        <f ca="1">_xll.BDP($B$41,$C$41,CONCATENATE("PX391=", $K$71), CONCATENATE("PX392=",$K$72), CONCATENATE("DS004=",$B$64), "Fill=B")</f>
        <v/>
      </c>
      <c r="L102" t="str">
        <f ca="1">_xll.BDP($B$41,$C$41,CONCATENATE("PX391=", $L$71), CONCATENATE("PX392=",$L$72), CONCATENATE("DS004=",$B$64), "Fill=B")</f>
        <v/>
      </c>
      <c r="M102" t="str">
        <f ca="1">_xll.BDP($B$41,$C$41,CONCATENATE("PX391=", $M$71), CONCATENATE("PX392=",$M$72), CONCATENATE("DS004=",$B$64), "Fill=B")</f>
        <v/>
      </c>
      <c r="N102" t="str">
        <f ca="1">_xll.BDP($B$41,$C$41,CONCATENATE("PX391=", $N$71), CONCATENATE("PX392=",$N$72), CONCATENATE("DS004=",$B$64), "Fill=B")</f>
        <v/>
      </c>
      <c r="O102" t="str">
        <f ca="1">_xll.BDP($B$41,$C$41,CONCATENATE("PX391=", $O$71), CONCATENATE("PX392=",$O$72), CONCATENATE("DS004=",$B$64), "Fill=B")</f>
        <v/>
      </c>
      <c r="P102" t="str">
        <f ca="1">_xll.BDP($B$41,$C$41,CONCATENATE("PX391=", $P$71), CONCATENATE("PX392=",$P$72), CONCATENATE("DS004=",$B$64), "Fill=B")</f>
        <v/>
      </c>
      <c r="Q102" t="str">
        <f ca="1">_xll.BDP($B$41,$C$41,CONCATENATE("PX391=", $Q$71), CONCATENATE("PX392=",$Q$72), CONCATENATE("DS004=",$B$64), "Fill=B")</f>
        <v/>
      </c>
      <c r="R102" t="str">
        <f ca="1">_xll.BDP($B$41,$C$41,CONCATENATE("PX391=", $R$71), CONCATENATE("PX392=",$R$72), CONCATENATE("DS004=",$B$64), "Fill=B")</f>
        <v/>
      </c>
      <c r="S102" t="str">
        <f ca="1">_xll.BDP($B$41,$C$41,CONCATENATE("PX391=", $S$71), CONCATENATE("PX392=",$S$72), CONCATENATE("DS004=",$B$64), "Fill=B")</f>
        <v/>
      </c>
      <c r="T102" t="str">
        <f ca="1">_xll.BDP($B$41,$C$41,CONCATENATE("PX391=", $T$71), CONCATENATE("PX392=",$T$72), CONCATENATE("DS004=",$B$64), "Fill=B")</f>
        <v/>
      </c>
      <c r="U102" t="str">
        <f ca="1">_xll.BDP($B$41,$C$41,CONCATENATE("PX391=", $U$71), CONCATENATE("PX392=",$U$72), CONCATENATE("DS004=",$B$64), "Fill=B")</f>
        <v/>
      </c>
      <c r="V102" t="str">
        <f ca="1">_xll.BDP($B$41,$C$41,CONCATENATE("PX391=", $V$71), CONCATENATE("PX392=",$V$72), CONCATENATE("DS004=",$B$64), "Fill=B")</f>
        <v/>
      </c>
      <c r="W102" t="str">
        <f ca="1">_xll.BDP($B$41,$C$41,CONCATENATE("PX391=", $W$71), CONCATENATE("PX392=",$W$72), CONCATENATE("DS004=",$B$64), "Fill=B")</f>
        <v/>
      </c>
      <c r="X102" t="str">
        <f ca="1">_xll.BDP($B$41,$C$41,CONCATENATE("PX391=", $X$71), CONCATENATE("PX392=",$X$72), CONCATENATE("DS004=",$B$64), "Fill=B")</f>
        <v/>
      </c>
      <c r="Y102" t="str">
        <f ca="1">_xll.BDP($B$41,$C$41,CONCATENATE("PX391=", $Y$71), CONCATENATE("PX392=",$Y$72), CONCATENATE("DS004=",$B$64), "Fill=B")</f>
        <v/>
      </c>
      <c r="Z102" t="str">
        <f ca="1">_xll.BDP($B$41,$C$41,CONCATENATE("PX391=", $Z$71), CONCATENATE("PX392=",$Z$72), CONCATENATE("DS004=",$B$64), "Fill=B")</f>
        <v/>
      </c>
      <c r="AA102" t="str">
        <f ca="1">_xll.BDP($B$41,$C$41,CONCATENATE("PX391=", $AA$71), CONCATENATE("PX392=",$AA$72), CONCATENATE("DS004=",$B$64), "Fill=B")</f>
        <v/>
      </c>
      <c r="AB102" t="str">
        <f ca="1">_xll.BDP($B$41,$C$41,CONCATENATE("PX391=", $AB$71), CONCATENATE("PX392=",$AB$72), CONCATENATE("DS004=",$B$64), "Fill=B")</f>
        <v/>
      </c>
      <c r="AC102" t="str">
        <f ca="1">_xll.BDP($B$41,$C$41,CONCATENATE("PX391=", $AC$71), CONCATENATE("PX392=",$AC$72), CONCATENATE("DS004=",$B$64), "Fill=B")</f>
        <v/>
      </c>
      <c r="AD102" t="str">
        <f ca="1">_xll.BDP($B$41,$C$41,CONCATENATE("PX391=", $AD$71), CONCATENATE("PX392=",$AD$72), CONCATENATE("DS004=",$B$64), "Fill=B")</f>
        <v/>
      </c>
      <c r="AE102" t="str">
        <f ca="1">_xll.BDP($B$41,$C$41,CONCATENATE("PX391=", $AE$71), CONCATENATE("PX392=",$AE$72), CONCATENATE("DS004=",$B$64), "Fill=B")</f>
        <v/>
      </c>
      <c r="AF102" t="str">
        <f ca="1">_xll.BDP($B$41,$C$41,CONCATENATE("PX391=", $AF$71), CONCATENATE("PX392=",$AF$72), CONCATENATE("DS004=",$B$64), "Fill=B")</f>
        <v/>
      </c>
      <c r="AG102" t="str">
        <f ca="1">_xll.BDP($B$41,$C$41,CONCATENATE("PX391=", $AG$71), CONCATENATE("PX392=",$AG$72), CONCATENATE("DS004=",$B$64), "Fill=B")</f>
        <v/>
      </c>
      <c r="AH102" t="str">
        <f ca="1">_xll.BDP($B$41,$C$41,CONCATENATE("PX391=", $AH$71), CONCATENATE("PX392=",$AH$72), CONCATENATE("DS004=",$B$64), "Fill=B")</f>
        <v/>
      </c>
      <c r="AI102" t="str">
        <f ca="1">_xll.BDP($B$41,$C$41,CONCATENATE("PX391=", $AI$71), CONCATENATE("PX392=",$AI$72), CONCATENATE("DS004=",$B$64), "Fill=B")</f>
        <v/>
      </c>
      <c r="AJ102" t="str">
        <f ca="1">_xll.BDP($B$41,$C$41,CONCATENATE("PX391=", $AJ$71), CONCATENATE("PX392=",$AJ$72), CONCATENATE("DS004=",$B$64), "Fill=B")</f>
        <v/>
      </c>
      <c r="AK102" t="str">
        <f ca="1">_xll.BDP($B$41,$C$41,CONCATENATE("PX391=", $AK$71), CONCATENATE("PX392=",$AK$72), CONCATENATE("DS004=",$B$64), "Fill=B")</f>
        <v/>
      </c>
      <c r="AL102" t="str">
        <f ca="1">_xll.BDP($B$41,$C$41,CONCATENATE("PX391=", $AL$71), CONCATENATE("PX392=",$AL$72), CONCATENATE("DS004=",$B$64), "Fill=B")</f>
        <v/>
      </c>
      <c r="AM102" t="str">
        <f ca="1">_xll.BDP($B$41,$C$41,CONCATENATE("PX391=", $AM$71), CONCATENATE("PX392=",$AM$72), CONCATENATE("DS004=",$B$64), "Fill=B")</f>
        <v/>
      </c>
      <c r="AN102" t="str">
        <f ca="1">_xll.BDP($B$41,$C$41,CONCATENATE("PX391=", $AN$71), CONCATENATE("PX392=",$AN$72), CONCATENATE("DS004=",$B$64), "Fill=B")</f>
        <v/>
      </c>
      <c r="AO102" t="str">
        <f ca="1">_xll.BDP($B$41,$C$41,CONCATENATE("PX391=", $AO$71), CONCATENATE("PX392=",$AO$72), CONCATENATE("DS004=",$B$64), "Fill=B")</f>
        <v/>
      </c>
      <c r="AP102" t="str">
        <f ca="1">_xll.BDP($B$41,$C$41,CONCATENATE("PX391=", $AP$71), CONCATENATE("PX392=",$AP$72), CONCATENATE("DS004=",$B$64), "Fill=B")</f>
        <v/>
      </c>
      <c r="AQ102" t="str">
        <f ca="1">_xll.BDP($B$41,$C$41,CONCATENATE("PX391=", $AQ$71), CONCATENATE("PX392=",$AQ$72), CONCATENATE("DS004=",$B$64), "Fill=B")</f>
        <v/>
      </c>
      <c r="AR102" t="str">
        <f ca="1">_xll.BDP($B$41,$C$41,CONCATENATE("PX391=", $AR$71), CONCATENATE("PX392=",$AR$72), CONCATENATE("DS004=",$B$64), "Fill=B")</f>
        <v/>
      </c>
      <c r="AS102" t="str">
        <f ca="1">_xll.BDP($B$41,$C$41,CONCATENATE("PX391=", $AS$71), CONCATENATE("PX392=",$AS$72), CONCATENATE("DS004=",$B$64), "Fill=B")</f>
        <v/>
      </c>
      <c r="AT102" t="str">
        <f ca="1">_xll.BDP($B$41,$C$41,CONCATENATE("PX391=", $AT$71), CONCATENATE("PX392=",$AT$72), CONCATENATE("DS004=",$B$64), "Fill=B")</f>
        <v/>
      </c>
      <c r="AU102" t="str">
        <f ca="1">_xll.BDP($B$41,$C$41,CONCATENATE("PX391=", $AU$71), CONCATENATE("PX392=",$AU$72), CONCATENATE("DS004=",$B$64), "Fill=B")</f>
        <v/>
      </c>
      <c r="AV102" t="str">
        <f ca="1">_xll.BDP($B$41,$C$41,CONCATENATE("PX391=", $AV$71), CONCATENATE("PX392=",$AV$72), CONCATENATE("DS004=",$B$64), "Fill=B")</f>
        <v/>
      </c>
      <c r="AW102" t="str">
        <f ca="1">_xll.BDP($B$41,$C$41,CONCATENATE("PX391=", $AW$71), CONCATENATE("PX392=",$AW$72), CONCATENATE("DS004=",$B$64), "Fill=B")</f>
        <v/>
      </c>
      <c r="AX102" t="str">
        <f ca="1">_xll.BDP($B$41,$C$41,CONCATENATE("PX391=", $AX$71), CONCATENATE("PX392=",$AX$72), CONCATENATE("DS004=",$B$64), "Fill=B")</f>
        <v/>
      </c>
      <c r="AY102">
        <f ca="1">_xll.BDP($B$41,$C$41,CONCATENATE("PX391=", $AY$71), CONCATENATE("PX392=",$AY$72), CONCATENATE("DS004=",$B$64), "Fill=B")</f>
        <v>99902</v>
      </c>
      <c r="AZ102">
        <f ca="1">_xll.BDP($B$41,$C$41,CONCATENATE("PX391=", $AZ$71), CONCATENATE("PX392=",$AZ$72), CONCATENATE("DS004=",$B$64), "Fill=B")</f>
        <v>105737</v>
      </c>
      <c r="BA102">
        <f ca="1">_xll.BDP($B$41,$C$41,CONCATENATE("PX391=", $BA$71), CONCATENATE("PX392=",$BA$72), CONCATENATE("DS004=",$B$64), "Fill=B")</f>
        <v>103867</v>
      </c>
      <c r="BB102">
        <f ca="1">_xll.BDP($B$41,$C$41,CONCATENATE("PX391=", $BB$71), CONCATENATE("PX392=",$BB$72), CONCATENATE("DS004=",$B$64), "Fill=B")</f>
        <v>101668</v>
      </c>
      <c r="BC102">
        <f ca="1">_xll.BDP($B$41,$C$41,CONCATENATE("PX391=", $BC$71), CONCATENATE("PX392=",$BC$72), CONCATENATE("DS004=",$B$64), "Fill=B")</f>
        <v>108919</v>
      </c>
      <c r="BD102">
        <f ca="1">_xll.BDP($B$41,$C$41,CONCATENATE("PX391=", $BD$71), CONCATENATE("PX392=",$BD$72), CONCATENATE("DS004=",$B$64), "Fill=B")</f>
        <v>98974</v>
      </c>
      <c r="BE102">
        <f ca="1">_xll.BDP($B$41,$C$41,CONCATENATE("PX391=", $BE$71), CONCATENATE("PX392=",$BE$72), CONCATENATE("DS004=",$B$64), "Fill=B")</f>
        <v>106000</v>
      </c>
      <c r="BF102">
        <f ca="1">_xll.BDP($B$41,$C$41,CONCATENATE("PX391=", $BF$71), CONCATENATE("PX392=",$BF$72), CONCATENATE("DS004=",$B$64), "Fill=B")</f>
        <v>103574</v>
      </c>
      <c r="BG102">
        <f ca="1">_xll.BDP($B$41,$C$41,CONCATENATE("PX391=", $BG$71), CONCATENATE("PX392=",$BG$72), CONCATENATE("DS004=",$B$64), "Fill=B")</f>
        <v>98233</v>
      </c>
      <c r="BH102">
        <f ca="1">_xll.BDP($B$41,$C$41,CONCATENATE("PX391=", $BH$71), CONCATENATE("PX392=",$BH$72), CONCATENATE("DS004=",$B$64), "Fill=B")</f>
        <v>104914</v>
      </c>
      <c r="BI102">
        <f ca="1">_xll.BDP($B$41,$C$41,CONCATENATE("PX391=", $BI$71), CONCATENATE("PX392=",$BI$72), CONCATENATE("DS004=",$B$64), "Fill=B")</f>
        <v>98341</v>
      </c>
      <c r="BJ102">
        <f ca="1">_xll.BDP($B$41,$C$41,CONCATENATE("PX391=", $BJ$71), CONCATENATE("PX392=",$BJ$72), CONCATENATE("DS004=",$B$64), "Fill=B")</f>
        <v>97796</v>
      </c>
      <c r="BK102">
        <f ca="1">_xll.BDP($B$41,$C$41,CONCATENATE("PX391=", $BK$71), CONCATENATE("PX392=",$BK$72), CONCATENATE("DS004=",$B$64), "Fill=B")</f>
        <v>88549</v>
      </c>
      <c r="BL102">
        <f ca="1">_xll.BDP($B$41,$C$41,CONCATENATE("PX391=", $BL$71), CONCATENATE("PX392=",$BL$72), CONCATENATE("DS004=",$B$64), "Fill=B")</f>
        <v>96250</v>
      </c>
      <c r="BM102">
        <f ca="1">_xll.BDP($B$41,$C$41,CONCATENATE("PX391=", $BM$71), CONCATENATE("PX392=",$BM$72), CONCATENATE("DS004=",$B$64), "Fill=B")</f>
        <v>96634</v>
      </c>
      <c r="BN102">
        <f ca="1">_xll.BDP($B$41,$C$41,CONCATENATE("PX391=", $BN$71), CONCATENATE("PX392=",$BN$72), CONCATENATE("DS004=",$B$64), "Fill=B")</f>
        <v>96068</v>
      </c>
      <c r="BO102">
        <f ca="1">_xll.BDP($B$41,$C$41,CONCATENATE("PX391=", $BO$71), CONCATENATE("PX392=",$BO$72), CONCATENATE("DS004=",$B$64), "Fill=B")</f>
        <v>103009</v>
      </c>
      <c r="BP102">
        <f ca="1">_xll.BDP($B$41,$C$41,CONCATENATE("PX391=", $BP$71), CONCATENATE("PX392=",$BP$72), CONCATENATE("DS004=",$B$64), "Fill=B")</f>
        <v>93952</v>
      </c>
      <c r="BQ102">
        <f ca="1">_xll.BDP($B$41,$C$41,CONCATENATE("PX391=", $BQ$71), CONCATENATE("PX392=",$BQ$72), CONCATENATE("DS004=",$B$64), "Fill=B")</f>
        <v>101241</v>
      </c>
      <c r="BR102">
        <f ca="1">_xll.BDP($B$41,$C$41,CONCATENATE("PX391=", $BR$71), CONCATENATE("PX392=",$BR$72), CONCATENATE("DS004=",$B$64), "Fill=B")</f>
        <v>99739</v>
      </c>
      <c r="BS102">
        <f ca="1">_xll.BDP($B$41,$C$41,CONCATENATE("PX391=", $BS$71), CONCATENATE("PX392=",$BS$72), CONCATENATE("DS004=",$B$64), "Fill=B")</f>
        <v>97157</v>
      </c>
      <c r="BT102">
        <f ca="1">_xll.BDP($B$41,$C$41,CONCATENATE("PX391=", $BT$71), CONCATENATE("PX392=",$BT$72), CONCATENATE("DS004=",$B$64), "Fill=B")</f>
        <v>99171</v>
      </c>
      <c r="BU102">
        <f ca="1">_xll.BDP($B$41,$C$41,CONCATENATE("PX391=", $BU$71), CONCATENATE("PX392=",$BU$72), CONCATENATE("DS004=",$B$64), "Fill=B")</f>
        <v>92474</v>
      </c>
      <c r="BV102">
        <f ca="1">_xll.BDP($B$41,$C$41,CONCATENATE("PX391=", $BV$71), CONCATENATE("PX392=",$BV$72), CONCATENATE("DS004=",$B$64), "Fill=B")</f>
        <v>88938</v>
      </c>
      <c r="BW102">
        <f ca="1">_xll.BDP($B$41,$C$41,CONCATENATE("PX391=", $BW$71), CONCATENATE("PX392=",$BW$72), CONCATENATE("DS004=",$B$64), "Fill=B")</f>
        <v>83486</v>
      </c>
      <c r="BX102">
        <f ca="1">_xll.BDP($B$41,$C$41,CONCATENATE("PX391=", $BX$71), CONCATENATE("PX392=",$BX$72), CONCATENATE("DS004=",$B$64), "Fill=B")</f>
        <v>87760</v>
      </c>
      <c r="BY102">
        <f ca="1">_xll.BDP($B$41,$C$41,CONCATENATE("PX391=", $BY$71), CONCATENATE("PX392=",$BY$72), CONCATENATE("DS004=",$B$64), "Fill=B")</f>
        <v>92258</v>
      </c>
      <c r="BZ102">
        <f ca="1">_xll.BDP($B$41,$C$41,CONCATENATE("PX391=", $BZ$71), CONCATENATE("PX392=",$BZ$72), CONCATENATE("DS004=",$B$64), "Fill=B")</f>
        <v>90990</v>
      </c>
      <c r="CA102">
        <f ca="1">_xll.BDP($B$41,$C$41,CONCATENATE("PX391=", $CA$71), CONCATENATE("PX392=",$CA$72), CONCATENATE("DS004=",$B$64), "Fill=B")</f>
        <v>93158</v>
      </c>
      <c r="CB102">
        <f ca="1">_xll.BDP($B$41,$C$41,CONCATENATE("PX391=", $CB$71), CONCATENATE("PX392=",$CB$72), CONCATENATE("DS004=",$B$64), "Fill=B")</f>
        <v>87926</v>
      </c>
      <c r="CC102">
        <f ca="1">_xll.BDP($B$41,$C$41,CONCATENATE("PX391=", $CC$71), CONCATENATE("PX392=",$CC$72), CONCATENATE("DS004=",$B$64), "Fill=B")</f>
        <v>91549</v>
      </c>
      <c r="CD102">
        <f ca="1">_xll.BDP($B$41,$C$41,CONCATENATE("PX391=", $CD$71), CONCATENATE("PX392=",$CD$72), CONCATENATE("DS004=",$B$64), "Fill=B")</f>
        <v>87969</v>
      </c>
      <c r="CE102">
        <f ca="1">_xll.BDP($B$41,$C$41,CONCATENATE("PX391=", $CE$71), CONCATENATE("PX392=",$CE$72), CONCATENATE("DS004=",$B$64), "Fill=B")</f>
        <v>84634</v>
      </c>
      <c r="CF102">
        <f ca="1">_xll.BDP($B$41,$C$41,CONCATENATE("PX391=", $CF$71), CONCATENATE("PX392=",$CF$72), CONCATENATE("DS004=",$B$64), "Fill=B")</f>
        <v>88265</v>
      </c>
      <c r="CG102">
        <f ca="1">_xll.BDP($B$41,$C$41,CONCATENATE("PX391=", $CG$71), CONCATENATE("PX392=",$CG$72), CONCATENATE("DS004=",$B$64), "Fill=B")</f>
        <v>86169</v>
      </c>
      <c r="CH102">
        <f ca="1">_xll.BDP($B$41,$C$41,CONCATENATE("PX391=", $CH$71), CONCATENATE("PX392=",$CH$72), CONCATENATE("DS004=",$B$64), "Fill=B")</f>
        <v>84679</v>
      </c>
      <c r="CI102">
        <f ca="1">_xll.BDP($B$41,$C$41,CONCATENATE("PX391=", $CI$71), CONCATENATE("PX392=",$CI$72), CONCATENATE("DS004=",$B$64), "Fill=B")</f>
        <v>75303</v>
      </c>
      <c r="CJ102">
        <f ca="1">_xll.BDP($B$41,$C$41,CONCATENATE("PX391=", $CJ$71), CONCATENATE("PX392=",$CJ$72), CONCATENATE("DS004=",$B$64), "Fill=B")</f>
        <v>78673</v>
      </c>
      <c r="CK102">
        <f ca="1">_xll.BDP($B$41,$C$41,CONCATENATE("PX391=", $CK$71), CONCATENATE("PX392=",$CK$72), CONCATENATE("DS004=",$B$64), "Fill=B")</f>
        <v>83271</v>
      </c>
      <c r="CL102" t="str">
        <f>""</f>
        <v/>
      </c>
      <c r="CM102" t="str">
        <f>""</f>
        <v/>
      </c>
      <c r="CN102" t="str">
        <f>""</f>
        <v/>
      </c>
      <c r="CO102" t="str">
        <f>""</f>
        <v/>
      </c>
      <c r="CP102" t="str">
        <f>""</f>
        <v/>
      </c>
      <c r="CQ102" t="str">
        <f>""</f>
        <v/>
      </c>
      <c r="CR102" t="str">
        <f>""</f>
        <v/>
      </c>
      <c r="CS102" t="str">
        <f>""</f>
        <v/>
      </c>
      <c r="CT102" t="str">
        <f>""</f>
        <v/>
      </c>
      <c r="CU102" t="str">
        <f>""</f>
        <v/>
      </c>
      <c r="CV102" t="str">
        <f>""</f>
        <v/>
      </c>
      <c r="CW102" t="str">
        <f>""</f>
        <v/>
      </c>
      <c r="CX102" t="str">
        <f>""</f>
        <v/>
      </c>
      <c r="CY102" t="str">
        <f>""</f>
        <v/>
      </c>
      <c r="CZ102" t="str">
        <f>""</f>
        <v/>
      </c>
      <c r="DA102" t="str">
        <f>""</f>
        <v/>
      </c>
      <c r="DB102" t="str">
        <f>""</f>
        <v/>
      </c>
      <c r="DC102" t="str">
        <f>""</f>
        <v/>
      </c>
      <c r="DD102" t="str">
        <f>""</f>
        <v/>
      </c>
      <c r="DE102" t="str">
        <f>""</f>
        <v/>
      </c>
      <c r="DF102" t="str">
        <f>""</f>
        <v/>
      </c>
      <c r="DG102" t="str">
        <f>""</f>
        <v/>
      </c>
      <c r="DH102" t="str">
        <f>""</f>
        <v/>
      </c>
      <c r="DI102" t="str">
        <f>""</f>
        <v/>
      </c>
      <c r="DJ102" t="str">
        <f>""</f>
        <v/>
      </c>
      <c r="DK102" t="str">
        <f>""</f>
        <v/>
      </c>
      <c r="DL102" t="str">
        <f>""</f>
        <v/>
      </c>
      <c r="DM102" t="str">
        <f>""</f>
        <v/>
      </c>
      <c r="DN102" t="str">
        <f>""</f>
        <v/>
      </c>
      <c r="DO102" t="str">
        <f>""</f>
        <v/>
      </c>
      <c r="DP102" t="str">
        <f>""</f>
        <v/>
      </c>
      <c r="DQ102" t="str">
        <f>""</f>
        <v/>
      </c>
      <c r="DR102" t="str">
        <f>""</f>
        <v/>
      </c>
      <c r="DS102" t="str">
        <f>""</f>
        <v/>
      </c>
      <c r="DT102" t="str">
        <f>""</f>
        <v/>
      </c>
      <c r="DU102" t="str">
        <f>""</f>
        <v/>
      </c>
      <c r="DV102" t="str">
        <f>""</f>
        <v/>
      </c>
      <c r="DW102" t="str">
        <f>""</f>
        <v/>
      </c>
      <c r="DX102" t="str">
        <f>""</f>
        <v/>
      </c>
      <c r="DY102" t="str">
        <f>""</f>
        <v/>
      </c>
      <c r="DZ102" t="str">
        <f>""</f>
        <v/>
      </c>
      <c r="EA102" t="str">
        <f>""</f>
        <v/>
      </c>
      <c r="EB102" t="str">
        <f>""</f>
        <v/>
      </c>
      <c r="EC102" t="str">
        <f>""</f>
        <v/>
      </c>
      <c r="ED102" t="str">
        <f>""</f>
        <v/>
      </c>
      <c r="EE102" t="str">
        <f>""</f>
        <v/>
      </c>
      <c r="EF102" t="str">
        <f>""</f>
        <v/>
      </c>
      <c r="EG102" t="str">
        <f>""</f>
        <v/>
      </c>
      <c r="EH102" t="str">
        <f>""</f>
        <v/>
      </c>
      <c r="EI102" t="str">
        <f>""</f>
        <v/>
      </c>
      <c r="EJ102" t="str">
        <f>""</f>
        <v/>
      </c>
      <c r="EK102" t="str">
        <f>""</f>
        <v/>
      </c>
      <c r="EL102" t="str">
        <f>""</f>
        <v/>
      </c>
      <c r="EM102" t="str">
        <f>""</f>
        <v/>
      </c>
      <c r="EN102" t="str">
        <f>""</f>
        <v/>
      </c>
      <c r="EO102" t="str">
        <f>""</f>
        <v/>
      </c>
      <c r="EP102" t="str">
        <f>""</f>
        <v/>
      </c>
      <c r="EQ102" t="str">
        <f>""</f>
        <v/>
      </c>
      <c r="ER102" t="str">
        <f>""</f>
        <v/>
      </c>
      <c r="ES102" t="str">
        <f>""</f>
        <v/>
      </c>
      <c r="ET102" t="str">
        <f>""</f>
        <v/>
      </c>
      <c r="EU102" t="str">
        <f>""</f>
        <v/>
      </c>
      <c r="EV102" t="str">
        <f>""</f>
        <v/>
      </c>
      <c r="EW102" t="str">
        <f>""</f>
        <v/>
      </c>
      <c r="EX102" t="str">
        <f>""</f>
        <v/>
      </c>
      <c r="EY102" t="str">
        <f>""</f>
        <v/>
      </c>
      <c r="EZ102" t="str">
        <f>""</f>
        <v/>
      </c>
      <c r="FA102" t="str">
        <f>""</f>
        <v/>
      </c>
      <c r="FB102" t="str">
        <f>""</f>
        <v/>
      </c>
      <c r="FC102" t="str">
        <f>""</f>
        <v/>
      </c>
      <c r="FD102" t="str">
        <f>""</f>
        <v/>
      </c>
      <c r="FE102" t="str">
        <f>""</f>
        <v/>
      </c>
      <c r="FF102" t="str">
        <f>""</f>
        <v/>
      </c>
      <c r="FG102" t="str">
        <f>""</f>
        <v/>
      </c>
      <c r="FH102" t="str">
        <f>""</f>
        <v/>
      </c>
      <c r="FI102" t="str">
        <f>""</f>
        <v/>
      </c>
      <c r="FJ102" t="str">
        <f>""</f>
        <v/>
      </c>
      <c r="FK102" t="str">
        <f>""</f>
        <v/>
      </c>
      <c r="FL102" t="str">
        <f>""</f>
        <v/>
      </c>
      <c r="FM102" t="str">
        <f>""</f>
        <v/>
      </c>
      <c r="FN102" t="str">
        <f>""</f>
        <v/>
      </c>
      <c r="FO102" t="str">
        <f>""</f>
        <v/>
      </c>
      <c r="FP102" t="str">
        <f>""</f>
        <v/>
      </c>
      <c r="FQ102" t="str">
        <f>""</f>
        <v/>
      </c>
    </row>
    <row r="103" spans="1:173" x14ac:dyDescent="0.25">
      <c r="A103" t="str">
        <f>$A$42</f>
        <v xml:space="preserve">    Total Number of Ships</v>
      </c>
      <c r="B103" t="str">
        <f>$B$42</f>
        <v>SCTSXK Index</v>
      </c>
      <c r="C103" t="str">
        <f>$C$42</f>
        <v>PX385</v>
      </c>
      <c r="D103" t="str">
        <f>$D$42</f>
        <v>INTERVAL_SUM</v>
      </c>
      <c r="E103" t="str">
        <f>$E$42</f>
        <v>Dynamic</v>
      </c>
      <c r="F103" t="str">
        <f ca="1">_xll.BDP($B$42,$C$42,CONCATENATE("PX391=", $F$71), CONCATENATE("PX392=",$F$72), CONCATENATE("DS004=",$B$64), "Fill=B")</f>
        <v/>
      </c>
      <c r="G103" t="str">
        <f ca="1">_xll.BDP($B$42,$C$42,CONCATENATE("PX391=", $G$71), CONCATENATE("PX392=",$G$72), CONCATENATE("DS004=",$B$64), "Fill=B")</f>
        <v/>
      </c>
      <c r="H103" t="str">
        <f ca="1">_xll.BDP($B$42,$C$42,CONCATENATE("PX391=", $H$71), CONCATENATE("PX392=",$H$72), CONCATENATE("DS004=",$B$64), "Fill=B")</f>
        <v/>
      </c>
      <c r="I103" t="str">
        <f ca="1">_xll.BDP($B$42,$C$42,CONCATENATE("PX391=", $I$71), CONCATENATE("PX392=",$I$72), CONCATENATE("DS004=",$B$64), "Fill=B")</f>
        <v/>
      </c>
      <c r="J103" t="str">
        <f ca="1">_xll.BDP($B$42,$C$42,CONCATENATE("PX391=", $J$71), CONCATENATE("PX392=",$J$72), CONCATENATE("DS004=",$B$64), "Fill=B")</f>
        <v/>
      </c>
      <c r="K103" t="str">
        <f ca="1">_xll.BDP($B$42,$C$42,CONCATENATE("PX391=", $K$71), CONCATENATE("PX392=",$K$72), CONCATENATE("DS004=",$B$64), "Fill=B")</f>
        <v/>
      </c>
      <c r="L103" t="str">
        <f ca="1">_xll.BDP($B$42,$C$42,CONCATENATE("PX391=", $L$71), CONCATENATE("PX392=",$L$72), CONCATENATE("DS004=",$B$64), "Fill=B")</f>
        <v/>
      </c>
      <c r="M103" t="str">
        <f ca="1">_xll.BDP($B$42,$C$42,CONCATENATE("PX391=", $M$71), CONCATENATE("PX392=",$M$72), CONCATENATE("DS004=",$B$64), "Fill=B")</f>
        <v/>
      </c>
      <c r="N103" t="str">
        <f ca="1">_xll.BDP($B$42,$C$42,CONCATENATE("PX391=", $N$71), CONCATENATE("PX392=",$N$72), CONCATENATE("DS004=",$B$64), "Fill=B")</f>
        <v/>
      </c>
      <c r="O103" t="str">
        <f ca="1">_xll.BDP($B$42,$C$42,CONCATENATE("PX391=", $O$71), CONCATENATE("PX392=",$O$72), CONCATENATE("DS004=",$B$64), "Fill=B")</f>
        <v/>
      </c>
      <c r="P103" t="str">
        <f ca="1">_xll.BDP($B$42,$C$42,CONCATENATE("PX391=", $P$71), CONCATENATE("PX392=",$P$72), CONCATENATE("DS004=",$B$64), "Fill=B")</f>
        <v/>
      </c>
      <c r="Q103" t="str">
        <f ca="1">_xll.BDP($B$42,$C$42,CONCATENATE("PX391=", $Q$71), CONCATENATE("PX392=",$Q$72), CONCATENATE("DS004=",$B$64), "Fill=B")</f>
        <v/>
      </c>
      <c r="R103" t="str">
        <f ca="1">_xll.BDP($B$42,$C$42,CONCATENATE("PX391=", $R$71), CONCATENATE("PX392=",$R$72), CONCATENATE("DS004=",$B$64), "Fill=B")</f>
        <v/>
      </c>
      <c r="S103" t="str">
        <f ca="1">_xll.BDP($B$42,$C$42,CONCATENATE("PX391=", $S$71), CONCATENATE("PX392=",$S$72), CONCATENATE("DS004=",$B$64), "Fill=B")</f>
        <v/>
      </c>
      <c r="T103" t="str">
        <f ca="1">_xll.BDP($B$42,$C$42,CONCATENATE("PX391=", $T$71), CONCATENATE("PX392=",$T$72), CONCATENATE("DS004=",$B$64), "Fill=B")</f>
        <v/>
      </c>
      <c r="U103" t="str">
        <f ca="1">_xll.BDP($B$42,$C$42,CONCATENATE("PX391=", $U$71), CONCATENATE("PX392=",$U$72), CONCATENATE("DS004=",$B$64), "Fill=B")</f>
        <v/>
      </c>
      <c r="V103" t="str">
        <f ca="1">_xll.BDP($B$42,$C$42,CONCATENATE("PX391=", $V$71), CONCATENATE("PX392=",$V$72), CONCATENATE("DS004=",$B$64), "Fill=B")</f>
        <v/>
      </c>
      <c r="W103" t="str">
        <f ca="1">_xll.BDP($B$42,$C$42,CONCATENATE("PX391=", $W$71), CONCATENATE("PX392=",$W$72), CONCATENATE("DS004=",$B$64), "Fill=B")</f>
        <v/>
      </c>
      <c r="X103" t="str">
        <f ca="1">_xll.BDP($B$42,$C$42,CONCATENATE("PX391=", $X$71), CONCATENATE("PX392=",$X$72), CONCATENATE("DS004=",$B$64), "Fill=B")</f>
        <v/>
      </c>
      <c r="Y103" t="str">
        <f ca="1">_xll.BDP($B$42,$C$42,CONCATENATE("PX391=", $Y$71), CONCATENATE("PX392=",$Y$72), CONCATENATE("DS004=",$B$64), "Fill=B")</f>
        <v/>
      </c>
      <c r="Z103" t="str">
        <f ca="1">_xll.BDP($B$42,$C$42,CONCATENATE("PX391=", $Z$71), CONCATENATE("PX392=",$Z$72), CONCATENATE("DS004=",$B$64), "Fill=B")</f>
        <v/>
      </c>
      <c r="AA103" t="str">
        <f ca="1">_xll.BDP($B$42,$C$42,CONCATENATE("PX391=", $AA$71), CONCATENATE("PX392=",$AA$72), CONCATENATE("DS004=",$B$64), "Fill=B")</f>
        <v/>
      </c>
      <c r="AB103" t="str">
        <f ca="1">_xll.BDP($B$42,$C$42,CONCATENATE("PX391=", $AB$71), CONCATENATE("PX392=",$AB$72), CONCATENATE("DS004=",$B$64), "Fill=B")</f>
        <v/>
      </c>
      <c r="AC103" t="str">
        <f ca="1">_xll.BDP($B$42,$C$42,CONCATENATE("PX391=", $AC$71), CONCATENATE("PX392=",$AC$72), CONCATENATE("DS004=",$B$64), "Fill=B")</f>
        <v/>
      </c>
      <c r="AD103" t="str">
        <f ca="1">_xll.BDP($B$42,$C$42,CONCATENATE("PX391=", $AD$71), CONCATENATE("PX392=",$AD$72), CONCATENATE("DS004=",$B$64), "Fill=B")</f>
        <v/>
      </c>
      <c r="AE103" t="str">
        <f ca="1">_xll.BDP($B$42,$C$42,CONCATENATE("PX391=", $AE$71), CONCATENATE("PX392=",$AE$72), CONCATENATE("DS004=",$B$64), "Fill=B")</f>
        <v/>
      </c>
      <c r="AF103" t="str">
        <f ca="1">_xll.BDP($B$42,$C$42,CONCATENATE("PX391=", $AF$71), CONCATENATE("PX392=",$AF$72), CONCATENATE("DS004=",$B$64), "Fill=B")</f>
        <v/>
      </c>
      <c r="AG103" t="str">
        <f ca="1">_xll.BDP($B$42,$C$42,CONCATENATE("PX391=", $AG$71), CONCATENATE("PX392=",$AG$72), CONCATENATE("DS004=",$B$64), "Fill=B")</f>
        <v/>
      </c>
      <c r="AH103" t="str">
        <f ca="1">_xll.BDP($B$42,$C$42,CONCATENATE("PX391=", $AH$71), CONCATENATE("PX392=",$AH$72), CONCATENATE("DS004=",$B$64), "Fill=B")</f>
        <v/>
      </c>
      <c r="AI103" t="str">
        <f ca="1">_xll.BDP($B$42,$C$42,CONCATENATE("PX391=", $AI$71), CONCATENATE("PX392=",$AI$72), CONCATENATE("DS004=",$B$64), "Fill=B")</f>
        <v/>
      </c>
      <c r="AJ103" t="str">
        <f ca="1">_xll.BDP($B$42,$C$42,CONCATENATE("PX391=", $AJ$71), CONCATENATE("PX392=",$AJ$72), CONCATENATE("DS004=",$B$64), "Fill=B")</f>
        <v/>
      </c>
      <c r="AK103" t="str">
        <f ca="1">_xll.BDP($B$42,$C$42,CONCATENATE("PX391=", $AK$71), CONCATENATE("PX392=",$AK$72), CONCATENATE("DS004=",$B$64), "Fill=B")</f>
        <v/>
      </c>
      <c r="AL103" t="str">
        <f ca="1">_xll.BDP($B$42,$C$42,CONCATENATE("PX391=", $AL$71), CONCATENATE("PX392=",$AL$72), CONCATENATE("DS004=",$B$64), "Fill=B")</f>
        <v/>
      </c>
      <c r="AM103" t="str">
        <f ca="1">_xll.BDP($B$42,$C$42,CONCATENATE("PX391=", $AM$71), CONCATENATE("PX392=",$AM$72), CONCATENATE("DS004=",$B$64), "Fill=B")</f>
        <v/>
      </c>
      <c r="AN103" t="str">
        <f ca="1">_xll.BDP($B$42,$C$42,CONCATENATE("PX391=", $AN$71), CONCATENATE("PX392=",$AN$72), CONCATENATE("DS004=",$B$64), "Fill=B")</f>
        <v/>
      </c>
      <c r="AO103" t="str">
        <f ca="1">_xll.BDP($B$42,$C$42,CONCATENATE("PX391=", $AO$71), CONCATENATE("PX392=",$AO$72), CONCATENATE("DS004=",$B$64), "Fill=B")</f>
        <v/>
      </c>
      <c r="AP103" t="str">
        <f ca="1">_xll.BDP($B$42,$C$42,CONCATENATE("PX391=", $AP$71), CONCATENATE("PX392=",$AP$72), CONCATENATE("DS004=",$B$64), "Fill=B")</f>
        <v/>
      </c>
      <c r="AQ103" t="str">
        <f ca="1">_xll.BDP($B$42,$C$42,CONCATENATE("PX391=", $AQ$71), CONCATENATE("PX392=",$AQ$72), CONCATENATE("DS004=",$B$64), "Fill=B")</f>
        <v/>
      </c>
      <c r="AR103" t="str">
        <f ca="1">_xll.BDP($B$42,$C$42,CONCATENATE("PX391=", $AR$71), CONCATENATE("PX392=",$AR$72), CONCATENATE("DS004=",$B$64), "Fill=B")</f>
        <v/>
      </c>
      <c r="AS103" t="str">
        <f ca="1">_xll.BDP($B$42,$C$42,CONCATENATE("PX391=", $AS$71), CONCATENATE("PX392=",$AS$72), CONCATENATE("DS004=",$B$64), "Fill=B")</f>
        <v/>
      </c>
      <c r="AT103" t="str">
        <f ca="1">_xll.BDP($B$42,$C$42,CONCATENATE("PX391=", $AT$71), CONCATENATE("PX392=",$AT$72), CONCATENATE("DS004=",$B$64), "Fill=B")</f>
        <v/>
      </c>
      <c r="AU103" t="str">
        <f ca="1">_xll.BDP($B$42,$C$42,CONCATENATE("PX391=", $AU$71), CONCATENATE("PX392=",$AU$72), CONCATENATE("DS004=",$B$64), "Fill=B")</f>
        <v/>
      </c>
      <c r="AV103" t="str">
        <f ca="1">_xll.BDP($B$42,$C$42,CONCATENATE("PX391=", $AV$71), CONCATENATE("PX392=",$AV$72), CONCATENATE("DS004=",$B$64), "Fill=B")</f>
        <v/>
      </c>
      <c r="AW103" t="str">
        <f ca="1">_xll.BDP($B$42,$C$42,CONCATENATE("PX391=", $AW$71), CONCATENATE("PX392=",$AW$72), CONCATENATE("DS004=",$B$64), "Fill=B")</f>
        <v/>
      </c>
      <c r="AX103" t="str">
        <f ca="1">_xll.BDP($B$42,$C$42,CONCATENATE("PX391=", $AX$71), CONCATENATE("PX392=",$AX$72), CONCATENATE("DS004=",$B$64), "Fill=B")</f>
        <v/>
      </c>
      <c r="AY103">
        <f ca="1">_xll.BDP($B$42,$C$42,CONCATENATE("PX391=", $AY$71), CONCATENATE("PX392=",$AY$72), CONCATENATE("DS004=",$B$64), "Fill=B")</f>
        <v>1525</v>
      </c>
      <c r="AZ103">
        <f ca="1">_xll.BDP($B$42,$C$42,CONCATENATE("PX391=", $AZ$71), CONCATENATE("PX392=",$AZ$72), CONCATENATE("DS004=",$B$64), "Fill=B")</f>
        <v>1645</v>
      </c>
      <c r="BA103">
        <f ca="1">_xll.BDP($B$42,$C$42,CONCATENATE("PX391=", $BA$71), CONCATENATE("PX392=",$BA$72), CONCATENATE("DS004=",$B$64), "Fill=B")</f>
        <v>1651</v>
      </c>
      <c r="BB103">
        <f ca="1">_xll.BDP($B$42,$C$42,CONCATENATE("PX391=", $BB$71), CONCATENATE("PX392=",$BB$72), CONCATENATE("DS004=",$B$64), "Fill=B")</f>
        <v>1594</v>
      </c>
      <c r="BC103">
        <f ca="1">_xll.BDP($B$42,$C$42,CONCATENATE("PX391=", $BC$71), CONCATENATE("PX392=",$BC$72), CONCATENATE("DS004=",$B$64), "Fill=B")</f>
        <v>1781</v>
      </c>
      <c r="BD103">
        <f ca="1">_xll.BDP($B$42,$C$42,CONCATENATE("PX391=", $BD$71), CONCATENATE("PX392=",$BD$72), CONCATENATE("DS004=",$B$64), "Fill=B")</f>
        <v>1522</v>
      </c>
      <c r="BE103">
        <f ca="1">_xll.BDP($B$42,$C$42,CONCATENATE("PX391=", $BE$71), CONCATENATE("PX392=",$BE$72), CONCATENATE("DS004=",$B$64), "Fill=B")</f>
        <v>1679</v>
      </c>
      <c r="BF103">
        <f ca="1">_xll.BDP($B$42,$C$42,CONCATENATE("PX391=", $BF$71), CONCATENATE("PX392=",$BF$72), CONCATENATE("DS004=",$B$64), "Fill=B")</f>
        <v>1539</v>
      </c>
      <c r="BG103">
        <f ca="1">_xll.BDP($B$42,$C$42,CONCATENATE("PX391=", $BG$71), CONCATENATE("PX392=",$BG$72), CONCATENATE("DS004=",$B$64), "Fill=B")</f>
        <v>1476</v>
      </c>
      <c r="BH103">
        <f ca="1">_xll.BDP($B$42,$C$42,CONCATENATE("PX391=", $BH$71), CONCATENATE("PX392=",$BH$72), CONCATENATE("DS004=",$B$64), "Fill=B")</f>
        <v>1600</v>
      </c>
      <c r="BI103">
        <f ca="1">_xll.BDP($B$42,$C$42,CONCATENATE("PX391=", $BI$71), CONCATENATE("PX392=",$BI$72), CONCATENATE("DS004=",$B$64), "Fill=B")</f>
        <v>1580</v>
      </c>
      <c r="BJ103">
        <f ca="1">_xll.BDP($B$42,$C$42,CONCATENATE("PX391=", $BJ$71), CONCATENATE("PX392=",$BJ$72), CONCATENATE("DS004=",$B$64), "Fill=B")</f>
        <v>1589</v>
      </c>
      <c r="BK103">
        <f ca="1">_xll.BDP($B$42,$C$42,CONCATENATE("PX391=", $BK$71), CONCATENATE("PX392=",$BK$72), CONCATENATE("DS004=",$B$64), "Fill=B")</f>
        <v>1353</v>
      </c>
      <c r="BL103">
        <f ca="1">_xll.BDP($B$42,$C$42,CONCATENATE("PX391=", $BL$71), CONCATENATE("PX392=",$BL$72), CONCATENATE("DS004=",$B$64), "Fill=B")</f>
        <v>1516</v>
      </c>
      <c r="BM103">
        <f ca="1">_xll.BDP($B$42,$C$42,CONCATENATE("PX391=", $BM$71), CONCATENATE("PX392=",$BM$72), CONCATENATE("DS004=",$B$64), "Fill=B")</f>
        <v>1537</v>
      </c>
      <c r="BN103">
        <f ca="1">_xll.BDP($B$42,$C$42,CONCATENATE("PX391=", $BN$71), CONCATENATE("PX392=",$BN$72), CONCATENATE("DS004=",$B$64), "Fill=B")</f>
        <v>1528</v>
      </c>
      <c r="BO103">
        <f ca="1">_xll.BDP($B$42,$C$42,CONCATENATE("PX391=", $BO$71), CONCATENATE("PX392=",$BO$72), CONCATENATE("DS004=",$B$64), "Fill=B")</f>
        <v>1657</v>
      </c>
      <c r="BP103">
        <f ca="1">_xll.BDP($B$42,$C$42,CONCATENATE("PX391=", $BP$71), CONCATENATE("PX392=",$BP$72), CONCATENATE("DS004=",$B$64), "Fill=B")</f>
        <v>1501</v>
      </c>
      <c r="BQ103">
        <f ca="1">_xll.BDP($B$42,$C$42,CONCATENATE("PX391=", $BQ$71), CONCATENATE("PX392=",$BQ$72), CONCATENATE("DS004=",$B$64), "Fill=B")</f>
        <v>1605</v>
      </c>
      <c r="BR103">
        <f ca="1">_xll.BDP($B$42,$C$42,CONCATENATE("PX391=", $BR$71), CONCATENATE("PX392=",$BR$72), CONCATENATE("DS004=",$B$64), "Fill=B")</f>
        <v>1540</v>
      </c>
      <c r="BS103">
        <f ca="1">_xll.BDP($B$42,$C$42,CONCATENATE("PX391=", $BS$71), CONCATENATE("PX392=",$BS$72), CONCATENATE("DS004=",$B$64), "Fill=B")</f>
        <v>1544</v>
      </c>
      <c r="BT103">
        <f ca="1">_xll.BDP($B$42,$C$42,CONCATENATE("PX391=", $BT$71), CONCATENATE("PX392=",$BT$72), CONCATENATE("DS004=",$B$64), "Fill=B")</f>
        <v>1605</v>
      </c>
      <c r="BU103">
        <f ca="1">_xll.BDP($B$42,$C$42,CONCATENATE("PX391=", $BU$71), CONCATENATE("PX392=",$BU$72), CONCATENATE("DS004=",$B$64), "Fill=B")</f>
        <v>1483</v>
      </c>
      <c r="BV103">
        <f ca="1">_xll.BDP($B$42,$C$42,CONCATENATE("PX391=", $BV$71), CONCATENATE("PX392=",$BV$72), CONCATENATE("DS004=",$B$64), "Fill=B")</f>
        <v>1450</v>
      </c>
      <c r="BW103">
        <f ca="1">_xll.BDP($B$42,$C$42,CONCATENATE("PX391=", $BW$71), CONCATENATE("PX392=",$BW$72), CONCATENATE("DS004=",$B$64), "Fill=B")</f>
        <v>1319</v>
      </c>
      <c r="BX103">
        <f ca="1">_xll.BDP($B$42,$C$42,CONCATENATE("PX391=", $BX$71), CONCATENATE("PX392=",$BX$72), CONCATENATE("DS004=",$B$64), "Fill=B")</f>
        <v>1405</v>
      </c>
      <c r="BY103">
        <f ca="1">_xll.BDP($B$42,$C$42,CONCATENATE("PX391=", $BY$71), CONCATENATE("PX392=",$BY$72), CONCATENATE("DS004=",$B$64), "Fill=B")</f>
        <v>1530</v>
      </c>
      <c r="BZ103">
        <f ca="1">_xll.BDP($B$42,$C$42,CONCATENATE("PX391=", $BZ$71), CONCATENATE("PX392=",$BZ$72), CONCATENATE("DS004=",$B$64), "Fill=B")</f>
        <v>1534</v>
      </c>
      <c r="CA103">
        <f ca="1">_xll.BDP($B$42,$C$42,CONCATENATE("PX391=", $CA$71), CONCATENATE("PX392=",$CA$72), CONCATENATE("DS004=",$B$64), "Fill=B")</f>
        <v>1552</v>
      </c>
      <c r="CB103">
        <f ca="1">_xll.BDP($B$42,$C$42,CONCATENATE("PX391=", $CB$71), CONCATENATE("PX392=",$CB$72), CONCATENATE("DS004=",$B$64), "Fill=B")</f>
        <v>1457</v>
      </c>
      <c r="CC103">
        <f ca="1">_xll.BDP($B$42,$C$42,CONCATENATE("PX391=", $CC$71), CONCATENATE("PX392=",$CC$72), CONCATENATE("DS004=",$B$64), "Fill=B")</f>
        <v>1528</v>
      </c>
      <c r="CD103">
        <f ca="1">_xll.BDP($B$42,$C$42,CONCATENATE("PX391=", $CD$71), CONCATENATE("PX392=",$CD$72), CONCATENATE("DS004=",$B$64), "Fill=B")</f>
        <v>1453</v>
      </c>
      <c r="CE103">
        <f ca="1">_xll.BDP($B$42,$C$42,CONCATENATE("PX391=", $CE$71), CONCATENATE("PX392=",$CE$72), CONCATENATE("DS004=",$B$64), "Fill=B")</f>
        <v>1384</v>
      </c>
      <c r="CF103">
        <f ca="1">_xll.BDP($B$42,$C$42,CONCATENATE("PX391=", $CF$71), CONCATENATE("PX392=",$CF$72), CONCATENATE("DS004=",$B$64), "Fill=B")</f>
        <v>1484</v>
      </c>
      <c r="CG103">
        <f ca="1">_xll.BDP($B$42,$C$42,CONCATENATE("PX391=", $CG$71), CONCATENATE("PX392=",$CG$72), CONCATENATE("DS004=",$B$64), "Fill=B")</f>
        <v>1449</v>
      </c>
      <c r="CH103">
        <f ca="1">_xll.BDP($B$42,$C$42,CONCATENATE("PX391=", $CH$71), CONCATENATE("PX392=",$CH$72), CONCATENATE("DS004=",$B$64), "Fill=B")</f>
        <v>1524</v>
      </c>
      <c r="CI103">
        <f ca="1">_xll.BDP($B$42,$C$42,CONCATENATE("PX391=", $CI$71), CONCATENATE("PX392=",$CI$72), CONCATENATE("DS004=",$B$64), "Fill=B")</f>
        <v>1286</v>
      </c>
      <c r="CJ103">
        <f ca="1">_xll.BDP($B$42,$C$42,CONCATENATE("PX391=", $CJ$71), CONCATENATE("PX392=",$CJ$72), CONCATENATE("DS004=",$B$64), "Fill=B")</f>
        <v>1369</v>
      </c>
      <c r="CK103">
        <f ca="1">_xll.BDP($B$42,$C$42,CONCATENATE("PX391=", $CK$71), CONCATENATE("PX392=",$CK$72), CONCATENATE("DS004=",$B$64), "Fill=B")</f>
        <v>1414</v>
      </c>
      <c r="CL103" t="str">
        <f>""</f>
        <v/>
      </c>
      <c r="CM103" t="str">
        <f>""</f>
        <v/>
      </c>
      <c r="CN103" t="str">
        <f>""</f>
        <v/>
      </c>
      <c r="CO103" t="str">
        <f>""</f>
        <v/>
      </c>
      <c r="CP103" t="str">
        <f>""</f>
        <v/>
      </c>
      <c r="CQ103" t="str">
        <f>""</f>
        <v/>
      </c>
      <c r="CR103" t="str">
        <f>""</f>
        <v/>
      </c>
      <c r="CS103" t="str">
        <f>""</f>
        <v/>
      </c>
      <c r="CT103" t="str">
        <f>""</f>
        <v/>
      </c>
      <c r="CU103" t="str">
        <f>""</f>
        <v/>
      </c>
      <c r="CV103" t="str">
        <f>""</f>
        <v/>
      </c>
      <c r="CW103" t="str">
        <f>""</f>
        <v/>
      </c>
      <c r="CX103" t="str">
        <f>""</f>
        <v/>
      </c>
      <c r="CY103" t="str">
        <f>""</f>
        <v/>
      </c>
      <c r="CZ103" t="str">
        <f>""</f>
        <v/>
      </c>
      <c r="DA103" t="str">
        <f>""</f>
        <v/>
      </c>
      <c r="DB103" t="str">
        <f>""</f>
        <v/>
      </c>
      <c r="DC103" t="str">
        <f>""</f>
        <v/>
      </c>
      <c r="DD103" t="str">
        <f>""</f>
        <v/>
      </c>
      <c r="DE103" t="str">
        <f>""</f>
        <v/>
      </c>
      <c r="DF103" t="str">
        <f>""</f>
        <v/>
      </c>
      <c r="DG103" t="str">
        <f>""</f>
        <v/>
      </c>
      <c r="DH103" t="str">
        <f>""</f>
        <v/>
      </c>
      <c r="DI103" t="str">
        <f>""</f>
        <v/>
      </c>
      <c r="DJ103" t="str">
        <f>""</f>
        <v/>
      </c>
      <c r="DK103" t="str">
        <f>""</f>
        <v/>
      </c>
      <c r="DL103" t="str">
        <f>""</f>
        <v/>
      </c>
      <c r="DM103" t="str">
        <f>""</f>
        <v/>
      </c>
      <c r="DN103" t="str">
        <f>""</f>
        <v/>
      </c>
      <c r="DO103" t="str">
        <f>""</f>
        <v/>
      </c>
      <c r="DP103" t="str">
        <f>""</f>
        <v/>
      </c>
      <c r="DQ103" t="str">
        <f>""</f>
        <v/>
      </c>
      <c r="DR103" t="str">
        <f>""</f>
        <v/>
      </c>
      <c r="DS103" t="str">
        <f>""</f>
        <v/>
      </c>
      <c r="DT103" t="str">
        <f>""</f>
        <v/>
      </c>
      <c r="DU103" t="str">
        <f>""</f>
        <v/>
      </c>
      <c r="DV103" t="str">
        <f>""</f>
        <v/>
      </c>
      <c r="DW103" t="str">
        <f>""</f>
        <v/>
      </c>
      <c r="DX103" t="str">
        <f>""</f>
        <v/>
      </c>
      <c r="DY103" t="str">
        <f>""</f>
        <v/>
      </c>
      <c r="DZ103" t="str">
        <f>""</f>
        <v/>
      </c>
      <c r="EA103" t="str">
        <f>""</f>
        <v/>
      </c>
      <c r="EB103" t="str">
        <f>""</f>
        <v/>
      </c>
      <c r="EC103" t="str">
        <f>""</f>
        <v/>
      </c>
      <c r="ED103" t="str">
        <f>""</f>
        <v/>
      </c>
      <c r="EE103" t="str">
        <f>""</f>
        <v/>
      </c>
      <c r="EF103" t="str">
        <f>""</f>
        <v/>
      </c>
      <c r="EG103" t="str">
        <f>""</f>
        <v/>
      </c>
      <c r="EH103" t="str">
        <f>""</f>
        <v/>
      </c>
      <c r="EI103" t="str">
        <f>""</f>
        <v/>
      </c>
      <c r="EJ103" t="str">
        <f>""</f>
        <v/>
      </c>
      <c r="EK103" t="str">
        <f>""</f>
        <v/>
      </c>
      <c r="EL103" t="str">
        <f>""</f>
        <v/>
      </c>
      <c r="EM103" t="str">
        <f>""</f>
        <v/>
      </c>
      <c r="EN103" t="str">
        <f>""</f>
        <v/>
      </c>
      <c r="EO103" t="str">
        <f>""</f>
        <v/>
      </c>
      <c r="EP103" t="str">
        <f>""</f>
        <v/>
      </c>
      <c r="EQ103" t="str">
        <f>""</f>
        <v/>
      </c>
      <c r="ER103" t="str">
        <f>""</f>
        <v/>
      </c>
      <c r="ES103" t="str">
        <f>""</f>
        <v/>
      </c>
      <c r="ET103" t="str">
        <f>""</f>
        <v/>
      </c>
      <c r="EU103" t="str">
        <f>""</f>
        <v/>
      </c>
      <c r="EV103" t="str">
        <f>""</f>
        <v/>
      </c>
      <c r="EW103" t="str">
        <f>""</f>
        <v/>
      </c>
      <c r="EX103" t="str">
        <f>""</f>
        <v/>
      </c>
      <c r="EY103" t="str">
        <f>""</f>
        <v/>
      </c>
      <c r="EZ103" t="str">
        <f>""</f>
        <v/>
      </c>
      <c r="FA103" t="str">
        <f>""</f>
        <v/>
      </c>
      <c r="FB103" t="str">
        <f>""</f>
        <v/>
      </c>
      <c r="FC103" t="str">
        <f>""</f>
        <v/>
      </c>
      <c r="FD103" t="str">
        <f>""</f>
        <v/>
      </c>
      <c r="FE103" t="str">
        <f>""</f>
        <v/>
      </c>
      <c r="FF103" t="str">
        <f>""</f>
        <v/>
      </c>
      <c r="FG103" t="str">
        <f>""</f>
        <v/>
      </c>
      <c r="FH103" t="str">
        <f>""</f>
        <v/>
      </c>
      <c r="FI103" t="str">
        <f>""</f>
        <v/>
      </c>
      <c r="FJ103" t="str">
        <f>""</f>
        <v/>
      </c>
      <c r="FK103" t="str">
        <f>""</f>
        <v/>
      </c>
      <c r="FL103" t="str">
        <f>""</f>
        <v/>
      </c>
      <c r="FM103" t="str">
        <f>""</f>
        <v/>
      </c>
      <c r="FN103" t="str">
        <f>""</f>
        <v/>
      </c>
      <c r="FO103" t="str">
        <f>""</f>
        <v/>
      </c>
      <c r="FP103" t="str">
        <f>""</f>
        <v/>
      </c>
      <c r="FQ103" t="str">
        <f>""</f>
        <v/>
      </c>
    </row>
    <row r="104" spans="1:173" x14ac:dyDescent="0.25">
      <c r="A104" t="str">
        <f>$A$44</f>
        <v xml:space="preserve">    Total Vessels Crossing</v>
      </c>
      <c r="B104" t="str">
        <f>$B$44</f>
        <v>PNTRTNV Index</v>
      </c>
      <c r="C104" t="str">
        <f>$C$44</f>
        <v>PX385</v>
      </c>
      <c r="D104" t="str">
        <f>$D$44</f>
        <v>INTERVAL_SUM</v>
      </c>
      <c r="E104" t="str">
        <f>$E$44</f>
        <v>Dynamic</v>
      </c>
      <c r="F104" t="str">
        <f ca="1">_xll.BDP($B$44,$C$44,CONCATENATE("PX391=", $F$71), CONCATENATE("PX392=",$F$72), CONCATENATE("DS004=",$B$64), "Fill=B")</f>
        <v/>
      </c>
      <c r="G104">
        <f ca="1">_xll.BDP($B$44,$C$44,CONCATENATE("PX391=", $G$71), CONCATENATE("PX392=",$G$72), CONCATENATE("DS004=",$B$64), "Fill=B")</f>
        <v>1003</v>
      </c>
      <c r="H104">
        <f ca="1">_xll.BDP($B$44,$C$44,CONCATENATE("PX391=", $H$71), CONCATENATE("PX392=",$H$72), CONCATENATE("DS004=",$B$64), "Fill=B")</f>
        <v>977</v>
      </c>
      <c r="I104">
        <f ca="1">_xll.BDP($B$44,$C$44,CONCATENATE("PX391=", $I$71), CONCATENATE("PX392=",$I$72), CONCATENATE("DS004=",$B$64), "Fill=B")</f>
        <v>1012</v>
      </c>
      <c r="J104">
        <f ca="1">_xll.BDP($B$44,$C$44,CONCATENATE("PX391=", $J$71), CONCATENATE("PX392=",$J$72), CONCATENATE("DS004=",$B$64), "Fill=B")</f>
        <v>1036</v>
      </c>
      <c r="K104">
        <f ca="1">_xll.BDP($B$44,$C$44,CONCATENATE("PX391=", $K$71), CONCATENATE("PX392=",$K$72), CONCATENATE("DS004=",$B$64), "Fill=B")</f>
        <v>964</v>
      </c>
      <c r="L104">
        <f ca="1">_xll.BDP($B$44,$C$44,CONCATENATE("PX391=", $L$71), CONCATENATE("PX392=",$L$72), CONCATENATE("DS004=",$B$64), "Fill=B")</f>
        <v>1010</v>
      </c>
      <c r="M104">
        <f ca="1">_xll.BDP($B$44,$C$44,CONCATENATE("PX391=", $M$71), CONCATENATE("PX392=",$M$72), CONCATENATE("DS004=",$B$64), "Fill=B")</f>
        <v>1078</v>
      </c>
      <c r="N104">
        <f ca="1">_xll.BDP($B$44,$C$44,CONCATENATE("PX391=", $N$71), CONCATENATE("PX392=",$N$72), CONCATENATE("DS004=",$B$64), "Fill=B")</f>
        <v>1113</v>
      </c>
      <c r="O104">
        <f ca="1">_xll.BDP($B$44,$C$44,CONCATENATE("PX391=", $O$71), CONCATENATE("PX392=",$O$72), CONCATENATE("DS004=",$B$64), "Fill=B")</f>
        <v>995</v>
      </c>
      <c r="P104">
        <f ca="1">_xll.BDP($B$44,$C$44,CONCATENATE("PX391=", $P$71), CONCATENATE("PX392=",$P$72), CONCATENATE("DS004=",$B$64), "Fill=B")</f>
        <v>1128</v>
      </c>
      <c r="Q104">
        <f ca="1">_xll.BDP($B$44,$C$44,CONCATENATE("PX391=", $Q$71), CONCATENATE("PX392=",$Q$72), CONCATENATE("DS004=",$B$64), "Fill=B")</f>
        <v>1148</v>
      </c>
      <c r="R104">
        <f ca="1">_xll.BDP($B$44,$C$44,CONCATENATE("PX391=", $R$71), CONCATENATE("PX392=",$R$72), CONCATENATE("DS004=",$B$64), "Fill=B")</f>
        <v>1091</v>
      </c>
      <c r="S104">
        <f ca="1">_xll.BDP($B$44,$C$44,CONCATENATE("PX391=", $S$71), CONCATENATE("PX392=",$S$72), CONCATENATE("DS004=",$B$64), "Fill=B")</f>
        <v>1086</v>
      </c>
      <c r="T104">
        <f ca="1">_xll.BDP($B$44,$C$44,CONCATENATE("PX391=", $T$71), CONCATENATE("PX392=",$T$72), CONCATENATE("DS004=",$B$64), "Fill=B")</f>
        <v>999</v>
      </c>
      <c r="U104">
        <f ca="1">_xll.BDP($B$44,$C$44,CONCATENATE("PX391=", $U$71), CONCATENATE("PX392=",$U$72), CONCATENATE("DS004=",$B$64), "Fill=B")</f>
        <v>1115</v>
      </c>
      <c r="V104">
        <f ca="1">_xll.BDP($B$44,$C$44,CONCATENATE("PX391=", $V$71), CONCATENATE("PX392=",$V$72), CONCATENATE("DS004=",$B$64), "Fill=B")</f>
        <v>1049</v>
      </c>
      <c r="W104">
        <f ca="1">_xll.BDP($B$44,$C$44,CONCATENATE("PX391=", $W$71), CONCATENATE("PX392=",$W$72), CONCATENATE("DS004=",$B$64), "Fill=B")</f>
        <v>1090</v>
      </c>
      <c r="X104">
        <f ca="1">_xll.BDP($B$44,$C$44,CONCATENATE("PX391=", $X$71), CONCATENATE("PX392=",$X$72), CONCATENATE("DS004=",$B$64), "Fill=B")</f>
        <v>1096</v>
      </c>
      <c r="Y104">
        <f ca="1">_xll.BDP($B$44,$C$44,CONCATENATE("PX391=", $Y$71), CONCATENATE("PX392=",$Y$72), CONCATENATE("DS004=",$B$64), "Fill=B")</f>
        <v>1034</v>
      </c>
      <c r="Z104">
        <f ca="1">_xll.BDP($B$44,$C$44,CONCATENATE("PX391=", $Z$71), CONCATENATE("PX392=",$Z$72), CONCATENATE("DS004=",$B$64), "Fill=B")</f>
        <v>1098</v>
      </c>
      <c r="AA104">
        <f ca="1">_xll.BDP($B$44,$C$44,CONCATENATE("PX391=", $AA$71), CONCATENATE("PX392=",$AA$72), CONCATENATE("DS004=",$B$64), "Fill=B")</f>
        <v>1046</v>
      </c>
      <c r="AB104">
        <f ca="1">_xll.BDP($B$44,$C$44,CONCATENATE("PX391=", $AB$71), CONCATENATE("PX392=",$AB$72), CONCATENATE("DS004=",$B$64), "Fill=B")</f>
        <v>1107</v>
      </c>
      <c r="AC104">
        <f ca="1">_xll.BDP($B$44,$C$44,CONCATENATE("PX391=", $AC$71), CONCATENATE("PX392=",$AC$72), CONCATENATE("DS004=",$B$64), "Fill=B")</f>
        <v>1180</v>
      </c>
      <c r="AD104">
        <f ca="1">_xll.BDP($B$44,$C$44,CONCATENATE("PX391=", $AD$71), CONCATENATE("PX392=",$AD$72), CONCATENATE("DS004=",$B$64), "Fill=B")</f>
        <v>1134</v>
      </c>
      <c r="AE104">
        <f ca="1">_xll.BDP($B$44,$C$44,CONCATENATE("PX391=", $AE$71), CONCATENATE("PX392=",$AE$72), CONCATENATE("DS004=",$B$64), "Fill=B")</f>
        <v>1061</v>
      </c>
      <c r="AF104">
        <f ca="1">_xll.BDP($B$44,$C$44,CONCATENATE("PX391=", $AF$71), CONCATENATE("PX392=",$AF$72), CONCATENATE("DS004=",$B$64), "Fill=B")</f>
        <v>905</v>
      </c>
      <c r="AG104">
        <f ca="1">_xll.BDP($B$44,$C$44,CONCATENATE("PX391=", $AG$71), CONCATENATE("PX392=",$AG$72), CONCATENATE("DS004=",$B$64), "Fill=B")</f>
        <v>1101</v>
      </c>
      <c r="AH104">
        <f ca="1">_xll.BDP($B$44,$C$44,CONCATENATE("PX391=", $AH$71), CONCATENATE("PX392=",$AH$72), CONCATENATE("DS004=",$B$64), "Fill=B")</f>
        <v>1044</v>
      </c>
      <c r="AI104">
        <f ca="1">_xll.BDP($B$44,$C$44,CONCATENATE("PX391=", $AI$71), CONCATENATE("PX392=",$AI$72), CONCATENATE("DS004=",$B$64), "Fill=B")</f>
        <v>995</v>
      </c>
      <c r="AJ104">
        <f ca="1">_xll.BDP($B$44,$C$44,CONCATENATE("PX391=", $AJ$71), CONCATENATE("PX392=",$AJ$72), CONCATENATE("DS004=",$B$64), "Fill=B")</f>
        <v>1026</v>
      </c>
      <c r="AK104">
        <f ca="1">_xll.BDP($B$44,$C$44,CONCATENATE("PX391=", $AK$71), CONCATENATE("PX392=",$AK$72), CONCATENATE("DS004=",$B$64), "Fill=B")</f>
        <v>1033</v>
      </c>
      <c r="AL104">
        <f ca="1">_xll.BDP($B$44,$C$44,CONCATENATE("PX391=", $AL$71), CONCATENATE("PX392=",$AL$72), CONCATENATE("DS004=",$B$64), "Fill=B")</f>
        <v>1099</v>
      </c>
      <c r="AM104">
        <f ca="1">_xll.BDP($B$44,$C$44,CONCATENATE("PX391=", $AM$71), CONCATENATE("PX392=",$AM$72), CONCATENATE("DS004=",$B$64), "Fill=B")</f>
        <v>990</v>
      </c>
      <c r="AN104">
        <f ca="1">_xll.BDP($B$44,$C$44,CONCATENATE("PX391=", $AN$71), CONCATENATE("PX392=",$AN$72), CONCATENATE("DS004=",$B$64), "Fill=B")</f>
        <v>1082</v>
      </c>
      <c r="AO104">
        <f ca="1">_xll.BDP($B$44,$C$44,CONCATENATE("PX391=", $AO$71), CONCATENATE("PX392=",$AO$72), CONCATENATE("DS004=",$B$64), "Fill=B")</f>
        <v>1114</v>
      </c>
      <c r="AP104">
        <f ca="1">_xll.BDP($B$44,$C$44,CONCATENATE("PX391=", $AP$71), CONCATENATE("PX392=",$AP$72), CONCATENATE("DS004=",$B$64), "Fill=B")</f>
        <v>1050</v>
      </c>
      <c r="AQ104">
        <f ca="1">_xll.BDP($B$44,$C$44,CONCATENATE("PX391=", $AQ$71), CONCATENATE("PX392=",$AQ$72), CONCATENATE("DS004=",$B$64), "Fill=B")</f>
        <v>1097</v>
      </c>
      <c r="AR104">
        <f ca="1">_xll.BDP($B$44,$C$44,CONCATENATE("PX391=", $AR$71), CONCATENATE("PX392=",$AR$72), CONCATENATE("DS004=",$B$64), "Fill=B")</f>
        <v>949</v>
      </c>
      <c r="AS104">
        <f ca="1">_xll.BDP($B$44,$C$44,CONCATENATE("PX391=", $AS$71), CONCATENATE("PX392=",$AS$72), CONCATENATE("DS004=",$B$64), "Fill=B")</f>
        <v>1000</v>
      </c>
      <c r="AT104">
        <f ca="1">_xll.BDP($B$44,$C$44,CONCATENATE("PX391=", $AT$71), CONCATENATE("PX392=",$AT$72), CONCATENATE("DS004=",$B$64), "Fill=B")</f>
        <v>933</v>
      </c>
      <c r="AU104">
        <f ca="1">_xll.BDP($B$44,$C$44,CONCATENATE("PX391=", $AU$71), CONCATENATE("PX392=",$AU$72), CONCATENATE("DS004=",$B$64), "Fill=B")</f>
        <v>845</v>
      </c>
      <c r="AV104">
        <f ca="1">_xll.BDP($B$44,$C$44,CONCATENATE("PX391=", $AV$71), CONCATENATE("PX392=",$AV$72), CONCATENATE("DS004=",$B$64), "Fill=B")</f>
        <v>894</v>
      </c>
      <c r="AW104">
        <f ca="1">_xll.BDP($B$44,$C$44,CONCATENATE("PX391=", $AW$71), CONCATENATE("PX392=",$AW$72), CONCATENATE("DS004=",$B$64), "Fill=B")</f>
        <v>969</v>
      </c>
      <c r="AX104">
        <f ca="1">_xll.BDP($B$44,$C$44,CONCATENATE("PX391=", $AX$71), CONCATENATE("PX392=",$AX$72), CONCATENATE("DS004=",$B$64), "Fill=B")</f>
        <v>1086</v>
      </c>
      <c r="AY104">
        <f ca="1">_xll.BDP($B$44,$C$44,CONCATENATE("PX391=", $AY$71), CONCATENATE("PX392=",$AY$72), CONCATENATE("DS004=",$B$64), "Fill=B")</f>
        <v>1021</v>
      </c>
      <c r="AZ104">
        <f ca="1">_xll.BDP($B$44,$C$44,CONCATENATE("PX391=", $AZ$71), CONCATENATE("PX392=",$AZ$72), CONCATENATE("DS004=",$B$64), "Fill=B")</f>
        <v>1134</v>
      </c>
      <c r="BA104">
        <f ca="1">_xll.BDP($B$44,$C$44,CONCATENATE("PX391=", $BA$71), CONCATENATE("PX392=",$BA$72), CONCATENATE("DS004=",$B$64), "Fill=B")</f>
        <v>1143</v>
      </c>
      <c r="BB104">
        <f ca="1">_xll.BDP($B$44,$C$44,CONCATENATE("PX391=", $BB$71), CONCATENATE("PX392=",$BB$72), CONCATENATE("DS004=",$B$64), "Fill=B")</f>
        <v>1136</v>
      </c>
      <c r="BC104">
        <f ca="1">_xll.BDP($B$44,$C$44,CONCATENATE("PX391=", $BC$71), CONCATENATE("PX392=",$BC$72), CONCATENATE("DS004=",$B$64), "Fill=B")</f>
        <v>1137</v>
      </c>
      <c r="BD104">
        <f ca="1">_xll.BDP($B$44,$C$44,CONCATENATE("PX391=", $BD$71), CONCATENATE("PX392=",$BD$72), CONCATENATE("DS004=",$B$64), "Fill=B")</f>
        <v>1025</v>
      </c>
      <c r="BE104">
        <f ca="1">_xll.BDP($B$44,$C$44,CONCATENATE("PX391=", $BE$71), CONCATENATE("PX392=",$BE$72), CONCATENATE("DS004=",$B$64), "Fill=B")</f>
        <v>1113</v>
      </c>
      <c r="BF104">
        <f ca="1">_xll.BDP($B$44,$C$44,CONCATENATE("PX391=", $BF$71), CONCATENATE("PX392=",$BF$72), CONCATENATE("DS004=",$B$64), "Fill=B")</f>
        <v>1001</v>
      </c>
      <c r="BG104">
        <f ca="1">_xll.BDP($B$44,$C$44,CONCATENATE("PX391=", $BG$71), CONCATENATE("PX392=",$BG$72), CONCATENATE("DS004=",$B$64), "Fill=B")</f>
        <v>975</v>
      </c>
      <c r="BH104">
        <f ca="1">_xll.BDP($B$44,$C$44,CONCATENATE("PX391=", $BH$71), CONCATENATE("PX392=",$BH$72), CONCATENATE("DS004=",$B$64), "Fill=B")</f>
        <v>1032</v>
      </c>
      <c r="BI104">
        <f ca="1">_xll.BDP($B$44,$C$44,CONCATENATE("PX391=", $BI$71), CONCATENATE("PX392=",$BI$72), CONCATENATE("DS004=",$B$64), "Fill=B")</f>
        <v>1006</v>
      </c>
      <c r="BJ104">
        <f ca="1">_xll.BDP($B$44,$C$44,CONCATENATE("PX391=", $BJ$71), CONCATENATE("PX392=",$BJ$72), CONCATENATE("DS004=",$B$64), "Fill=B")</f>
        <v>1067</v>
      </c>
      <c r="BK104">
        <f ca="1">_xll.BDP($B$44,$C$44,CONCATENATE("PX391=", $BK$71), CONCATENATE("PX392=",$BK$72), CONCATENATE("DS004=",$B$64), "Fill=B")</f>
        <v>962</v>
      </c>
      <c r="BL104">
        <f ca="1">_xll.BDP($B$44,$C$44,CONCATENATE("PX391=", $BL$71), CONCATENATE("PX392=",$BL$72), CONCATENATE("DS004=",$B$64), "Fill=B")</f>
        <v>1072</v>
      </c>
      <c r="BM104">
        <f ca="1">_xll.BDP($B$44,$C$44,CONCATENATE("PX391=", $BM$71), CONCATENATE("PX392=",$BM$72), CONCATENATE("DS004=",$B$64), "Fill=B")</f>
        <v>1014</v>
      </c>
      <c r="BN104">
        <f ca="1">_xll.BDP($B$44,$C$44,CONCATENATE("PX391=", $BN$71), CONCATENATE("PX392=",$BN$72), CONCATENATE("DS004=",$B$64), "Fill=B")</f>
        <v>977</v>
      </c>
      <c r="BO104">
        <f ca="1">_xll.BDP($B$44,$C$44,CONCATENATE("PX391=", $BO$71), CONCATENATE("PX392=",$BO$72), CONCATENATE("DS004=",$B$64), "Fill=B")</f>
        <v>1046</v>
      </c>
      <c r="BP104">
        <f ca="1">_xll.BDP($B$44,$C$44,CONCATENATE("PX391=", $BP$71), CONCATENATE("PX392=",$BP$72), CONCATENATE("DS004=",$B$64), "Fill=B")</f>
        <v>992</v>
      </c>
      <c r="BQ104">
        <f ca="1">_xll.BDP($B$44,$C$44,CONCATENATE("PX391=", $BQ$71), CONCATENATE("PX392=",$BQ$72), CONCATENATE("DS004=",$B$64), "Fill=B")</f>
        <v>1005</v>
      </c>
      <c r="BR104">
        <f ca="1">_xll.BDP($B$44,$C$44,CONCATENATE("PX391=", $BR$71), CONCATENATE("PX392=",$BR$72), CONCATENATE("DS004=",$B$64), "Fill=B")</f>
        <v>998</v>
      </c>
      <c r="BS104">
        <f ca="1">_xll.BDP($B$44,$C$44,CONCATENATE("PX391=", $BS$71), CONCATENATE("PX392=",$BS$72), CONCATENATE("DS004=",$B$64), "Fill=B")</f>
        <v>955</v>
      </c>
      <c r="BT104">
        <f ca="1">_xll.BDP($B$44,$C$44,CONCATENATE("PX391=", $BT$71), CONCATENATE("PX392=",$BT$72), CONCATENATE("DS004=",$B$64), "Fill=B")</f>
        <v>1069</v>
      </c>
      <c r="BU104">
        <f ca="1">_xll.BDP($B$44,$C$44,CONCATENATE("PX391=", $BU$71), CONCATENATE("PX392=",$BU$72), CONCATENATE("DS004=",$B$64), "Fill=B")</f>
        <v>1014</v>
      </c>
      <c r="BV104">
        <f ca="1">_xll.BDP($B$44,$C$44,CONCATENATE("PX391=", $BV$71), CONCATENATE("PX392=",$BV$72), CONCATENATE("DS004=",$B$64), "Fill=B")</f>
        <v>1014</v>
      </c>
      <c r="BW104">
        <f ca="1">_xll.BDP($B$44,$C$44,CONCATENATE("PX391=", $BW$71), CONCATENATE("PX392=",$BW$72), CONCATENATE("DS004=",$B$64), "Fill=B")</f>
        <v>1088</v>
      </c>
      <c r="BX104">
        <f ca="1">_xll.BDP($B$44,$C$44,CONCATENATE("PX391=", $BX$71), CONCATENATE("PX392=",$BX$72), CONCATENATE("DS004=",$B$64), "Fill=B")</f>
        <v>1050</v>
      </c>
      <c r="BY104">
        <f ca="1">_xll.BDP($B$44,$C$44,CONCATENATE("PX391=", $BY$71), CONCATENATE("PX392=",$BY$72), CONCATENATE("DS004=",$B$64), "Fill=B")</f>
        <v>1047</v>
      </c>
      <c r="BZ104">
        <f ca="1">_xll.BDP($B$44,$C$44,CONCATENATE("PX391=", $BZ$71), CONCATENATE("PX392=",$BZ$72), CONCATENATE("DS004=",$B$64), "Fill=B")</f>
        <v>994</v>
      </c>
      <c r="CA104">
        <f ca="1">_xll.BDP($B$44,$C$44,CONCATENATE("PX391=", $CA$71), CONCATENATE("PX392=",$CA$72), CONCATENATE("DS004=",$B$64), "Fill=B")</f>
        <v>1055</v>
      </c>
      <c r="CB104">
        <f ca="1">_xll.BDP($B$44,$C$44,CONCATENATE("PX391=", $CB$71), CONCATENATE("PX392=",$CB$72), CONCATENATE("DS004=",$B$64), "Fill=B")</f>
        <v>964</v>
      </c>
      <c r="CC104">
        <f ca="1">_xll.BDP($B$44,$C$44,CONCATENATE("PX391=", $CC$71), CONCATENATE("PX392=",$CC$72), CONCATENATE("DS004=",$B$64), "Fill=B")</f>
        <v>974</v>
      </c>
      <c r="CD104">
        <f ca="1">_xll.BDP($B$44,$C$44,CONCATENATE("PX391=", $CD$71), CONCATENATE("PX392=",$CD$72), CONCATENATE("DS004=",$B$64), "Fill=B")</f>
        <v>1017</v>
      </c>
      <c r="CE104">
        <f ca="1">_xll.BDP($B$44,$C$44,CONCATENATE("PX391=", $CE$71), CONCATENATE("PX392=",$CE$72), CONCATENATE("DS004=",$B$64), "Fill=B")</f>
        <v>889</v>
      </c>
      <c r="CF104">
        <f ca="1">_xll.BDP($B$44,$C$44,CONCATENATE("PX391=", $CF$71), CONCATENATE("PX392=",$CF$72), CONCATENATE("DS004=",$B$64), "Fill=B")</f>
        <v>990</v>
      </c>
      <c r="CG104">
        <f ca="1">_xll.BDP($B$44,$C$44,CONCATENATE("PX391=", $CG$71), CONCATENATE("PX392=",$CG$72), CONCATENATE("DS004=",$B$64), "Fill=B")</f>
        <v>1016</v>
      </c>
      <c r="CH104">
        <f ca="1">_xll.BDP($B$44,$C$44,CONCATENATE("PX391=", $CH$71), CONCATENATE("PX392=",$CH$72), CONCATENATE("DS004=",$B$64), "Fill=B")</f>
        <v>1071</v>
      </c>
      <c r="CI104">
        <f ca="1">_xll.BDP($B$44,$C$44,CONCATENATE("PX391=", $CI$71), CONCATENATE("PX392=",$CI$72), CONCATENATE("DS004=",$B$64), "Fill=B")</f>
        <v>983</v>
      </c>
      <c r="CJ104">
        <f ca="1">_xll.BDP($B$44,$C$44,CONCATENATE("PX391=", $CJ$71), CONCATENATE("PX392=",$CJ$72), CONCATENATE("DS004=",$B$64), "Fill=B")</f>
        <v>1111</v>
      </c>
      <c r="CK104">
        <f ca="1">_xll.BDP($B$44,$C$44,CONCATENATE("PX391=", $CK$71), CONCATENATE("PX392=",$CK$72), CONCATENATE("DS004=",$B$64), "Fill=B")</f>
        <v>1043.5219999999999</v>
      </c>
      <c r="CL104" t="str">
        <f>""</f>
        <v/>
      </c>
      <c r="CM104" t="str">
        <f>""</f>
        <v/>
      </c>
      <c r="CN104" t="str">
        <f>""</f>
        <v/>
      </c>
      <c r="CO104" t="str">
        <f>""</f>
        <v/>
      </c>
      <c r="CP104" t="str">
        <f>""</f>
        <v/>
      </c>
      <c r="CQ104" t="str">
        <f>""</f>
        <v/>
      </c>
      <c r="CR104" t="str">
        <f>""</f>
        <v/>
      </c>
      <c r="CS104" t="str">
        <f>""</f>
        <v/>
      </c>
      <c r="CT104" t="str">
        <f>""</f>
        <v/>
      </c>
      <c r="CU104" t="str">
        <f>""</f>
        <v/>
      </c>
      <c r="CV104" t="str">
        <f>""</f>
        <v/>
      </c>
      <c r="CW104" t="str">
        <f>""</f>
        <v/>
      </c>
      <c r="CX104" t="str">
        <f>""</f>
        <v/>
      </c>
      <c r="CY104" t="str">
        <f>""</f>
        <v/>
      </c>
      <c r="CZ104" t="str">
        <f>""</f>
        <v/>
      </c>
      <c r="DA104" t="str">
        <f>""</f>
        <v/>
      </c>
      <c r="DB104" t="str">
        <f>""</f>
        <v/>
      </c>
      <c r="DC104" t="str">
        <f>""</f>
        <v/>
      </c>
      <c r="DD104" t="str">
        <f>""</f>
        <v/>
      </c>
      <c r="DE104" t="str">
        <f>""</f>
        <v/>
      </c>
      <c r="DF104" t="str">
        <f>""</f>
        <v/>
      </c>
      <c r="DG104" t="str">
        <f>""</f>
        <v/>
      </c>
      <c r="DH104" t="str">
        <f>""</f>
        <v/>
      </c>
      <c r="DI104" t="str">
        <f>""</f>
        <v/>
      </c>
      <c r="DJ104" t="str">
        <f>""</f>
        <v/>
      </c>
      <c r="DK104" t="str">
        <f>""</f>
        <v/>
      </c>
      <c r="DL104" t="str">
        <f>""</f>
        <v/>
      </c>
      <c r="DM104" t="str">
        <f>""</f>
        <v/>
      </c>
      <c r="DN104" t="str">
        <f>""</f>
        <v/>
      </c>
      <c r="DO104" t="str">
        <f>""</f>
        <v/>
      </c>
      <c r="DP104" t="str">
        <f>""</f>
        <v/>
      </c>
      <c r="DQ104" t="str">
        <f>""</f>
        <v/>
      </c>
      <c r="DR104" t="str">
        <f>""</f>
        <v/>
      </c>
      <c r="DS104" t="str">
        <f>""</f>
        <v/>
      </c>
      <c r="DT104" t="str">
        <f>""</f>
        <v/>
      </c>
      <c r="DU104" t="str">
        <f>""</f>
        <v/>
      </c>
      <c r="DV104" t="str">
        <f>""</f>
        <v/>
      </c>
      <c r="DW104" t="str">
        <f>""</f>
        <v/>
      </c>
      <c r="DX104" t="str">
        <f>""</f>
        <v/>
      </c>
      <c r="DY104" t="str">
        <f>""</f>
        <v/>
      </c>
      <c r="DZ104" t="str">
        <f>""</f>
        <v/>
      </c>
      <c r="EA104" t="str">
        <f>""</f>
        <v/>
      </c>
      <c r="EB104" t="str">
        <f>""</f>
        <v/>
      </c>
      <c r="EC104" t="str">
        <f>""</f>
        <v/>
      </c>
      <c r="ED104" t="str">
        <f>""</f>
        <v/>
      </c>
      <c r="EE104" t="str">
        <f>""</f>
        <v/>
      </c>
      <c r="EF104" t="str">
        <f>""</f>
        <v/>
      </c>
      <c r="EG104" t="str">
        <f>""</f>
        <v/>
      </c>
      <c r="EH104" t="str">
        <f>""</f>
        <v/>
      </c>
      <c r="EI104" t="str">
        <f>""</f>
        <v/>
      </c>
      <c r="EJ104" t="str">
        <f>""</f>
        <v/>
      </c>
      <c r="EK104" t="str">
        <f>""</f>
        <v/>
      </c>
      <c r="EL104" t="str">
        <f>""</f>
        <v/>
      </c>
      <c r="EM104" t="str">
        <f>""</f>
        <v/>
      </c>
      <c r="EN104" t="str">
        <f>""</f>
        <v/>
      </c>
      <c r="EO104" t="str">
        <f>""</f>
        <v/>
      </c>
      <c r="EP104" t="str">
        <f>""</f>
        <v/>
      </c>
      <c r="EQ104" t="str">
        <f>""</f>
        <v/>
      </c>
      <c r="ER104" t="str">
        <f>""</f>
        <v/>
      </c>
      <c r="ES104" t="str">
        <f>""</f>
        <v/>
      </c>
      <c r="ET104" t="str">
        <f>""</f>
        <v/>
      </c>
      <c r="EU104" t="str">
        <f>""</f>
        <v/>
      </c>
      <c r="EV104" t="str">
        <f>""</f>
        <v/>
      </c>
      <c r="EW104" t="str">
        <f>""</f>
        <v/>
      </c>
      <c r="EX104" t="str">
        <f>""</f>
        <v/>
      </c>
      <c r="EY104" t="str">
        <f>""</f>
        <v/>
      </c>
      <c r="EZ104" t="str">
        <f>""</f>
        <v/>
      </c>
      <c r="FA104" t="str">
        <f>""</f>
        <v/>
      </c>
      <c r="FB104" t="str">
        <f>""</f>
        <v/>
      </c>
      <c r="FC104" t="str">
        <f>""</f>
        <v/>
      </c>
      <c r="FD104" t="str">
        <f>""</f>
        <v/>
      </c>
      <c r="FE104" t="str">
        <f>""</f>
        <v/>
      </c>
      <c r="FF104" t="str">
        <f>""</f>
        <v/>
      </c>
      <c r="FG104" t="str">
        <f>""</f>
        <v/>
      </c>
      <c r="FH104" t="str">
        <f>""</f>
        <v/>
      </c>
      <c r="FI104" t="str">
        <f>""</f>
        <v/>
      </c>
      <c r="FJ104" t="str">
        <f>""</f>
        <v/>
      </c>
      <c r="FK104" t="str">
        <f>""</f>
        <v/>
      </c>
      <c r="FL104" t="str">
        <f>""</f>
        <v/>
      </c>
      <c r="FM104" t="str">
        <f>""</f>
        <v/>
      </c>
      <c r="FN104" t="str">
        <f>""</f>
        <v/>
      </c>
      <c r="FO104" t="str">
        <f>""</f>
        <v/>
      </c>
      <c r="FP104" t="str">
        <f>""</f>
        <v/>
      </c>
      <c r="FQ104" t="str">
        <f>""</f>
        <v/>
      </c>
    </row>
    <row r="105" spans="1:173" x14ac:dyDescent="0.25">
      <c r="A105" t="str">
        <f>$A$45</f>
        <v>Port Hedland Cargo Statistics - Australia Port Hedland Total Exports (tonnes) - Loaded Container Exports</v>
      </c>
      <c r="B105" t="str">
        <f>$B$45</f>
        <v>AHEDEXGE Index</v>
      </c>
      <c r="C105" t="str">
        <f>$C$45</f>
        <v>PX385</v>
      </c>
      <c r="D105" t="str">
        <f>$D$45</f>
        <v>INTERVAL_SUM</v>
      </c>
      <c r="E105" t="str">
        <f>$E$45</f>
        <v>Dynamic</v>
      </c>
      <c r="F105" t="str">
        <f ca="1">_xll.BDP($B$45,$C$45,CONCATENATE("PX391=", $F$71), CONCATENATE("PX392=",$F$72), CONCATENATE("DS004=",$B$64), "Fill=B")</f>
        <v/>
      </c>
      <c r="G105" t="str">
        <f ca="1">_xll.BDP($B$45,$C$45,CONCATENATE("PX391=", $G$71), CONCATENATE("PX392=",$G$72), CONCATENATE("DS004=",$B$64), "Fill=B")</f>
        <v/>
      </c>
      <c r="H105">
        <f ca="1">_xll.BDP($B$45,$C$45,CONCATENATE("PX391=", $H$71), CONCATENATE("PX392=",$H$72), CONCATENATE("DS004=",$B$64), "Fill=B")</f>
        <v>28545.1</v>
      </c>
      <c r="I105">
        <f ca="1">_xll.BDP($B$45,$C$45,CONCATENATE("PX391=", $I$71), CONCATENATE("PX392=",$I$72), CONCATENATE("DS004=",$B$64), "Fill=B")</f>
        <v>10185.98</v>
      </c>
      <c r="J105">
        <f ca="1">_xll.BDP($B$45,$C$45,CONCATENATE("PX391=", $J$71), CONCATENATE("PX392=",$J$72), CONCATENATE("DS004=",$B$64), "Fill=B")</f>
        <v>940.51</v>
      </c>
      <c r="K105">
        <f ca="1">_xll.BDP($B$45,$C$45,CONCATENATE("PX391=", $K$71), CONCATENATE("PX392=",$K$72), CONCATENATE("DS004=",$B$64), "Fill=B")</f>
        <v>0</v>
      </c>
      <c r="L105">
        <f ca="1">_xll.BDP($B$45,$C$45,CONCATENATE("PX391=", $L$71), CONCATENATE("PX392=",$L$72), CONCATENATE("DS004=",$B$64), "Fill=B")</f>
        <v>0</v>
      </c>
      <c r="M105">
        <f ca="1">_xll.BDP($B$45,$C$45,CONCATENATE("PX391=", $M$71), CONCATENATE("PX392=",$M$72), CONCATENATE("DS004=",$B$64), "Fill=B")</f>
        <v>0</v>
      </c>
      <c r="N105">
        <f ca="1">_xll.BDP($B$45,$C$45,CONCATENATE("PX391=", $N$71), CONCATENATE("PX392=",$N$72), CONCATENATE("DS004=",$B$64), "Fill=B")</f>
        <v>12814</v>
      </c>
      <c r="O105">
        <f ca="1">_xll.BDP($B$45,$C$45,CONCATENATE("PX391=", $O$71), CONCATENATE("PX392=",$O$72), CONCATENATE("DS004=",$B$64), "Fill=B")</f>
        <v>0</v>
      </c>
      <c r="P105">
        <f ca="1">_xll.BDP($B$45,$C$45,CONCATENATE("PX391=", $P$71), CONCATENATE("PX392=",$P$72), CONCATENATE("DS004=",$B$64), "Fill=B")</f>
        <v>0</v>
      </c>
      <c r="Q105">
        <f ca="1">_xll.BDP($B$45,$C$45,CONCATENATE("PX391=", $Q$71), CONCATENATE("PX392=",$Q$72), CONCATENATE("DS004=",$B$64), "Fill=B")</f>
        <v>18696.79</v>
      </c>
      <c r="R105">
        <f ca="1">_xll.BDP($B$45,$C$45,CONCATENATE("PX391=", $R$71), CONCATENATE("PX392=",$R$72), CONCATENATE("DS004=",$B$64), "Fill=B")</f>
        <v>20.71</v>
      </c>
      <c r="S105">
        <f ca="1">_xll.BDP($B$45,$C$45,CONCATENATE("PX391=", $S$71), CONCATENATE("PX392=",$S$72), CONCATENATE("DS004=",$B$64), "Fill=B")</f>
        <v>0</v>
      </c>
      <c r="T105">
        <f ca="1">_xll.BDP($B$45,$C$45,CONCATENATE("PX391=", $T$71), CONCATENATE("PX392=",$T$72), CONCATENATE("DS004=",$B$64), "Fill=B")</f>
        <v>0</v>
      </c>
      <c r="U105">
        <f ca="1">_xll.BDP($B$45,$C$45,CONCATENATE("PX391=", $U$71), CONCATENATE("PX392=",$U$72), CONCATENATE("DS004=",$B$64), "Fill=B")</f>
        <v>19913.46</v>
      </c>
      <c r="V105">
        <f ca="1">_xll.BDP($B$45,$C$45,CONCATENATE("PX391=", $V$71), CONCATENATE("PX392=",$V$72), CONCATENATE("DS004=",$B$64), "Fill=B")</f>
        <v>6.5</v>
      </c>
      <c r="W105">
        <f ca="1">_xll.BDP($B$45,$C$45,CONCATENATE("PX391=", $W$71), CONCATENATE("PX392=",$W$72), CONCATENATE("DS004=",$B$64), "Fill=B")</f>
        <v>11704</v>
      </c>
      <c r="X105">
        <f ca="1">_xll.BDP($B$45,$C$45,CONCATENATE("PX391=", $X$71), CONCATENATE("PX392=",$X$72), CONCATENATE("DS004=",$B$64), "Fill=B")</f>
        <v>0</v>
      </c>
      <c r="Y105">
        <f ca="1">_xll.BDP($B$45,$C$45,CONCATENATE("PX391=", $Y$71), CONCATENATE("PX392=",$Y$72), CONCATENATE("DS004=",$B$64), "Fill=B")</f>
        <v>14489.26</v>
      </c>
      <c r="Z105">
        <f ca="1">_xll.BDP($B$45,$C$45,CONCATENATE("PX391=", $Z$71), CONCATENATE("PX392=",$Z$72), CONCATENATE("DS004=",$B$64), "Fill=B")</f>
        <v>222</v>
      </c>
      <c r="AA105">
        <f ca="1">_xll.BDP($B$45,$C$45,CONCATENATE("PX391=", $AA$71), CONCATENATE("PX392=",$AA$72), CONCATENATE("DS004=",$B$64), "Fill=B")</f>
        <v>0</v>
      </c>
      <c r="AB105">
        <f ca="1">_xll.BDP($B$45,$C$45,CONCATENATE("PX391=", $AB$71), CONCATENATE("PX392=",$AB$72), CONCATENATE("DS004=",$B$64), "Fill=B")</f>
        <v>9058.86</v>
      </c>
      <c r="AC105">
        <f ca="1">_xll.BDP($B$45,$C$45,CONCATENATE("PX391=", $AC$71), CONCATENATE("PX392=",$AC$72), CONCATENATE("DS004=",$B$64), "Fill=B")</f>
        <v>78.37</v>
      </c>
      <c r="AD105">
        <f ca="1">_xll.BDP($B$45,$C$45,CONCATENATE("PX391=", $AD$71), CONCATENATE("PX392=",$AD$72), CONCATENATE("DS004=",$B$64), "Fill=B")</f>
        <v>9.9600000000000009</v>
      </c>
      <c r="AE105">
        <f ca="1">_xll.BDP($B$45,$C$45,CONCATENATE("PX391=", $AE$71), CONCATENATE("PX392=",$AE$72), CONCATENATE("DS004=",$B$64), "Fill=B")</f>
        <v>35104.879999999997</v>
      </c>
      <c r="AF105">
        <f ca="1">_xll.BDP($B$45,$C$45,CONCATENATE("PX391=", $AF$71), CONCATENATE("PX392=",$AF$72), CONCATENATE("DS004=",$B$64), "Fill=B")</f>
        <v>0</v>
      </c>
      <c r="AG105">
        <f ca="1">_xll.BDP($B$45,$C$45,CONCATENATE("PX391=", $AG$71), CONCATENATE("PX392=",$AG$72), CONCATENATE("DS004=",$B$64), "Fill=B")</f>
        <v>121.3</v>
      </c>
      <c r="AH105">
        <f ca="1">_xll.BDP($B$45,$C$45,CONCATENATE("PX391=", $AH$71), CONCATENATE("PX392=",$AH$72), CONCATENATE("DS004=",$B$64), "Fill=B")</f>
        <v>22.26</v>
      </c>
      <c r="AI105">
        <f ca="1">_xll.BDP($B$45,$C$45,CONCATENATE("PX391=", $AI$71), CONCATENATE("PX392=",$AI$72), CONCATENATE("DS004=",$B$64), "Fill=B")</f>
        <v>19992.740000000002</v>
      </c>
      <c r="AJ105">
        <f ca="1">_xll.BDP($B$45,$C$45,CONCATENATE("PX391=", $AJ$71), CONCATENATE("PX392=",$AJ$72), CONCATENATE("DS004=",$B$64), "Fill=B")</f>
        <v>74.22</v>
      </c>
      <c r="AK105">
        <f ca="1">_xll.BDP($B$45,$C$45,CONCATENATE("PX391=", $AK$71), CONCATENATE("PX392=",$AK$72), CONCATENATE("DS004=",$B$64), "Fill=B")</f>
        <v>111.56</v>
      </c>
      <c r="AL105">
        <f ca="1">_xll.BDP($B$45,$C$45,CONCATENATE("PX391=", $AL$71), CONCATENATE("PX392=",$AL$72), CONCATENATE("DS004=",$B$64), "Fill=B")</f>
        <v>65.959999999999994</v>
      </c>
      <c r="AM105">
        <f ca="1">_xll.BDP($B$45,$C$45,CONCATENATE("PX391=", $AM$71), CONCATENATE("PX392=",$AM$72), CONCATENATE("DS004=",$B$64), "Fill=B")</f>
        <v>24782.15</v>
      </c>
      <c r="AN105">
        <f ca="1">_xll.BDP($B$45,$C$45,CONCATENATE("PX391=", $AN$71), CONCATENATE("PX392=",$AN$72), CONCATENATE("DS004=",$B$64), "Fill=B")</f>
        <v>0</v>
      </c>
      <c r="AO105">
        <f ca="1">_xll.BDP($B$45,$C$45,CONCATENATE("PX391=", $AO$71), CONCATENATE("PX392=",$AO$72), CONCATENATE("DS004=",$B$64), "Fill=B")</f>
        <v>0</v>
      </c>
      <c r="AP105">
        <f ca="1">_xll.BDP($B$45,$C$45,CONCATENATE("PX391=", $AP$71), CONCATENATE("PX392=",$AP$72), CONCATENATE("DS004=",$B$64), "Fill=B")</f>
        <v>0</v>
      </c>
      <c r="AQ105">
        <f ca="1">_xll.BDP($B$45,$C$45,CONCATENATE("PX391=", $AQ$71), CONCATENATE("PX392=",$AQ$72), CONCATENATE("DS004=",$B$64), "Fill=B")</f>
        <v>19833.5</v>
      </c>
      <c r="AR105">
        <f ca="1">_xll.BDP($B$45,$C$45,CONCATENATE("PX391=", $AR$71), CONCATENATE("PX392=",$AR$72), CONCATENATE("DS004=",$B$64), "Fill=B")</f>
        <v>9810.5</v>
      </c>
      <c r="AS105">
        <f ca="1">_xll.BDP($B$45,$C$45,CONCATENATE("PX391=", $AS$71), CONCATENATE("PX392=",$AS$72), CONCATENATE("DS004=",$B$64), "Fill=B")</f>
        <v>170</v>
      </c>
      <c r="AT105">
        <f ca="1">_xll.BDP($B$45,$C$45,CONCATENATE("PX391=", $AT$71), CONCATENATE("PX392=",$AT$72), CONCATENATE("DS004=",$B$64), "Fill=B")</f>
        <v>12977.56</v>
      </c>
      <c r="AU105">
        <f ca="1">_xll.BDP($B$45,$C$45,CONCATENATE("PX391=", $AU$71), CONCATENATE("PX392=",$AU$72), CONCATENATE("DS004=",$B$64), "Fill=B")</f>
        <v>12903.36</v>
      </c>
      <c r="AV105">
        <f ca="1">_xll.BDP($B$45,$C$45,CONCATENATE("PX391=", $AV$71), CONCATENATE("PX392=",$AV$72), CONCATENATE("DS004=",$B$64), "Fill=B")</f>
        <v>0</v>
      </c>
      <c r="AW105">
        <f ca="1">_xll.BDP($B$45,$C$45,CONCATENATE("PX391=", $AW$71), CONCATENATE("PX392=",$AW$72), CONCATENATE("DS004=",$B$64), "Fill=B")</f>
        <v>0</v>
      </c>
      <c r="AX105">
        <f ca="1">_xll.BDP($B$45,$C$45,CONCATENATE("PX391=", $AX$71), CONCATENATE("PX392=",$AX$72), CONCATENATE("DS004=",$B$64), "Fill=B")</f>
        <v>13293.63</v>
      </c>
      <c r="AY105">
        <f ca="1">_xll.BDP($B$45,$C$45,CONCATENATE("PX391=", $AY$71), CONCATENATE("PX392=",$AY$72), CONCATENATE("DS004=",$B$64), "Fill=B")</f>
        <v>0</v>
      </c>
      <c r="AZ105">
        <f ca="1">_xll.BDP($B$45,$C$45,CONCATENATE("PX391=", $AZ$71), CONCATENATE("PX392=",$AZ$72), CONCATENATE("DS004=",$B$64), "Fill=B")</f>
        <v>0</v>
      </c>
      <c r="BA105">
        <f ca="1">_xll.BDP($B$45,$C$45,CONCATENATE("PX391=", $BA$71), CONCATENATE("PX392=",$BA$72), CONCATENATE("DS004=",$B$64), "Fill=B")</f>
        <v>26545.91</v>
      </c>
      <c r="BB105">
        <f ca="1">_xll.BDP($B$45,$C$45,CONCATENATE("PX391=", $BB$71), CONCATENATE("PX392=",$BB$72), CONCATENATE("DS004=",$B$64), "Fill=B")</f>
        <v>0</v>
      </c>
      <c r="BC105">
        <f ca="1">_xll.BDP($B$45,$C$45,CONCATENATE("PX391=", $BC$71), CONCATENATE("PX392=",$BC$72), CONCATENATE("DS004=",$B$64), "Fill=B")</f>
        <v>12148.56</v>
      </c>
      <c r="BD105">
        <f ca="1">_xll.BDP($B$45,$C$45,CONCATENATE("PX391=", $BD$71), CONCATENATE("PX392=",$BD$72), CONCATENATE("DS004=",$B$64), "Fill=B")</f>
        <v>1050.99</v>
      </c>
      <c r="BE105">
        <f ca="1">_xll.BDP($B$45,$C$45,CONCATENATE("PX391=", $BE$71), CONCATENATE("PX392=",$BE$72), CONCATENATE("DS004=",$B$64), "Fill=B")</f>
        <v>0</v>
      </c>
      <c r="BF105">
        <f ca="1">_xll.BDP($B$45,$C$45,CONCATENATE("PX391=", $BF$71), CONCATENATE("PX392=",$BF$72), CONCATENATE("DS004=",$B$64), "Fill=B")</f>
        <v>0</v>
      </c>
      <c r="BG105">
        <f ca="1">_xll.BDP($B$45,$C$45,CONCATENATE("PX391=", $BG$71), CONCATENATE("PX392=",$BG$72), CONCATENATE("DS004=",$B$64), "Fill=B")</f>
        <v>14836.35</v>
      </c>
      <c r="BH105">
        <f ca="1">_xll.BDP($B$45,$C$45,CONCATENATE("PX391=", $BH$71), CONCATENATE("PX392=",$BH$72), CONCATENATE("DS004=",$B$64), "Fill=B")</f>
        <v>13595</v>
      </c>
      <c r="BI105">
        <f ca="1">_xll.BDP($B$45,$C$45,CONCATENATE("PX391=", $BI$71), CONCATENATE("PX392=",$BI$72), CONCATENATE("DS004=",$B$64), "Fill=B")</f>
        <v>19837.939999999999</v>
      </c>
      <c r="BJ105">
        <f ca="1">_xll.BDP($B$45,$C$45,CONCATENATE("PX391=", $BJ$71), CONCATENATE("PX392=",$BJ$72), CONCATENATE("DS004=",$B$64), "Fill=B")</f>
        <v>0</v>
      </c>
      <c r="BK105">
        <f ca="1">_xll.BDP($B$45,$C$45,CONCATENATE("PX391=", $BK$71), CONCATENATE("PX392=",$BK$72), CONCATENATE("DS004=",$B$64), "Fill=B")</f>
        <v>0</v>
      </c>
      <c r="BL105">
        <f ca="1">_xll.BDP($B$45,$C$45,CONCATENATE("PX391=", $BL$71), CONCATENATE("PX392=",$BL$72), CONCATENATE("DS004=",$B$64), "Fill=B")</f>
        <v>21493.67</v>
      </c>
      <c r="BM105">
        <f ca="1">_xll.BDP($B$45,$C$45,CONCATENATE("PX391=", $BM$71), CONCATENATE("PX392=",$BM$72), CONCATENATE("DS004=",$B$64), "Fill=B")</f>
        <v>0</v>
      </c>
      <c r="BN105">
        <f ca="1">_xll.BDP($B$45,$C$45,CONCATENATE("PX391=", $BN$71), CONCATENATE("PX392=",$BN$72), CONCATENATE("DS004=",$B$64), "Fill=B")</f>
        <v>0</v>
      </c>
      <c r="BO105">
        <f ca="1">_xll.BDP($B$45,$C$45,CONCATENATE("PX391=", $BO$71), CONCATENATE("PX392=",$BO$72), CONCATENATE("DS004=",$B$64), "Fill=B")</f>
        <v>0</v>
      </c>
      <c r="BP105">
        <f ca="1">_xll.BDP($B$45,$C$45,CONCATENATE("PX391=", $BP$71), CONCATENATE("PX392=",$BP$72), CONCATENATE("DS004=",$B$64), "Fill=B")</f>
        <v>12950.58</v>
      </c>
      <c r="BQ105">
        <f ca="1">_xll.BDP($B$45,$C$45,CONCATENATE("PX391=", $BQ$71), CONCATENATE("PX392=",$BQ$72), CONCATENATE("DS004=",$B$64), "Fill=B")</f>
        <v>1937.7</v>
      </c>
      <c r="BR105">
        <f ca="1">_xll.BDP($B$45,$C$45,CONCATENATE("PX391=", $BR$71), CONCATENATE("PX392=",$BR$72), CONCATENATE("DS004=",$B$64), "Fill=B")</f>
        <v>0</v>
      </c>
      <c r="BS105">
        <f ca="1">_xll.BDP($B$45,$C$45,CONCATENATE("PX391=", $BS$71), CONCATENATE("PX392=",$BS$72), CONCATENATE("DS004=",$B$64), "Fill=B")</f>
        <v>17770.8</v>
      </c>
      <c r="BT105">
        <f ca="1">_xll.BDP($B$45,$C$45,CONCATENATE("PX391=", $BT$71), CONCATENATE("PX392=",$BT$72), CONCATENATE("DS004=",$B$64), "Fill=B")</f>
        <v>16954.77</v>
      </c>
      <c r="BU105" t="str">
        <f ca="1">_xll.BDP($B$45,$C$45,CONCATENATE("PX391=", $BU$71), CONCATENATE("PX392=",$BU$72), CONCATENATE("DS004=",$B$64), "Fill=B")</f>
        <v/>
      </c>
      <c r="BV105">
        <f ca="1">_xll.BDP($B$45,$C$45,CONCATENATE("PX391=", $BV$71), CONCATENATE("PX392=",$BV$72), CONCATENATE("DS004=",$B$64), "Fill=B")</f>
        <v>752.2</v>
      </c>
      <c r="BW105">
        <f ca="1">_xll.BDP($B$45,$C$45,CONCATENATE("PX391=", $BW$71), CONCATENATE("PX392=",$BW$72), CONCATENATE("DS004=",$B$64), "Fill=B")</f>
        <v>5183.91</v>
      </c>
      <c r="BX105">
        <f ca="1">_xll.BDP($B$45,$C$45,CONCATENATE("PX391=", $BX$71), CONCATENATE("PX392=",$BX$72), CONCATENATE("DS004=",$B$64), "Fill=B")</f>
        <v>949.23</v>
      </c>
      <c r="BY105">
        <f ca="1">_xll.BDP($B$45,$C$45,CONCATENATE("PX391=", $BY$71), CONCATENATE("PX392=",$BY$72), CONCATENATE("DS004=",$B$64), "Fill=B")</f>
        <v>11272.08</v>
      </c>
      <c r="BZ105">
        <f ca="1">_xll.BDP($B$45,$C$45,CONCATENATE("PX391=", $BZ$71), CONCATENATE("PX392=",$BZ$72), CONCATENATE("DS004=",$B$64), "Fill=B")</f>
        <v>3476.96</v>
      </c>
      <c r="CA105">
        <f ca="1">_xll.BDP($B$45,$C$45,CONCATENATE("PX391=", $CA$71), CONCATENATE("PX392=",$CA$72), CONCATENATE("DS004=",$B$64), "Fill=B")</f>
        <v>17899.57</v>
      </c>
      <c r="CB105">
        <f ca="1">_xll.BDP($B$45,$C$45,CONCATENATE("PX391=", $CB$71), CONCATENATE("PX392=",$CB$72), CONCATENATE("DS004=",$B$64), "Fill=B")</f>
        <v>15998.04</v>
      </c>
      <c r="CC105">
        <f ca="1">_xll.BDP($B$45,$C$45,CONCATENATE("PX391=", $CC$71), CONCATENATE("PX392=",$CC$72), CONCATENATE("DS004=",$B$64), "Fill=B")</f>
        <v>0</v>
      </c>
      <c r="CD105">
        <f ca="1">_xll.BDP($B$45,$C$45,CONCATENATE("PX391=", $CD$71), CONCATENATE("PX392=",$CD$72), CONCATENATE("DS004=",$B$64), "Fill=B")</f>
        <v>884.95</v>
      </c>
      <c r="CE105">
        <f ca="1">_xll.BDP($B$45,$C$45,CONCATENATE("PX391=", $CE$71), CONCATENATE("PX392=",$CE$72), CONCATENATE("DS004=",$B$64), "Fill=B")</f>
        <v>15138.83</v>
      </c>
      <c r="CF105">
        <f ca="1">_xll.BDP($B$45,$C$45,CONCATENATE("PX391=", $CF$71), CONCATENATE("PX392=",$CF$72), CONCATENATE("DS004=",$B$64), "Fill=B")</f>
        <v>0</v>
      </c>
      <c r="CG105">
        <f ca="1">_xll.BDP($B$45,$C$45,CONCATENATE("PX391=", $CG$71), CONCATENATE("PX392=",$CG$72), CONCATENATE("DS004=",$B$64), "Fill=B")</f>
        <v>10007.379999999999</v>
      </c>
      <c r="CH105">
        <f ca="1">_xll.BDP($B$45,$C$45,CONCATENATE("PX391=", $CH$71), CONCATENATE("PX392=",$CH$72), CONCATENATE("DS004=",$B$64), "Fill=B")</f>
        <v>0</v>
      </c>
      <c r="CI105">
        <f ca="1">_xll.BDP($B$45,$C$45,CONCATENATE("PX391=", $CI$71), CONCATENATE("PX392=",$CI$72), CONCATENATE("DS004=",$B$64), "Fill=B")</f>
        <v>0</v>
      </c>
      <c r="CJ105">
        <f ca="1">_xll.BDP($B$45,$C$45,CONCATENATE("PX391=", $CJ$71), CONCATENATE("PX392=",$CJ$72), CONCATENATE("DS004=",$B$64), "Fill=B")</f>
        <v>0</v>
      </c>
      <c r="CK105">
        <f ca="1">_xll.BDP($B$45,$C$45,CONCATENATE("PX391=", $CK$71), CONCATENATE("PX392=",$CK$72), CONCATENATE("DS004=",$B$64), "Fill=B")</f>
        <v>27374.13</v>
      </c>
      <c r="CL105" t="str">
        <f>""</f>
        <v/>
      </c>
      <c r="CM105" t="str">
        <f>""</f>
        <v/>
      </c>
      <c r="CN105" t="str">
        <f>""</f>
        <v/>
      </c>
      <c r="CO105" t="str">
        <f>""</f>
        <v/>
      </c>
      <c r="CP105" t="str">
        <f>""</f>
        <v/>
      </c>
      <c r="CQ105" t="str">
        <f>""</f>
        <v/>
      </c>
      <c r="CR105" t="str">
        <f>""</f>
        <v/>
      </c>
      <c r="CS105" t="str">
        <f>""</f>
        <v/>
      </c>
      <c r="CT105" t="str">
        <f>""</f>
        <v/>
      </c>
      <c r="CU105" t="str">
        <f>""</f>
        <v/>
      </c>
      <c r="CV105" t="str">
        <f>""</f>
        <v/>
      </c>
      <c r="CW105" t="str">
        <f>""</f>
        <v/>
      </c>
      <c r="CX105" t="str">
        <f>""</f>
        <v/>
      </c>
      <c r="CY105" t="str">
        <f>""</f>
        <v/>
      </c>
      <c r="CZ105" t="str">
        <f>""</f>
        <v/>
      </c>
      <c r="DA105" t="str">
        <f>""</f>
        <v/>
      </c>
      <c r="DB105" t="str">
        <f>""</f>
        <v/>
      </c>
      <c r="DC105" t="str">
        <f>""</f>
        <v/>
      </c>
      <c r="DD105" t="str">
        <f>""</f>
        <v/>
      </c>
      <c r="DE105" t="str">
        <f>""</f>
        <v/>
      </c>
      <c r="DF105" t="str">
        <f>""</f>
        <v/>
      </c>
      <c r="DG105" t="str">
        <f>""</f>
        <v/>
      </c>
      <c r="DH105" t="str">
        <f>""</f>
        <v/>
      </c>
      <c r="DI105" t="str">
        <f>""</f>
        <v/>
      </c>
      <c r="DJ105" t="str">
        <f>""</f>
        <v/>
      </c>
      <c r="DK105" t="str">
        <f>""</f>
        <v/>
      </c>
      <c r="DL105" t="str">
        <f>""</f>
        <v/>
      </c>
      <c r="DM105" t="str">
        <f>""</f>
        <v/>
      </c>
      <c r="DN105" t="str">
        <f>""</f>
        <v/>
      </c>
      <c r="DO105" t="str">
        <f>""</f>
        <v/>
      </c>
      <c r="DP105" t="str">
        <f>""</f>
        <v/>
      </c>
      <c r="DQ105" t="str">
        <f>""</f>
        <v/>
      </c>
      <c r="DR105" t="str">
        <f>""</f>
        <v/>
      </c>
      <c r="DS105" t="str">
        <f>""</f>
        <v/>
      </c>
      <c r="DT105" t="str">
        <f>""</f>
        <v/>
      </c>
      <c r="DU105" t="str">
        <f>""</f>
        <v/>
      </c>
      <c r="DV105" t="str">
        <f>""</f>
        <v/>
      </c>
      <c r="DW105" t="str">
        <f>""</f>
        <v/>
      </c>
      <c r="DX105" t="str">
        <f>""</f>
        <v/>
      </c>
      <c r="DY105" t="str">
        <f>""</f>
        <v/>
      </c>
      <c r="DZ105" t="str">
        <f>""</f>
        <v/>
      </c>
      <c r="EA105" t="str">
        <f>""</f>
        <v/>
      </c>
      <c r="EB105" t="str">
        <f>""</f>
        <v/>
      </c>
      <c r="EC105" t="str">
        <f>""</f>
        <v/>
      </c>
      <c r="ED105" t="str">
        <f>""</f>
        <v/>
      </c>
      <c r="EE105" t="str">
        <f>""</f>
        <v/>
      </c>
      <c r="EF105" t="str">
        <f>""</f>
        <v/>
      </c>
      <c r="EG105" t="str">
        <f>""</f>
        <v/>
      </c>
      <c r="EH105" t="str">
        <f>""</f>
        <v/>
      </c>
      <c r="EI105" t="str">
        <f>""</f>
        <v/>
      </c>
      <c r="EJ105" t="str">
        <f>""</f>
        <v/>
      </c>
      <c r="EK105" t="str">
        <f>""</f>
        <v/>
      </c>
      <c r="EL105" t="str">
        <f>""</f>
        <v/>
      </c>
      <c r="EM105" t="str">
        <f>""</f>
        <v/>
      </c>
      <c r="EN105" t="str">
        <f>""</f>
        <v/>
      </c>
      <c r="EO105" t="str">
        <f>""</f>
        <v/>
      </c>
      <c r="EP105" t="str">
        <f>""</f>
        <v/>
      </c>
      <c r="EQ105" t="str">
        <f>""</f>
        <v/>
      </c>
      <c r="ER105" t="str">
        <f>""</f>
        <v/>
      </c>
      <c r="ES105" t="str">
        <f>""</f>
        <v/>
      </c>
      <c r="ET105" t="str">
        <f>""</f>
        <v/>
      </c>
      <c r="EU105" t="str">
        <f>""</f>
        <v/>
      </c>
      <c r="EV105" t="str">
        <f>""</f>
        <v/>
      </c>
      <c r="EW105" t="str">
        <f>""</f>
        <v/>
      </c>
      <c r="EX105" t="str">
        <f>""</f>
        <v/>
      </c>
      <c r="EY105" t="str">
        <f>""</f>
        <v/>
      </c>
      <c r="EZ105" t="str">
        <f>""</f>
        <v/>
      </c>
      <c r="FA105" t="str">
        <f>""</f>
        <v/>
      </c>
      <c r="FB105" t="str">
        <f>""</f>
        <v/>
      </c>
      <c r="FC105" t="str">
        <f>""</f>
        <v/>
      </c>
      <c r="FD105" t="str">
        <f>""</f>
        <v/>
      </c>
      <c r="FE105" t="str">
        <f>""</f>
        <v/>
      </c>
      <c r="FF105" t="str">
        <f>""</f>
        <v/>
      </c>
      <c r="FG105" t="str">
        <f>""</f>
        <v/>
      </c>
      <c r="FH105" t="str">
        <f>""</f>
        <v/>
      </c>
      <c r="FI105" t="str">
        <f>""</f>
        <v/>
      </c>
      <c r="FJ105" t="str">
        <f>""</f>
        <v/>
      </c>
      <c r="FK105" t="str">
        <f>""</f>
        <v/>
      </c>
      <c r="FL105" t="str">
        <f>""</f>
        <v/>
      </c>
      <c r="FM105" t="str">
        <f>""</f>
        <v/>
      </c>
      <c r="FN105" t="str">
        <f>""</f>
        <v/>
      </c>
      <c r="FO105" t="str">
        <f>""</f>
        <v/>
      </c>
      <c r="FP105" t="str">
        <f>""</f>
        <v/>
      </c>
      <c r="FQ105" t="str">
        <f>""</f>
        <v/>
      </c>
    </row>
    <row r="106" spans="1:173" x14ac:dyDescent="0.25">
      <c r="A106" t="str">
        <f>$A$46</f>
        <v>Port Hedland Cargo Statistics - Australia Port Hedland Total Exports (tonnes) - Iron Ore Exports (tonnes)</v>
      </c>
      <c r="B106" t="str">
        <f>$B$46</f>
        <v>AHEDEXIO Index</v>
      </c>
      <c r="C106" t="str">
        <f>$C$46</f>
        <v>PX385</v>
      </c>
      <c r="D106" t="str">
        <f>$D$46</f>
        <v>INTERVAL_SUM</v>
      </c>
      <c r="E106" t="str">
        <f>$E$46</f>
        <v>Dynamic</v>
      </c>
      <c r="F106" t="str">
        <f ca="1">_xll.BDP($B$46,$C$46,CONCATENATE("PX391=", $F$71), CONCATENATE("PX392=",$F$72), CONCATENATE("DS004=",$B$64), "Fill=B")</f>
        <v/>
      </c>
      <c r="G106" t="str">
        <f ca="1">_xll.BDP($B$46,$C$46,CONCATENATE("PX391=", $G$71), CONCATENATE("PX392=",$G$72), CONCATENATE("DS004=",$B$64), "Fill=B")</f>
        <v/>
      </c>
      <c r="H106">
        <f ca="1">_xll.BDP($B$46,$C$46,CONCATENATE("PX391=", $H$71), CONCATENATE("PX392=",$H$72), CONCATENATE("DS004=",$B$64), "Fill=B")</f>
        <v>45074671</v>
      </c>
      <c r="I106">
        <f ca="1">_xll.BDP($B$46,$C$46,CONCATENATE("PX391=", $I$71), CONCATENATE("PX392=",$I$72), CONCATENATE("DS004=",$B$64), "Fill=B")</f>
        <v>47817110</v>
      </c>
      <c r="J106">
        <f ca="1">_xll.BDP($B$46,$C$46,CONCATENATE("PX391=", $J$71), CONCATENATE("PX392=",$J$72), CONCATENATE("DS004=",$B$64), "Fill=B")</f>
        <v>43742907</v>
      </c>
      <c r="K106">
        <f ca="1">_xll.BDP($B$46,$C$46,CONCATENATE("PX391=", $K$71), CONCATENATE("PX392=",$K$72), CONCATENATE("DS004=",$B$64), "Fill=B")</f>
        <v>51929362</v>
      </c>
      <c r="L106">
        <f ca="1">_xll.BDP($B$46,$C$46,CONCATENATE("PX391=", $L$71), CONCATENATE("PX392=",$L$72), CONCATENATE("DS004=",$B$64), "Fill=B")</f>
        <v>48165980</v>
      </c>
      <c r="M106">
        <f ca="1">_xll.BDP($B$46,$C$46,CONCATENATE("PX391=", $M$71), CONCATENATE("PX392=",$M$72), CONCATENATE("DS004=",$B$64), "Fill=B")</f>
        <v>43267574</v>
      </c>
      <c r="N106">
        <f ca="1">_xll.BDP($B$46,$C$46,CONCATENATE("PX391=", $N$71), CONCATENATE("PX392=",$N$72), CONCATENATE("DS004=",$B$64), "Fill=B")</f>
        <v>45762554</v>
      </c>
      <c r="O106">
        <f ca="1">_xll.BDP($B$46,$C$46,CONCATENATE("PX391=", $O$71), CONCATENATE("PX392=",$O$72), CONCATENATE("DS004=",$B$64), "Fill=B")</f>
        <v>38811009</v>
      </c>
      <c r="P106">
        <f ca="1">_xll.BDP($B$46,$C$46,CONCATENATE("PX391=", $P$71), CONCATENATE("PX392=",$P$72), CONCATENATE("DS004=",$B$64), "Fill=B")</f>
        <v>47998375</v>
      </c>
      <c r="Q106">
        <f ca="1">_xll.BDP($B$46,$C$46,CONCATENATE("PX391=", $Q$71), CONCATENATE("PX392=",$Q$72), CONCATENATE("DS004=",$B$64), "Fill=B")</f>
        <v>49273659</v>
      </c>
      <c r="R106">
        <f ca="1">_xll.BDP($B$46,$C$46,CONCATENATE("PX391=", $R$71), CONCATENATE("PX392=",$R$72), CONCATENATE("DS004=",$B$64), "Fill=B")</f>
        <v>47584357</v>
      </c>
      <c r="S106">
        <f ca="1">_xll.BDP($B$46,$C$46,CONCATENATE("PX391=", $S$71), CONCATENATE("PX392=",$S$72), CONCATENATE("DS004=",$B$64), "Fill=B")</f>
        <v>46898750</v>
      </c>
      <c r="T106">
        <f ca="1">_xll.BDP($B$46,$C$46,CONCATENATE("PX391=", $T$71), CONCATENATE("PX392=",$T$72), CONCATENATE("DS004=",$B$64), "Fill=B")</f>
        <v>45962271</v>
      </c>
      <c r="U106">
        <f ca="1">_xll.BDP($B$46,$C$46,CONCATENATE("PX391=", $U$71), CONCATENATE("PX392=",$U$72), CONCATENATE("DS004=",$B$64), "Fill=B")</f>
        <v>45835837</v>
      </c>
      <c r="V106">
        <f ca="1">_xll.BDP($B$46,$C$46,CONCATENATE("PX391=", $V$71), CONCATENATE("PX392=",$V$72), CONCATENATE("DS004=",$B$64), "Fill=B")</f>
        <v>46925995</v>
      </c>
      <c r="W106">
        <f ca="1">_xll.BDP($B$46,$C$46,CONCATENATE("PX391=", $W$71), CONCATENATE("PX392=",$W$72), CONCATENATE("DS004=",$B$64), "Fill=B")</f>
        <v>49767494</v>
      </c>
      <c r="X106">
        <f ca="1">_xll.BDP($B$46,$C$46,CONCATENATE("PX391=", $X$71), CONCATENATE("PX392=",$X$72), CONCATENATE("DS004=",$B$64), "Fill=B")</f>
        <v>47729344</v>
      </c>
      <c r="Y106">
        <f ca="1">_xll.BDP($B$46,$C$46,CONCATENATE("PX391=", $Y$71), CONCATENATE("PX392=",$Y$72), CONCATENATE("DS004=",$B$64), "Fill=B")</f>
        <v>45781799</v>
      </c>
      <c r="Z106">
        <f ca="1">_xll.BDP($B$46,$C$46,CONCATENATE("PX391=", $Z$71), CONCATENATE("PX392=",$Z$72), CONCATENATE("DS004=",$B$64), "Fill=B")</f>
        <v>46500000</v>
      </c>
      <c r="AA106">
        <f ca="1">_xll.BDP($B$46,$C$46,CONCATENATE("PX391=", $AA$71), CONCATENATE("PX392=",$AA$72), CONCATENATE("DS004=",$B$64), "Fill=B")</f>
        <v>39439426</v>
      </c>
      <c r="AB106">
        <f ca="1">_xll.BDP($B$46,$C$46,CONCATENATE("PX391=", $AB$71), CONCATENATE("PX392=",$AB$72), CONCATENATE("DS004=",$B$64), "Fill=B")</f>
        <v>47991651</v>
      </c>
      <c r="AC106">
        <f ca="1">_xll.BDP($B$46,$C$46,CONCATENATE("PX391=", $AC$71), CONCATENATE("PX392=",$AC$72), CONCATENATE("DS004=",$B$64), "Fill=B")</f>
        <v>50841424</v>
      </c>
      <c r="AD106">
        <f ca="1">_xll.BDP($B$46,$C$46,CONCATENATE("PX391=", $AD$71), CONCATENATE("PX392=",$AD$72), CONCATENATE("DS004=",$B$64), "Fill=B")</f>
        <v>43393744</v>
      </c>
      <c r="AE106">
        <f ca="1">_xll.BDP($B$46,$C$46,CONCATENATE("PX391=", $AE$71), CONCATENATE("PX392=",$AE$72), CONCATENATE("DS004=",$B$64), "Fill=B")</f>
        <v>46697479</v>
      </c>
      <c r="AF106">
        <f ca="1">_xll.BDP($B$46,$C$46,CONCATENATE("PX391=", $AF$71), CONCATENATE("PX392=",$AF$72), CONCATENATE("DS004=",$B$64), "Fill=B")</f>
        <v>46983754</v>
      </c>
      <c r="AG106">
        <f ca="1">_xll.BDP($B$46,$C$46,CONCATENATE("PX391=", $AG$71), CONCATENATE("PX392=",$AG$72), CONCATENATE("DS004=",$B$64), "Fill=B")</f>
        <v>43924746</v>
      </c>
      <c r="AH106">
        <f ca="1">_xll.BDP($B$46,$C$46,CONCATENATE("PX391=", $AH$71), CONCATENATE("PX392=",$AH$72), CONCATENATE("DS004=",$B$64), "Fill=B")</f>
        <v>44298480</v>
      </c>
      <c r="AI106">
        <f ca="1">_xll.BDP($B$46,$C$46,CONCATENATE("PX391=", $AI$71), CONCATENATE("PX392=",$AI$72), CONCATENATE("DS004=",$B$64), "Fill=B")</f>
        <v>50376450</v>
      </c>
      <c r="AJ106">
        <f ca="1">_xll.BDP($B$46,$C$46,CONCATENATE("PX391=", $AJ$71), CONCATENATE("PX392=",$AJ$72), CONCATENATE("DS004=",$B$64), "Fill=B")</f>
        <v>48048913</v>
      </c>
      <c r="AK106">
        <f ca="1">_xll.BDP($B$46,$C$46,CONCATENATE("PX391=", $AK$71), CONCATENATE("PX392=",$AK$72), CONCATENATE("DS004=",$B$64), "Fill=B")</f>
        <v>45091362</v>
      </c>
      <c r="AL106">
        <f ca="1">_xll.BDP($B$46,$C$46,CONCATENATE("PX391=", $AL$71), CONCATENATE("PX392=",$AL$72), CONCATENATE("DS004=",$B$64), "Fill=B")</f>
        <v>46672275</v>
      </c>
      <c r="AM106">
        <f ca="1">_xll.BDP($B$46,$C$46,CONCATENATE("PX391=", $AM$71), CONCATENATE("PX392=",$AM$72), CONCATENATE("DS004=",$B$64), "Fill=B")</f>
        <v>37487992</v>
      </c>
      <c r="AN106">
        <f ca="1">_xll.BDP($B$46,$C$46,CONCATENATE("PX391=", $AN$71), CONCATENATE("PX392=",$AN$72), CONCATENATE("DS004=",$B$64), "Fill=B")</f>
        <v>42230410</v>
      </c>
      <c r="AO106">
        <f ca="1">_xll.BDP($B$46,$C$46,CONCATENATE("PX391=", $AO$71), CONCATENATE("PX392=",$AO$72), CONCATENATE("DS004=",$B$64), "Fill=B")</f>
        <v>46498710</v>
      </c>
      <c r="AP106">
        <f ca="1">_xll.BDP($B$46,$C$46,CONCATENATE("PX391=", $AP$71), CONCATENATE("PX392=",$AP$72), CONCATENATE("DS004=",$B$64), "Fill=B")</f>
        <v>41625299</v>
      </c>
      <c r="AQ106">
        <f ca="1">_xll.BDP($B$46,$C$46,CONCATENATE("PX391=", $AQ$71), CONCATENATE("PX392=",$AQ$72), CONCATENATE("DS004=",$B$64), "Fill=B")</f>
        <v>46477183</v>
      </c>
      <c r="AR106">
        <f ca="1">_xll.BDP($B$46,$C$46,CONCATENATE("PX391=", $AR$71), CONCATENATE("PX392=",$AR$72), CONCATENATE("DS004=",$B$64), "Fill=B")</f>
        <v>45570414</v>
      </c>
      <c r="AS106">
        <f ca="1">_xll.BDP($B$46,$C$46,CONCATENATE("PX391=", $AS$71), CONCATENATE("PX392=",$AS$72), CONCATENATE("DS004=",$B$64), "Fill=B")</f>
        <v>46072594</v>
      </c>
      <c r="AT106">
        <f ca="1">_xll.BDP($B$46,$C$46,CONCATENATE("PX391=", $AT$71), CONCATENATE("PX392=",$AT$72), CONCATENATE("DS004=",$B$64), "Fill=B")</f>
        <v>43641597</v>
      </c>
      <c r="AU106">
        <f ca="1">_xll.BDP($B$46,$C$46,CONCATENATE("PX391=", $AU$71), CONCATENATE("PX392=",$AU$72), CONCATENATE("DS004=",$B$64), "Fill=B")</f>
        <v>51793575</v>
      </c>
      <c r="AV106">
        <f ca="1">_xll.BDP($B$46,$C$46,CONCATENATE("PX391=", $AV$71), CONCATENATE("PX392=",$AV$72), CONCATENATE("DS004=",$B$64), "Fill=B")</f>
        <v>47782064</v>
      </c>
      <c r="AW106">
        <f ca="1">_xll.BDP($B$46,$C$46,CONCATENATE("PX391=", $AW$71), CONCATENATE("PX392=",$AW$72), CONCATENATE("DS004=",$B$64), "Fill=B")</f>
        <v>45262519</v>
      </c>
      <c r="AX106">
        <f ca="1">_xll.BDP($B$46,$C$46,CONCATENATE("PX391=", $AX$71), CONCATENATE("PX392=",$AX$72), CONCATENATE("DS004=",$B$64), "Fill=B")</f>
        <v>46729533</v>
      </c>
      <c r="AY106">
        <f ca="1">_xll.BDP($B$46,$C$46,CONCATENATE("PX391=", $AY$71), CONCATENATE("PX392=",$AY$72), CONCATENATE("DS004=",$B$64), "Fill=B")</f>
        <v>38792290</v>
      </c>
      <c r="AZ106">
        <f ca="1">_xll.BDP($B$46,$C$46,CONCATENATE("PX391=", $AZ$71), CONCATENATE("PX392=",$AZ$72), CONCATENATE("DS004=",$B$64), "Fill=B")</f>
        <v>40490606</v>
      </c>
      <c r="BA106">
        <f ca="1">_xll.BDP($B$46,$C$46,CONCATENATE("PX391=", $BA$71), CONCATENATE("PX392=",$BA$72), CONCATENATE("DS004=",$B$64), "Fill=B")</f>
        <v>47374514</v>
      </c>
      <c r="BB106">
        <f ca="1">_xll.BDP($B$46,$C$46,CONCATENATE("PX391=", $BB$71), CONCATENATE("PX392=",$BB$72), CONCATENATE("DS004=",$B$64), "Fill=B")</f>
        <v>43303427</v>
      </c>
      <c r="BC106">
        <f ca="1">_xll.BDP($B$46,$C$46,CONCATENATE("PX391=", $BC$71), CONCATENATE("PX392=",$BC$72), CONCATENATE("DS004=",$B$64), "Fill=B")</f>
        <v>42186810</v>
      </c>
      <c r="BD106">
        <f ca="1">_xll.BDP($B$46,$C$46,CONCATENATE("PX391=", $BD$71), CONCATENATE("PX392=",$BD$72), CONCATENATE("DS004=",$B$64), "Fill=B")</f>
        <v>41971932</v>
      </c>
      <c r="BE106">
        <f ca="1">_xll.BDP($B$46,$C$46,CONCATENATE("PX391=", $BE$71), CONCATENATE("PX392=",$BE$72), CONCATENATE("DS004=",$B$64), "Fill=B")</f>
        <v>45435000</v>
      </c>
      <c r="BF106">
        <f ca="1">_xll.BDP($B$46,$C$46,CONCATENATE("PX391=", $BF$71), CONCATENATE("PX392=",$BF$72), CONCATENATE("DS004=",$B$64), "Fill=B")</f>
        <v>41006078</v>
      </c>
      <c r="BG106">
        <f ca="1">_xll.BDP($B$46,$C$46,CONCATENATE("PX391=", $BG$71), CONCATENATE("PX392=",$BG$72), CONCATENATE("DS004=",$B$64), "Fill=B")</f>
        <v>48936781</v>
      </c>
      <c r="BH106">
        <f ca="1">_xll.BDP($B$46,$C$46,CONCATENATE("PX391=", $BH$71), CONCATENATE("PX392=",$BH$72), CONCATENATE("DS004=",$B$64), "Fill=B")</f>
        <v>46204099</v>
      </c>
      <c r="BI106">
        <f ca="1">_xll.BDP($B$46,$C$46,CONCATENATE("PX391=", $BI$71), CONCATENATE("PX392=",$BI$72), CONCATENATE("DS004=",$B$64), "Fill=B")</f>
        <v>42001510</v>
      </c>
      <c r="BJ106">
        <f ca="1">_xll.BDP($B$46,$C$46,CONCATENATE("PX391=", $BJ$71), CONCATENATE("PX392=",$BJ$72), CONCATENATE("DS004=",$B$64), "Fill=B")</f>
        <v>36386165</v>
      </c>
      <c r="BK106">
        <f ca="1">_xll.BDP($B$46,$C$46,CONCATENATE("PX391=", $BK$71), CONCATENATE("PX392=",$BK$72), CONCATENATE("DS004=",$B$64), "Fill=B")</f>
        <v>39135453</v>
      </c>
      <c r="BL106">
        <f ca="1">_xll.BDP($B$46,$C$46,CONCATENATE("PX391=", $BL$71), CONCATENATE("PX392=",$BL$72), CONCATENATE("DS004=",$B$64), "Fill=B")</f>
        <v>41765945</v>
      </c>
      <c r="BM106">
        <f ca="1">_xll.BDP($B$46,$C$46,CONCATENATE("PX391=", $BM$71), CONCATENATE("PX392=",$BM$72), CONCATENATE("DS004=",$B$64), "Fill=B")</f>
        <v>45758600</v>
      </c>
      <c r="BN106">
        <f ca="1">_xll.BDP($B$46,$C$46,CONCATENATE("PX391=", $BN$71), CONCATENATE("PX392=",$BN$72), CONCATENATE("DS004=",$B$64), "Fill=B")</f>
        <v>39390578</v>
      </c>
      <c r="BO106">
        <f ca="1">_xll.BDP($B$46,$C$46,CONCATENATE("PX391=", $BO$71), CONCATENATE("PX392=",$BO$72), CONCATENATE("DS004=",$B$64), "Fill=B")</f>
        <v>40178332</v>
      </c>
      <c r="BP106">
        <f ca="1">_xll.BDP($B$46,$C$46,CONCATENATE("PX391=", $BP$71), CONCATENATE("PX392=",$BP$72), CONCATENATE("DS004=",$B$64), "Fill=B")</f>
        <v>43514004</v>
      </c>
      <c r="BQ106">
        <f ca="1">_xll.BDP($B$46,$C$46,CONCATENATE("PX391=", $BQ$71), CONCATENATE("PX392=",$BQ$72), CONCATENATE("DS004=",$B$64), "Fill=B")</f>
        <v>42438938</v>
      </c>
      <c r="BR106">
        <f ca="1">_xll.BDP($B$46,$C$46,CONCATENATE("PX391=", $BR$71), CONCATENATE("PX392=",$BR$72), CONCATENATE("DS004=",$B$64), "Fill=B")</f>
        <v>40695923</v>
      </c>
      <c r="BS106">
        <f ca="1">_xll.BDP($B$46,$C$46,CONCATENATE("PX391=", $BS$71), CONCATENATE("PX392=",$BS$72), CONCATENATE("DS004=",$B$64), "Fill=B")</f>
        <v>47289706</v>
      </c>
      <c r="BT106">
        <f ca="1">_xll.BDP($B$46,$C$46,CONCATENATE("PX391=", $BT$71), CONCATENATE("PX392=",$BT$72), CONCATENATE("DS004=",$B$64), "Fill=B")</f>
        <v>44972492</v>
      </c>
      <c r="BU106">
        <f ca="1">_xll.BDP($B$46,$C$46,CONCATENATE("PX391=", $BU$71), CONCATENATE("PX392=",$BU$72), CONCATENATE("DS004=",$B$64), "Fill=B")</f>
        <v>42607421</v>
      </c>
      <c r="BV106">
        <f ca="1">_xll.BDP($B$46,$C$46,CONCATENATE("PX391=", $BV$71), CONCATENATE("PX392=",$BV$72), CONCATENATE("DS004=",$B$64), "Fill=B")</f>
        <v>42082040</v>
      </c>
      <c r="BW106">
        <f ca="1">_xll.BDP($B$46,$C$46,CONCATENATE("PX391=", $BW$71), CONCATENATE("PX392=",$BW$72), CONCATENATE("DS004=",$B$64), "Fill=B")</f>
        <v>38500330</v>
      </c>
      <c r="BX106">
        <f ca="1">_xll.BDP($B$46,$C$46,CONCATENATE("PX391=", $BX$71), CONCATENATE("PX392=",$BX$72), CONCATENATE("DS004=",$B$64), "Fill=B")</f>
        <v>41059531</v>
      </c>
      <c r="BY106">
        <f ca="1">_xll.BDP($B$46,$C$46,CONCATENATE("PX391=", $BY$71), CONCATENATE("PX392=",$BY$72), CONCATENATE("DS004=",$B$64), "Fill=B")</f>
        <v>46190734</v>
      </c>
      <c r="BZ106">
        <f ca="1">_xll.BDP($B$46,$C$46,CONCATENATE("PX391=", $BZ$71), CONCATENATE("PX392=",$BZ$72), CONCATENATE("DS004=",$B$64), "Fill=B")</f>
        <v>41348109</v>
      </c>
      <c r="CA106">
        <f ca="1">_xll.BDP($B$46,$C$46,CONCATENATE("PX391=", $CA$71), CONCATENATE("PX392=",$CA$72), CONCATENATE("DS004=",$B$64), "Fill=B")</f>
        <v>41002937</v>
      </c>
      <c r="CB106">
        <f ca="1">_xll.BDP($B$46,$C$46,CONCATENATE("PX391=", $CB$71), CONCATENATE("PX392=",$CB$72), CONCATENATE("DS004=",$B$64), "Fill=B")</f>
        <v>43371227</v>
      </c>
      <c r="CC106">
        <f ca="1">_xll.BDP($B$46,$C$46,CONCATENATE("PX391=", $CC$71), CONCATENATE("PX392=",$CC$72), CONCATENATE("DS004=",$B$64), "Fill=B")</f>
        <v>42769588</v>
      </c>
      <c r="CD106">
        <f ca="1">_xll.BDP($B$46,$C$46,CONCATENATE("PX391=", $CD$71), CONCATENATE("PX392=",$CD$72), CONCATENATE("DS004=",$B$64), "Fill=B")</f>
        <v>37882878</v>
      </c>
      <c r="CE106">
        <f ca="1">_xll.BDP($B$46,$C$46,CONCATENATE("PX391=", $CE$71), CONCATENATE("PX392=",$CE$72), CONCATENATE("DS004=",$B$64), "Fill=B")</f>
        <v>43085456</v>
      </c>
      <c r="CF106">
        <f ca="1">_xll.BDP($B$46,$C$46,CONCATENATE("PX391=", $CF$71), CONCATENATE("PX392=",$CF$72), CONCATENATE("DS004=",$B$64), "Fill=B")</f>
        <v>44076221</v>
      </c>
      <c r="CG106">
        <f ca="1">_xll.BDP($B$46,$C$46,CONCATENATE("PX391=", $CG$71), CONCATENATE("PX392=",$CG$72), CONCATENATE("DS004=",$B$64), "Fill=B")</f>
        <v>42289364</v>
      </c>
      <c r="CH106">
        <f ca="1">_xll.BDP($B$46,$C$46,CONCATENATE("PX391=", $CH$71), CONCATENATE("PX392=",$CH$72), CONCATENATE("DS004=",$B$64), "Fill=B")</f>
        <v>39089355</v>
      </c>
      <c r="CI106">
        <f ca="1">_xll.BDP($B$46,$C$46,CONCATENATE("PX391=", $CI$71), CONCATENATE("PX392=",$CI$72), CONCATENATE("DS004=",$B$64), "Fill=B")</f>
        <v>35668175</v>
      </c>
      <c r="CJ106">
        <f ca="1">_xll.BDP($B$46,$C$46,CONCATENATE("PX391=", $CJ$71), CONCATENATE("PX392=",$CJ$72), CONCATENATE("DS004=",$B$64), "Fill=B")</f>
        <v>40297404</v>
      </c>
      <c r="CK106">
        <f ca="1">_xll.BDP($B$46,$C$46,CONCATENATE("PX391=", $CK$71), CONCATENATE("PX392=",$CK$72), CONCATENATE("DS004=",$B$64), "Fill=B")</f>
        <v>43937472</v>
      </c>
      <c r="CL106" t="str">
        <f>""</f>
        <v/>
      </c>
      <c r="CM106" t="str">
        <f>""</f>
        <v/>
      </c>
      <c r="CN106" t="str">
        <f>""</f>
        <v/>
      </c>
      <c r="CO106" t="str">
        <f>""</f>
        <v/>
      </c>
      <c r="CP106" t="str">
        <f>""</f>
        <v/>
      </c>
      <c r="CQ106" t="str">
        <f>""</f>
        <v/>
      </c>
      <c r="CR106" t="str">
        <f>""</f>
        <v/>
      </c>
      <c r="CS106" t="str">
        <f>""</f>
        <v/>
      </c>
      <c r="CT106" t="str">
        <f>""</f>
        <v/>
      </c>
      <c r="CU106" t="str">
        <f>""</f>
        <v/>
      </c>
      <c r="CV106" t="str">
        <f>""</f>
        <v/>
      </c>
      <c r="CW106" t="str">
        <f>""</f>
        <v/>
      </c>
      <c r="CX106" t="str">
        <f>""</f>
        <v/>
      </c>
      <c r="CY106" t="str">
        <f>""</f>
        <v/>
      </c>
      <c r="CZ106" t="str">
        <f>""</f>
        <v/>
      </c>
      <c r="DA106" t="str">
        <f>""</f>
        <v/>
      </c>
      <c r="DB106" t="str">
        <f>""</f>
        <v/>
      </c>
      <c r="DC106" t="str">
        <f>""</f>
        <v/>
      </c>
      <c r="DD106" t="str">
        <f>""</f>
        <v/>
      </c>
      <c r="DE106" t="str">
        <f>""</f>
        <v/>
      </c>
      <c r="DF106" t="str">
        <f>""</f>
        <v/>
      </c>
      <c r="DG106" t="str">
        <f>""</f>
        <v/>
      </c>
      <c r="DH106" t="str">
        <f>""</f>
        <v/>
      </c>
      <c r="DI106" t="str">
        <f>""</f>
        <v/>
      </c>
      <c r="DJ106" t="str">
        <f>""</f>
        <v/>
      </c>
      <c r="DK106" t="str">
        <f>""</f>
        <v/>
      </c>
      <c r="DL106" t="str">
        <f>""</f>
        <v/>
      </c>
      <c r="DM106" t="str">
        <f>""</f>
        <v/>
      </c>
      <c r="DN106" t="str">
        <f>""</f>
        <v/>
      </c>
      <c r="DO106" t="str">
        <f>""</f>
        <v/>
      </c>
      <c r="DP106" t="str">
        <f>""</f>
        <v/>
      </c>
      <c r="DQ106" t="str">
        <f>""</f>
        <v/>
      </c>
      <c r="DR106" t="str">
        <f>""</f>
        <v/>
      </c>
      <c r="DS106" t="str">
        <f>""</f>
        <v/>
      </c>
      <c r="DT106" t="str">
        <f>""</f>
        <v/>
      </c>
      <c r="DU106" t="str">
        <f>""</f>
        <v/>
      </c>
      <c r="DV106" t="str">
        <f>""</f>
        <v/>
      </c>
      <c r="DW106" t="str">
        <f>""</f>
        <v/>
      </c>
      <c r="DX106" t="str">
        <f>""</f>
        <v/>
      </c>
      <c r="DY106" t="str">
        <f>""</f>
        <v/>
      </c>
      <c r="DZ106" t="str">
        <f>""</f>
        <v/>
      </c>
      <c r="EA106" t="str">
        <f>""</f>
        <v/>
      </c>
      <c r="EB106" t="str">
        <f>""</f>
        <v/>
      </c>
      <c r="EC106" t="str">
        <f>""</f>
        <v/>
      </c>
      <c r="ED106" t="str">
        <f>""</f>
        <v/>
      </c>
      <c r="EE106" t="str">
        <f>""</f>
        <v/>
      </c>
      <c r="EF106" t="str">
        <f>""</f>
        <v/>
      </c>
      <c r="EG106" t="str">
        <f>""</f>
        <v/>
      </c>
      <c r="EH106" t="str">
        <f>""</f>
        <v/>
      </c>
      <c r="EI106" t="str">
        <f>""</f>
        <v/>
      </c>
      <c r="EJ106" t="str">
        <f>""</f>
        <v/>
      </c>
      <c r="EK106" t="str">
        <f>""</f>
        <v/>
      </c>
      <c r="EL106" t="str">
        <f>""</f>
        <v/>
      </c>
      <c r="EM106" t="str">
        <f>""</f>
        <v/>
      </c>
      <c r="EN106" t="str">
        <f>""</f>
        <v/>
      </c>
      <c r="EO106" t="str">
        <f>""</f>
        <v/>
      </c>
      <c r="EP106" t="str">
        <f>""</f>
        <v/>
      </c>
      <c r="EQ106" t="str">
        <f>""</f>
        <v/>
      </c>
      <c r="ER106" t="str">
        <f>""</f>
        <v/>
      </c>
      <c r="ES106" t="str">
        <f>""</f>
        <v/>
      </c>
      <c r="ET106" t="str">
        <f>""</f>
        <v/>
      </c>
      <c r="EU106" t="str">
        <f>""</f>
        <v/>
      </c>
      <c r="EV106" t="str">
        <f>""</f>
        <v/>
      </c>
      <c r="EW106" t="str">
        <f>""</f>
        <v/>
      </c>
      <c r="EX106" t="str">
        <f>""</f>
        <v/>
      </c>
      <c r="EY106" t="str">
        <f>""</f>
        <v/>
      </c>
      <c r="EZ106" t="str">
        <f>""</f>
        <v/>
      </c>
      <c r="FA106" t="str">
        <f>""</f>
        <v/>
      </c>
      <c r="FB106" t="str">
        <f>""</f>
        <v/>
      </c>
      <c r="FC106" t="str">
        <f>""</f>
        <v/>
      </c>
      <c r="FD106" t="str">
        <f>""</f>
        <v/>
      </c>
      <c r="FE106" t="str">
        <f>""</f>
        <v/>
      </c>
      <c r="FF106" t="str">
        <f>""</f>
        <v/>
      </c>
      <c r="FG106" t="str">
        <f>""</f>
        <v/>
      </c>
      <c r="FH106" t="str">
        <f>""</f>
        <v/>
      </c>
      <c r="FI106" t="str">
        <f>""</f>
        <v/>
      </c>
      <c r="FJ106" t="str">
        <f>""</f>
        <v/>
      </c>
      <c r="FK106" t="str">
        <f>""</f>
        <v/>
      </c>
      <c r="FL106" t="str">
        <f>""</f>
        <v/>
      </c>
      <c r="FM106" t="str">
        <f>""</f>
        <v/>
      </c>
      <c r="FN106" t="str">
        <f>""</f>
        <v/>
      </c>
      <c r="FO106" t="str">
        <f>""</f>
        <v/>
      </c>
      <c r="FP106" t="str">
        <f>""</f>
        <v/>
      </c>
      <c r="FQ106" t="str">
        <f>""</f>
        <v/>
      </c>
    </row>
    <row r="107" spans="1:173" x14ac:dyDescent="0.25">
      <c r="A107" t="str">
        <f>$A$47</f>
        <v>Port Hedland Cargo Statistics - Australia Port Hedland Total Exports (tonnes) - Manganese Ore Exports (tonnes)</v>
      </c>
      <c r="B107" t="str">
        <f>$B$47</f>
        <v>AHEDEXMO Index</v>
      </c>
      <c r="C107" t="str">
        <f>$C$47</f>
        <v>PX385</v>
      </c>
      <c r="D107" t="str">
        <f>$D$47</f>
        <v>INTERVAL_SUM</v>
      </c>
      <c r="E107" t="str">
        <f>$E$47</f>
        <v>Dynamic</v>
      </c>
      <c r="F107" t="str">
        <f ca="1">_xll.BDP($B$47,$C$47,CONCATENATE("PX391=", $F$71), CONCATENATE("PX392=",$F$72), CONCATENATE("DS004=",$B$64), "Fill=B")</f>
        <v/>
      </c>
      <c r="G107" t="str">
        <f ca="1">_xll.BDP($B$47,$C$47,CONCATENATE("PX391=", $G$71), CONCATENATE("PX392=",$G$72), CONCATENATE("DS004=",$B$64), "Fill=B")</f>
        <v/>
      </c>
      <c r="H107">
        <f ca="1">_xll.BDP($B$47,$C$47,CONCATENATE("PX391=", $H$71), CONCATENATE("PX392=",$H$72), CONCATENATE("DS004=",$B$64), "Fill=B")</f>
        <v>175000</v>
      </c>
      <c r="I107">
        <f ca="1">_xll.BDP($B$47,$C$47,CONCATENATE("PX391=", $I$71), CONCATENATE("PX392=",$I$72), CONCATENATE("DS004=",$B$64), "Fill=B")</f>
        <v>120941</v>
      </c>
      <c r="J107">
        <f ca="1">_xll.BDP($B$47,$C$47,CONCATENATE("PX391=", $J$71), CONCATENATE("PX392=",$J$72), CONCATENATE("DS004=",$B$64), "Fill=B")</f>
        <v>95000</v>
      </c>
      <c r="K107">
        <f ca="1">_xll.BDP($B$47,$C$47,CONCATENATE("PX391=", $K$71), CONCATENATE("PX392=",$K$72), CONCATENATE("DS004=",$B$64), "Fill=B")</f>
        <v>131686</v>
      </c>
      <c r="L107">
        <f ca="1">_xll.BDP($B$47,$C$47,CONCATENATE("PX391=", $L$71), CONCATENATE("PX392=",$L$72), CONCATENATE("DS004=",$B$64), "Fill=B")</f>
        <v>0</v>
      </c>
      <c r="M107">
        <f ca="1">_xll.BDP($B$47,$C$47,CONCATENATE("PX391=", $M$71), CONCATENATE("PX392=",$M$72), CONCATENATE("DS004=",$B$64), "Fill=B")</f>
        <v>154903</v>
      </c>
      <c r="N107">
        <f ca="1">_xll.BDP($B$47,$C$47,CONCATENATE("PX391=", $N$71), CONCATENATE("PX392=",$N$72), CONCATENATE("DS004=",$B$64), "Fill=B")</f>
        <v>27500</v>
      </c>
      <c r="O107">
        <f ca="1">_xll.BDP($B$47,$C$47,CONCATENATE("PX391=", $O$71), CONCATENATE("PX392=",$O$72), CONCATENATE("DS004=",$B$64), "Fill=B")</f>
        <v>78900</v>
      </c>
      <c r="P107">
        <f ca="1">_xll.BDP($B$47,$C$47,CONCATENATE("PX391=", $P$71), CONCATENATE("PX392=",$P$72), CONCATENATE("DS004=",$B$64), "Fill=B")</f>
        <v>200286</v>
      </c>
      <c r="Q107">
        <f ca="1">_xll.BDP($B$47,$C$47,CONCATENATE("PX391=", $Q$71), CONCATENATE("PX392=",$Q$72), CONCATENATE("DS004=",$B$64), "Fill=B")</f>
        <v>215000</v>
      </c>
      <c r="R107">
        <f ca="1">_xll.BDP($B$47,$C$47,CONCATENATE("PX391=", $R$71), CONCATENATE("PX392=",$R$72), CONCATENATE("DS004=",$B$64), "Fill=B")</f>
        <v>100000</v>
      </c>
      <c r="S107">
        <f ca="1">_xll.BDP($B$47,$C$47,CONCATENATE("PX391=", $S$71), CONCATENATE("PX392=",$S$72), CONCATENATE("DS004=",$B$64), "Fill=B")</f>
        <v>115384</v>
      </c>
      <c r="T107">
        <f ca="1">_xll.BDP($B$47,$C$47,CONCATENATE("PX391=", $T$71), CONCATENATE("PX392=",$T$72), CONCATENATE("DS004=",$B$64), "Fill=B")</f>
        <v>72400</v>
      </c>
      <c r="U107">
        <f ca="1">_xll.BDP($B$47,$C$47,CONCATENATE("PX391=", $U$71), CONCATENATE("PX392=",$U$72), CONCATENATE("DS004=",$B$64), "Fill=B")</f>
        <v>147940</v>
      </c>
      <c r="V107">
        <f ca="1">_xll.BDP($B$47,$C$47,CONCATENATE("PX391=", $V$71), CONCATENATE("PX392=",$V$72), CONCATENATE("DS004=",$B$64), "Fill=B")</f>
        <v>75000</v>
      </c>
      <c r="W107">
        <f ca="1">_xll.BDP($B$47,$C$47,CONCATENATE("PX391=", $W$71), CONCATENATE("PX392=",$W$72), CONCATENATE("DS004=",$B$64), "Fill=B")</f>
        <v>70000</v>
      </c>
      <c r="X107">
        <f ca="1">_xll.BDP($B$47,$C$47,CONCATENATE("PX391=", $X$71), CONCATENATE("PX392=",$X$72), CONCATENATE("DS004=",$B$64), "Fill=B")</f>
        <v>107252</v>
      </c>
      <c r="Y107">
        <f ca="1">_xll.BDP($B$47,$C$47,CONCATENATE("PX391=", $Y$71), CONCATENATE("PX392=",$Y$72), CONCATENATE("DS004=",$B$64), "Fill=B")</f>
        <v>0</v>
      </c>
      <c r="Z107">
        <f ca="1">_xll.BDP($B$47,$C$47,CONCATENATE("PX391=", $Z$71), CONCATENATE("PX392=",$Z$72), CONCATENATE("DS004=",$B$64), "Fill=B")</f>
        <v>211398</v>
      </c>
      <c r="AA107">
        <f ca="1">_xll.BDP($B$47,$C$47,CONCATENATE("PX391=", $AA$71), CONCATENATE("PX392=",$AA$72), CONCATENATE("DS004=",$B$64), "Fill=B")</f>
        <v>33000</v>
      </c>
      <c r="AB107">
        <f ca="1">_xll.BDP($B$47,$C$47,CONCATENATE("PX391=", $AB$71), CONCATENATE("PX392=",$AB$72), CONCATENATE("DS004=",$B$64), "Fill=B")</f>
        <v>102300</v>
      </c>
      <c r="AC107">
        <f ca="1">_xll.BDP($B$47,$C$47,CONCATENATE("PX391=", $AC$71), CONCATENATE("PX392=",$AC$72), CONCATENATE("DS004=",$B$64), "Fill=B")</f>
        <v>219343</v>
      </c>
      <c r="AD107">
        <f ca="1">_xll.BDP($B$47,$C$47,CONCATENATE("PX391=", $AD$71), CONCATENATE("PX392=",$AD$72), CONCATENATE("DS004=",$B$64), "Fill=B")</f>
        <v>73500</v>
      </c>
      <c r="AE107">
        <f ca="1">_xll.BDP($B$47,$C$47,CONCATENATE("PX391=", $AE$71), CONCATENATE("PX392=",$AE$72), CONCATENATE("DS004=",$B$64), "Fill=B")</f>
        <v>178500</v>
      </c>
      <c r="AF107">
        <f ca="1">_xll.BDP($B$47,$C$47,CONCATENATE("PX391=", $AF$71), CONCATENATE("PX392=",$AF$72), CONCATENATE("DS004=",$B$64), "Fill=B")</f>
        <v>73500</v>
      </c>
      <c r="AG107">
        <f ca="1">_xll.BDP($B$47,$C$47,CONCATENATE("PX391=", $AG$71), CONCATENATE("PX392=",$AG$72), CONCATENATE("DS004=",$B$64), "Fill=B")</f>
        <v>131389</v>
      </c>
      <c r="AH107">
        <f ca="1">_xll.BDP($B$47,$C$47,CONCATENATE("PX391=", $AH$71), CONCATENATE("PX392=",$AH$72), CONCATENATE("DS004=",$B$64), "Fill=B")</f>
        <v>171174</v>
      </c>
      <c r="AI107">
        <f ca="1">_xll.BDP($B$47,$C$47,CONCATENATE("PX391=", $AI$71), CONCATENATE("PX392=",$AI$72), CONCATENATE("DS004=",$B$64), "Fill=B")</f>
        <v>75000</v>
      </c>
      <c r="AJ107">
        <f ca="1">_xll.BDP($B$47,$C$47,CONCATENATE("PX391=", $AJ$71), CONCATENATE("PX392=",$AJ$72), CONCATENATE("DS004=",$B$64), "Fill=B")</f>
        <v>0</v>
      </c>
      <c r="AK107">
        <f ca="1">_xll.BDP($B$47,$C$47,CONCATENATE("PX391=", $AK$71), CONCATENATE("PX392=",$AK$72), CONCATENATE("DS004=",$B$64), "Fill=B")</f>
        <v>152000</v>
      </c>
      <c r="AL107">
        <f ca="1">_xll.BDP($B$47,$C$47,CONCATENATE("PX391=", $AL$71), CONCATENATE("PX392=",$AL$72), CONCATENATE("DS004=",$B$64), "Fill=B")</f>
        <v>108235</v>
      </c>
      <c r="AM107">
        <f ca="1">_xll.BDP($B$47,$C$47,CONCATENATE("PX391=", $AM$71), CONCATENATE("PX392=",$AM$72), CONCATENATE("DS004=",$B$64), "Fill=B")</f>
        <v>0</v>
      </c>
      <c r="AN107">
        <f ca="1">_xll.BDP($B$47,$C$47,CONCATENATE("PX391=", $AN$71), CONCATENATE("PX392=",$AN$72), CONCATENATE("DS004=",$B$64), "Fill=B")</f>
        <v>100000</v>
      </c>
      <c r="AO107">
        <f ca="1">_xll.BDP($B$47,$C$47,CONCATENATE("PX391=", $AO$71), CONCATENATE("PX392=",$AO$72), CONCATENATE("DS004=",$B$64), "Fill=B")</f>
        <v>220640</v>
      </c>
      <c r="AP107">
        <f ca="1">_xll.BDP($B$47,$C$47,CONCATENATE("PX391=", $AP$71), CONCATENATE("PX392=",$AP$72), CONCATENATE("DS004=",$B$64), "Fill=B")</f>
        <v>0</v>
      </c>
      <c r="AQ107">
        <f ca="1">_xll.BDP($B$47,$C$47,CONCATENATE("PX391=", $AQ$71), CONCATENATE("PX392=",$AQ$72), CONCATENATE("DS004=",$B$64), "Fill=B")</f>
        <v>220500</v>
      </c>
      <c r="AR107">
        <f ca="1">_xll.BDP($B$47,$C$47,CONCATENATE("PX391=", $AR$71), CONCATENATE("PX392=",$AR$72), CONCATENATE("DS004=",$B$64), "Fill=B")</f>
        <v>103000</v>
      </c>
      <c r="AS107">
        <f ca="1">_xll.BDP($B$47,$C$47,CONCATENATE("PX391=", $AS$71), CONCATENATE("PX392=",$AS$72), CONCATENATE("DS004=",$B$64), "Fill=B")</f>
        <v>0</v>
      </c>
      <c r="AT107">
        <f ca="1">_xll.BDP($B$47,$C$47,CONCATENATE("PX391=", $AT$71), CONCATENATE("PX392=",$AT$72), CONCATENATE("DS004=",$B$64), "Fill=B")</f>
        <v>104200</v>
      </c>
      <c r="AU107">
        <f ca="1">_xll.BDP($B$47,$C$47,CONCATENATE("PX391=", $AU$71), CONCATENATE("PX392=",$AU$72), CONCATENATE("DS004=",$B$64), "Fill=B")</f>
        <v>96800</v>
      </c>
      <c r="AV107">
        <f ca="1">_xll.BDP($B$47,$C$47,CONCATENATE("PX391=", $AV$71), CONCATENATE("PX392=",$AV$72), CONCATENATE("DS004=",$B$64), "Fill=B")</f>
        <v>201125</v>
      </c>
      <c r="AW107">
        <f ca="1">_xll.BDP($B$47,$C$47,CONCATENATE("PX391=", $AW$71), CONCATENATE("PX392=",$AW$72), CONCATENATE("DS004=",$B$64), "Fill=B")</f>
        <v>100000</v>
      </c>
      <c r="AX107">
        <f ca="1">_xll.BDP($B$47,$C$47,CONCATENATE("PX391=", $AX$71), CONCATENATE("PX392=",$AX$72), CONCATENATE("DS004=",$B$64), "Fill=B")</f>
        <v>106400</v>
      </c>
      <c r="AY107">
        <f ca="1">_xll.BDP($B$47,$C$47,CONCATENATE("PX391=", $AY$71), CONCATENATE("PX392=",$AY$72), CONCATENATE("DS004=",$B$64), "Fill=B")</f>
        <v>33000</v>
      </c>
      <c r="AZ107">
        <f ca="1">_xll.BDP($B$47,$C$47,CONCATENATE("PX391=", $AZ$71), CONCATENATE("PX392=",$AZ$72), CONCATENATE("DS004=",$B$64), "Fill=B")</f>
        <v>112288</v>
      </c>
      <c r="BA107">
        <f ca="1">_xll.BDP($B$47,$C$47,CONCATENATE("PX391=", $BA$71), CONCATENATE("PX392=",$BA$72), CONCATENATE("DS004=",$B$64), "Fill=B")</f>
        <v>112560</v>
      </c>
      <c r="BB107">
        <f ca="1">_xll.BDP($B$47,$C$47,CONCATENATE("PX391=", $BB$71), CONCATENATE("PX392=",$BB$72), CONCATENATE("DS004=",$B$64), "Fill=B")</f>
        <v>112650</v>
      </c>
      <c r="BC107">
        <f ca="1">_xll.BDP($B$47,$C$47,CONCATENATE("PX391=", $BC$71), CONCATENATE("PX392=",$BC$72), CONCATENATE("DS004=",$B$64), "Fill=B")</f>
        <v>112485</v>
      </c>
      <c r="BD107">
        <f ca="1">_xll.BDP($B$47,$C$47,CONCATENATE("PX391=", $BD$71), CONCATENATE("PX392=",$BD$72), CONCATENATE("DS004=",$B$64), "Fill=B")</f>
        <v>112510</v>
      </c>
      <c r="BE107">
        <f ca="1">_xll.BDP($B$47,$C$47,CONCATENATE("PX391=", $BE$71), CONCATENATE("PX392=",$BE$72), CONCATENATE("DS004=",$B$64), "Fill=B")</f>
        <v>111900</v>
      </c>
      <c r="BF107">
        <f ca="1">_xll.BDP($B$47,$C$47,CONCATENATE("PX391=", $BF$71), CONCATENATE("PX392=",$BF$72), CONCATENATE("DS004=",$B$64), "Fill=B")</f>
        <v>156000</v>
      </c>
      <c r="BG107">
        <f ca="1">_xll.BDP($B$47,$C$47,CONCATENATE("PX391=", $BG$71), CONCATENATE("PX392=",$BG$72), CONCATENATE("DS004=",$B$64), "Fill=B")</f>
        <v>110000</v>
      </c>
      <c r="BH107">
        <f ca="1">_xll.BDP($B$47,$C$47,CONCATENATE("PX391=", $BH$71), CONCATENATE("PX392=",$BH$72), CONCATENATE("DS004=",$B$64), "Fill=B")</f>
        <v>110000</v>
      </c>
      <c r="BI107">
        <f ca="1">_xll.BDP($B$47,$C$47,CONCATENATE("PX391=", $BI$71), CONCATENATE("PX392=",$BI$72), CONCATENATE("DS004=",$B$64), "Fill=B")</f>
        <v>110000</v>
      </c>
      <c r="BJ107">
        <f ca="1">_xll.BDP($B$47,$C$47,CONCATENATE("PX391=", $BJ$71), CONCATENATE("PX392=",$BJ$72), CONCATENATE("DS004=",$B$64), "Fill=B")</f>
        <v>108000</v>
      </c>
      <c r="BK107">
        <f ca="1">_xll.BDP($B$47,$C$47,CONCATENATE("PX391=", $BK$71), CONCATENATE("PX392=",$BK$72), CONCATENATE("DS004=",$B$64), "Fill=B")</f>
        <v>105000</v>
      </c>
      <c r="BL107">
        <f ca="1">_xll.BDP($B$47,$C$47,CONCATENATE("PX391=", $BL$71), CONCATENATE("PX392=",$BL$72), CONCATENATE("DS004=",$B$64), "Fill=B")</f>
        <v>88000</v>
      </c>
      <c r="BM107">
        <f ca="1">_xll.BDP($B$47,$C$47,CONCATENATE("PX391=", $BM$71), CONCATENATE("PX392=",$BM$72), CONCATENATE("DS004=",$B$64), "Fill=B")</f>
        <v>101000</v>
      </c>
      <c r="BN107">
        <f ca="1">_xll.BDP($B$47,$C$47,CONCATENATE("PX391=", $BN$71), CONCATENATE("PX392=",$BN$72), CONCATENATE("DS004=",$B$64), "Fill=B")</f>
        <v>160250</v>
      </c>
      <c r="BO107">
        <f ca="1">_xll.BDP($B$47,$C$47,CONCATENATE("PX391=", $BO$71), CONCATENATE("PX392=",$BO$72), CONCATENATE("DS004=",$B$64), "Fill=B")</f>
        <v>93167</v>
      </c>
      <c r="BP107">
        <f ca="1">_xll.BDP($B$47,$C$47,CONCATENATE("PX391=", $BP$71), CONCATENATE("PX392=",$BP$72), CONCATENATE("DS004=",$B$64), "Fill=B")</f>
        <v>147000</v>
      </c>
      <c r="BQ107">
        <f ca="1">_xll.BDP($B$47,$C$47,CONCATENATE("PX391=", $BQ$71), CONCATENATE("PX392=",$BQ$72), CONCATENATE("DS004=",$B$64), "Fill=B")</f>
        <v>111660</v>
      </c>
      <c r="BR107">
        <f ca="1">_xll.BDP($B$47,$C$47,CONCATENATE("PX391=", $BR$71), CONCATENATE("PX392=",$BR$72), CONCATENATE("DS004=",$B$64), "Fill=B")</f>
        <v>110200</v>
      </c>
      <c r="BS107">
        <f ca="1">_xll.BDP($B$47,$C$47,CONCATENATE("PX391=", $BS$71), CONCATENATE("PX392=",$BS$72), CONCATENATE("DS004=",$B$64), "Fill=B")</f>
        <v>127865</v>
      </c>
      <c r="BT107">
        <f ca="1">_xll.BDP($B$47,$C$47,CONCATENATE("PX391=", $BT$71), CONCATENATE("PX392=",$BT$72), CONCATENATE("DS004=",$B$64), "Fill=B")</f>
        <v>101350</v>
      </c>
      <c r="BU107">
        <f ca="1">_xll.BDP($B$47,$C$47,CONCATENATE("PX391=", $BU$71), CONCATENATE("PX392=",$BU$72), CONCATENATE("DS004=",$B$64), "Fill=B")</f>
        <v>200970</v>
      </c>
      <c r="BV107" t="str">
        <f ca="1">_xll.BDP($B$47,$C$47,CONCATENATE("PX391=", $BV$71), CONCATENATE("PX392=",$BV$72), CONCATENATE("DS004=",$B$64), "Fill=B")</f>
        <v/>
      </c>
      <c r="BW107">
        <f ca="1">_xll.BDP($B$47,$C$47,CONCATENATE("PX391=", $BW$71), CONCATENATE("PX392=",$BW$72), CONCATENATE("DS004=",$B$64), "Fill=B")</f>
        <v>74000</v>
      </c>
      <c r="BX107">
        <f ca="1">_xll.BDP($B$47,$C$47,CONCATENATE("PX391=", $BX$71), CONCATENATE("PX392=",$BX$72), CONCATENATE("DS004=",$B$64), "Fill=B")</f>
        <v>61160</v>
      </c>
      <c r="BY107">
        <f ca="1">_xll.BDP($B$47,$C$47,CONCATENATE("PX391=", $BY$71), CONCATENATE("PX392=",$BY$72), CONCATENATE("DS004=",$B$64), "Fill=B")</f>
        <v>80000</v>
      </c>
      <c r="BZ107">
        <f ca="1">_xll.BDP($B$47,$C$47,CONCATENATE("PX391=", $BZ$71), CONCATENATE("PX392=",$BZ$72), CONCATENATE("DS004=",$B$64), "Fill=B")</f>
        <v>71500</v>
      </c>
      <c r="CA107">
        <f ca="1">_xll.BDP($B$47,$C$47,CONCATENATE("PX391=", $CA$71), CONCATENATE("PX392=",$CA$72), CONCATENATE("DS004=",$B$64), "Fill=B")</f>
        <v>56668</v>
      </c>
      <c r="CB107">
        <f ca="1">_xll.BDP($B$47,$C$47,CONCATENATE("PX391=", $CB$71), CONCATENATE("PX392=",$CB$72), CONCATENATE("DS004=",$B$64), "Fill=B")</f>
        <v>0</v>
      </c>
      <c r="CC107">
        <f ca="1">_xll.BDP($B$47,$C$47,CONCATENATE("PX391=", $CC$71), CONCATENATE("PX392=",$CC$72), CONCATENATE("DS004=",$B$64), "Fill=B")</f>
        <v>106500</v>
      </c>
      <c r="CD107">
        <f ca="1">_xll.BDP($B$47,$C$47,CONCATENATE("PX391=", $CD$71), CONCATENATE("PX392=",$CD$72), CONCATENATE("DS004=",$B$64), "Fill=B")</f>
        <v>41997</v>
      </c>
      <c r="CE107">
        <f ca="1">_xll.BDP($B$47,$C$47,CONCATENATE("PX391=", $CE$71), CONCATENATE("PX392=",$CE$72), CONCATENATE("DS004=",$B$64), "Fill=B")</f>
        <v>75600</v>
      </c>
      <c r="CF107">
        <f ca="1">_xll.BDP($B$47,$C$47,CONCATENATE("PX391=", $CF$71), CONCATENATE("PX392=",$CF$72), CONCATENATE("DS004=",$B$64), "Fill=B")</f>
        <v>0</v>
      </c>
      <c r="CG107">
        <f ca="1">_xll.BDP($B$47,$C$47,CONCATENATE("PX391=", $CG$71), CONCATENATE("PX392=",$CG$72), CONCATENATE("DS004=",$B$64), "Fill=B")</f>
        <v>59997</v>
      </c>
      <c r="CH107">
        <f ca="1">_xll.BDP($B$47,$C$47,CONCATENATE("PX391=", $CH$71), CONCATENATE("PX392=",$CH$72), CONCATENATE("DS004=",$B$64), "Fill=B")</f>
        <v>45953</v>
      </c>
      <c r="CI107">
        <f ca="1">_xll.BDP($B$47,$C$47,CONCATENATE("PX391=", $CI$71), CONCATENATE("PX392=",$CI$72), CONCATENATE("DS004=",$B$64), "Fill=B")</f>
        <v>0</v>
      </c>
      <c r="CJ107">
        <f ca="1">_xll.BDP($B$47,$C$47,CONCATENATE("PX391=", $CJ$71), CONCATENATE("PX392=",$CJ$72), CONCATENATE("DS004=",$B$64), "Fill=B")</f>
        <v>0</v>
      </c>
      <c r="CK107">
        <f ca="1">_xll.BDP($B$47,$C$47,CONCATENATE("PX391=", $CK$71), CONCATENATE("PX392=",$CK$72), CONCATENATE("DS004=",$B$64), "Fill=B")</f>
        <v>44102</v>
      </c>
      <c r="CL107" t="str">
        <f>""</f>
        <v/>
      </c>
      <c r="CM107" t="str">
        <f>""</f>
        <v/>
      </c>
      <c r="CN107" t="str">
        <f>""</f>
        <v/>
      </c>
      <c r="CO107" t="str">
        <f>""</f>
        <v/>
      </c>
      <c r="CP107" t="str">
        <f>""</f>
        <v/>
      </c>
      <c r="CQ107" t="str">
        <f>""</f>
        <v/>
      </c>
      <c r="CR107" t="str">
        <f>""</f>
        <v/>
      </c>
      <c r="CS107" t="str">
        <f>""</f>
        <v/>
      </c>
      <c r="CT107" t="str">
        <f>""</f>
        <v/>
      </c>
      <c r="CU107" t="str">
        <f>""</f>
        <v/>
      </c>
      <c r="CV107" t="str">
        <f>""</f>
        <v/>
      </c>
      <c r="CW107" t="str">
        <f>""</f>
        <v/>
      </c>
      <c r="CX107" t="str">
        <f>""</f>
        <v/>
      </c>
      <c r="CY107" t="str">
        <f>""</f>
        <v/>
      </c>
      <c r="CZ107" t="str">
        <f>""</f>
        <v/>
      </c>
      <c r="DA107" t="str">
        <f>""</f>
        <v/>
      </c>
      <c r="DB107" t="str">
        <f>""</f>
        <v/>
      </c>
      <c r="DC107" t="str">
        <f>""</f>
        <v/>
      </c>
      <c r="DD107" t="str">
        <f>""</f>
        <v/>
      </c>
      <c r="DE107" t="str">
        <f>""</f>
        <v/>
      </c>
      <c r="DF107" t="str">
        <f>""</f>
        <v/>
      </c>
      <c r="DG107" t="str">
        <f>""</f>
        <v/>
      </c>
      <c r="DH107" t="str">
        <f>""</f>
        <v/>
      </c>
      <c r="DI107" t="str">
        <f>""</f>
        <v/>
      </c>
      <c r="DJ107" t="str">
        <f>""</f>
        <v/>
      </c>
      <c r="DK107" t="str">
        <f>""</f>
        <v/>
      </c>
      <c r="DL107" t="str">
        <f>""</f>
        <v/>
      </c>
      <c r="DM107" t="str">
        <f>""</f>
        <v/>
      </c>
      <c r="DN107" t="str">
        <f>""</f>
        <v/>
      </c>
      <c r="DO107" t="str">
        <f>""</f>
        <v/>
      </c>
      <c r="DP107" t="str">
        <f>""</f>
        <v/>
      </c>
      <c r="DQ107" t="str">
        <f>""</f>
        <v/>
      </c>
      <c r="DR107" t="str">
        <f>""</f>
        <v/>
      </c>
      <c r="DS107" t="str">
        <f>""</f>
        <v/>
      </c>
      <c r="DT107" t="str">
        <f>""</f>
        <v/>
      </c>
      <c r="DU107" t="str">
        <f>""</f>
        <v/>
      </c>
      <c r="DV107" t="str">
        <f>""</f>
        <v/>
      </c>
      <c r="DW107" t="str">
        <f>""</f>
        <v/>
      </c>
      <c r="DX107" t="str">
        <f>""</f>
        <v/>
      </c>
      <c r="DY107" t="str">
        <f>""</f>
        <v/>
      </c>
      <c r="DZ107" t="str">
        <f>""</f>
        <v/>
      </c>
      <c r="EA107" t="str">
        <f>""</f>
        <v/>
      </c>
      <c r="EB107" t="str">
        <f>""</f>
        <v/>
      </c>
      <c r="EC107" t="str">
        <f>""</f>
        <v/>
      </c>
      <c r="ED107" t="str">
        <f>""</f>
        <v/>
      </c>
      <c r="EE107" t="str">
        <f>""</f>
        <v/>
      </c>
      <c r="EF107" t="str">
        <f>""</f>
        <v/>
      </c>
      <c r="EG107" t="str">
        <f>""</f>
        <v/>
      </c>
      <c r="EH107" t="str">
        <f>""</f>
        <v/>
      </c>
      <c r="EI107" t="str">
        <f>""</f>
        <v/>
      </c>
      <c r="EJ107" t="str">
        <f>""</f>
        <v/>
      </c>
      <c r="EK107" t="str">
        <f>""</f>
        <v/>
      </c>
      <c r="EL107" t="str">
        <f>""</f>
        <v/>
      </c>
      <c r="EM107" t="str">
        <f>""</f>
        <v/>
      </c>
      <c r="EN107" t="str">
        <f>""</f>
        <v/>
      </c>
      <c r="EO107" t="str">
        <f>""</f>
        <v/>
      </c>
      <c r="EP107" t="str">
        <f>""</f>
        <v/>
      </c>
      <c r="EQ107" t="str">
        <f>""</f>
        <v/>
      </c>
      <c r="ER107" t="str">
        <f>""</f>
        <v/>
      </c>
      <c r="ES107" t="str">
        <f>""</f>
        <v/>
      </c>
      <c r="ET107" t="str">
        <f>""</f>
        <v/>
      </c>
      <c r="EU107" t="str">
        <f>""</f>
        <v/>
      </c>
      <c r="EV107" t="str">
        <f>""</f>
        <v/>
      </c>
      <c r="EW107" t="str">
        <f>""</f>
        <v/>
      </c>
      <c r="EX107" t="str">
        <f>""</f>
        <v/>
      </c>
      <c r="EY107" t="str">
        <f>""</f>
        <v/>
      </c>
      <c r="EZ107" t="str">
        <f>""</f>
        <v/>
      </c>
      <c r="FA107" t="str">
        <f>""</f>
        <v/>
      </c>
      <c r="FB107" t="str">
        <f>""</f>
        <v/>
      </c>
      <c r="FC107" t="str">
        <f>""</f>
        <v/>
      </c>
      <c r="FD107" t="str">
        <f>""</f>
        <v/>
      </c>
      <c r="FE107" t="str">
        <f>""</f>
        <v/>
      </c>
      <c r="FF107" t="str">
        <f>""</f>
        <v/>
      </c>
      <c r="FG107" t="str">
        <f>""</f>
        <v/>
      </c>
      <c r="FH107" t="str">
        <f>""</f>
        <v/>
      </c>
      <c r="FI107" t="str">
        <f>""</f>
        <v/>
      </c>
      <c r="FJ107" t="str">
        <f>""</f>
        <v/>
      </c>
      <c r="FK107" t="str">
        <f>""</f>
        <v/>
      </c>
      <c r="FL107" t="str">
        <f>""</f>
        <v/>
      </c>
      <c r="FM107" t="str">
        <f>""</f>
        <v/>
      </c>
      <c r="FN107" t="str">
        <f>""</f>
        <v/>
      </c>
      <c r="FO107" t="str">
        <f>""</f>
        <v/>
      </c>
      <c r="FP107" t="str">
        <f>""</f>
        <v/>
      </c>
      <c r="FQ107" t="str">
        <f>""</f>
        <v/>
      </c>
    </row>
    <row r="108" spans="1:173" x14ac:dyDescent="0.25">
      <c r="A108" t="str">
        <f>$A$48</f>
        <v>Port Hedland Cargo Statistics - Australia Port Hedland Total Exports (tonnes) - Salt Exports (tonnes)</v>
      </c>
      <c r="B108" t="str">
        <f>$B$48</f>
        <v>AHEDEXSL Index</v>
      </c>
      <c r="C108" t="str">
        <f>$C$48</f>
        <v>PX385</v>
      </c>
      <c r="D108" t="str">
        <f>$D$48</f>
        <v>INTERVAL_SUM</v>
      </c>
      <c r="E108" t="str">
        <f>$E$48</f>
        <v>Dynamic</v>
      </c>
      <c r="F108" t="str">
        <f ca="1">_xll.BDP($B$48,$C$48,CONCATENATE("PX391=", $F$71), CONCATENATE("PX392=",$F$72), CONCATENATE("DS004=",$B$64), "Fill=B")</f>
        <v/>
      </c>
      <c r="G108" t="str">
        <f ca="1">_xll.BDP($B$48,$C$48,CONCATENATE("PX391=", $G$71), CONCATENATE("PX392=",$G$72), CONCATENATE("DS004=",$B$64), "Fill=B")</f>
        <v/>
      </c>
      <c r="H108">
        <f ca="1">_xll.BDP($B$48,$C$48,CONCATENATE("PX391=", $H$71), CONCATENATE("PX392=",$H$72), CONCATENATE("DS004=",$B$64), "Fill=B")</f>
        <v>125853</v>
      </c>
      <c r="I108">
        <f ca="1">_xll.BDP($B$48,$C$48,CONCATENATE("PX391=", $I$71), CONCATENATE("PX392=",$I$72), CONCATENATE("DS004=",$B$64), "Fill=B")</f>
        <v>354996</v>
      </c>
      <c r="J108">
        <f ca="1">_xll.BDP($B$48,$C$48,CONCATENATE("PX391=", $J$71), CONCATENATE("PX392=",$J$72), CONCATENATE("DS004=",$B$64), "Fill=B")</f>
        <v>395401</v>
      </c>
      <c r="K108">
        <f ca="1">_xll.BDP($B$48,$C$48,CONCATENATE("PX391=", $K$71), CONCATENATE("PX392=",$K$72), CONCATENATE("DS004=",$B$64), "Fill=B")</f>
        <v>259935</v>
      </c>
      <c r="L108">
        <f ca="1">_xll.BDP($B$48,$C$48,CONCATENATE("PX391=", $L$71), CONCATENATE("PX392=",$L$72), CONCATENATE("DS004=",$B$64), "Fill=B")</f>
        <v>157991</v>
      </c>
      <c r="M108">
        <f ca="1">_xll.BDP($B$48,$C$48,CONCATENATE("PX391=", $M$71), CONCATENATE("PX392=",$M$72), CONCATENATE("DS004=",$B$64), "Fill=B")</f>
        <v>126746</v>
      </c>
      <c r="N108">
        <f ca="1">_xll.BDP($B$48,$C$48,CONCATENATE("PX391=", $N$71), CONCATENATE("PX392=",$N$72), CONCATENATE("DS004=",$B$64), "Fill=B")</f>
        <v>329245</v>
      </c>
      <c r="O108">
        <f ca="1">_xll.BDP($B$48,$C$48,CONCATENATE("PX391=", $O$71), CONCATENATE("PX392=",$O$72), CONCATENATE("DS004=",$B$64), "Fill=B")</f>
        <v>135498</v>
      </c>
      <c r="P108">
        <f ca="1">_xll.BDP($B$48,$C$48,CONCATENATE("PX391=", $P$71), CONCATENATE("PX392=",$P$72), CONCATENATE("DS004=",$B$64), "Fill=B")</f>
        <v>251030</v>
      </c>
      <c r="Q108">
        <f ca="1">_xll.BDP($B$48,$C$48,CONCATENATE("PX391=", $Q$71), CONCATENATE("PX392=",$Q$72), CONCATENATE("DS004=",$B$64), "Fill=B")</f>
        <v>377581</v>
      </c>
      <c r="R108">
        <f ca="1">_xll.BDP($B$48,$C$48,CONCATENATE("PX391=", $R$71), CONCATENATE("PX392=",$R$72), CONCATENATE("DS004=",$B$64), "Fill=B")</f>
        <v>239481</v>
      </c>
      <c r="S108">
        <f ca="1">_xll.BDP($B$48,$C$48,CONCATENATE("PX391=", $S$71), CONCATENATE("PX392=",$S$72), CONCATENATE("DS004=",$B$64), "Fill=B")</f>
        <v>223348</v>
      </c>
      <c r="T108">
        <f ca="1">_xll.BDP($B$48,$C$48,CONCATENATE("PX391=", $T$71), CONCATENATE("PX392=",$T$72), CONCATENATE("DS004=",$B$64), "Fill=B")</f>
        <v>0</v>
      </c>
      <c r="U108">
        <f ca="1">_xll.BDP($B$48,$C$48,CONCATENATE("PX391=", $U$71), CONCATENATE("PX392=",$U$72), CONCATENATE("DS004=",$B$64), "Fill=B")</f>
        <v>413256</v>
      </c>
      <c r="V108">
        <f ca="1">_xll.BDP($B$48,$C$48,CONCATENATE("PX391=", $V$71), CONCATENATE("PX392=",$V$72), CONCATENATE("DS004=",$B$64), "Fill=B")</f>
        <v>307529</v>
      </c>
      <c r="W108">
        <f ca="1">_xll.BDP($B$48,$C$48,CONCATENATE("PX391=", $W$71), CONCATENATE("PX392=",$W$72), CONCATENATE("DS004=",$B$64), "Fill=B")</f>
        <v>188736</v>
      </c>
      <c r="X108">
        <f ca="1">_xll.BDP($B$48,$C$48,CONCATENATE("PX391=", $X$71), CONCATENATE("PX392=",$X$72), CONCATENATE("DS004=",$B$64), "Fill=B")</f>
        <v>425538</v>
      </c>
      <c r="Y108">
        <f ca="1">_xll.BDP($B$48,$C$48,CONCATENATE("PX391=", $Y$71), CONCATENATE("PX392=",$Y$72), CONCATENATE("DS004=",$B$64), "Fill=B")</f>
        <v>215120</v>
      </c>
      <c r="Z108">
        <f ca="1">_xll.BDP($B$48,$C$48,CONCATENATE("PX391=", $Z$71), CONCATENATE("PX392=",$Z$72), CONCATENATE("DS004=",$B$64), "Fill=B")</f>
        <v>332637</v>
      </c>
      <c r="AA108">
        <f ca="1">_xll.BDP($B$48,$C$48,CONCATENATE("PX391=", $AA$71), CONCATENATE("PX392=",$AA$72), CONCATENATE("DS004=",$B$64), "Fill=B")</f>
        <v>221024</v>
      </c>
      <c r="AB108">
        <f ca="1">_xll.BDP($B$48,$C$48,CONCATENATE("PX391=", $AB$71), CONCATENATE("PX392=",$AB$72), CONCATENATE("DS004=",$B$64), "Fill=B")</f>
        <v>306106</v>
      </c>
      <c r="AC108">
        <f ca="1">_xll.BDP($B$48,$C$48,CONCATENATE("PX391=", $AC$71), CONCATENATE("PX392=",$AC$72), CONCATENATE("DS004=",$B$64), "Fill=B")</f>
        <v>257489</v>
      </c>
      <c r="AD108">
        <f ca="1">_xll.BDP($B$48,$C$48,CONCATENATE("PX391=", $AD$71), CONCATENATE("PX392=",$AD$72), CONCATENATE("DS004=",$B$64), "Fill=B")</f>
        <v>217565</v>
      </c>
      <c r="AE108">
        <f ca="1">_xll.BDP($B$48,$C$48,CONCATENATE("PX391=", $AE$71), CONCATENATE("PX392=",$AE$72), CONCATENATE("DS004=",$B$64), "Fill=B")</f>
        <v>233291</v>
      </c>
      <c r="AF108">
        <f ca="1">_xll.BDP($B$48,$C$48,CONCATENATE("PX391=", $AF$71), CONCATENATE("PX392=",$AF$72), CONCATENATE("DS004=",$B$64), "Fill=B")</f>
        <v>137720</v>
      </c>
      <c r="AG108">
        <f ca="1">_xll.BDP($B$48,$C$48,CONCATENATE("PX391=", $AG$71), CONCATENATE("PX392=",$AG$72), CONCATENATE("DS004=",$B$64), "Fill=B")</f>
        <v>348528</v>
      </c>
      <c r="AH108">
        <f ca="1">_xll.BDP($B$48,$C$48,CONCATENATE("PX391=", $AH$71), CONCATENATE("PX392=",$AH$72), CONCATENATE("DS004=",$B$64), "Fill=B")</f>
        <v>270026</v>
      </c>
      <c r="AI108">
        <f ca="1">_xll.BDP($B$48,$C$48,CONCATENATE("PX391=", $AI$71), CONCATENATE("PX392=",$AI$72), CONCATENATE("DS004=",$B$64), "Fill=B")</f>
        <v>127915</v>
      </c>
      <c r="AJ108">
        <f ca="1">_xll.BDP($B$48,$C$48,CONCATENATE("PX391=", $AJ$71), CONCATENATE("PX392=",$AJ$72), CONCATENATE("DS004=",$B$64), "Fill=B")</f>
        <v>176321</v>
      </c>
      <c r="AK108">
        <f ca="1">_xll.BDP($B$48,$C$48,CONCATENATE("PX391=", $AK$71), CONCATENATE("PX392=",$AK$72), CONCATENATE("DS004=",$B$64), "Fill=B")</f>
        <v>256643</v>
      </c>
      <c r="AL108">
        <f ca="1">_xll.BDP($B$48,$C$48,CONCATENATE("PX391=", $AL$71), CONCATENATE("PX392=",$AL$72), CONCATENATE("DS004=",$B$64), "Fill=B")</f>
        <v>339795</v>
      </c>
      <c r="AM108">
        <f ca="1">_xll.BDP($B$48,$C$48,CONCATENATE("PX391=", $AM$71), CONCATENATE("PX392=",$AM$72), CONCATENATE("DS004=",$B$64), "Fill=B")</f>
        <v>211956</v>
      </c>
      <c r="AN108">
        <f ca="1">_xll.BDP($B$48,$C$48,CONCATENATE("PX391=", $AN$71), CONCATENATE("PX392=",$AN$72), CONCATENATE("DS004=",$B$64), "Fill=B")</f>
        <v>142448</v>
      </c>
      <c r="AO108">
        <f ca="1">_xll.BDP($B$48,$C$48,CONCATENATE("PX391=", $AO$71), CONCATENATE("PX392=",$AO$72), CONCATENATE("DS004=",$B$64), "Fill=B")</f>
        <v>376757</v>
      </c>
      <c r="AP108">
        <f ca="1">_xll.BDP($B$48,$C$48,CONCATENATE("PX391=", $AP$71), CONCATENATE("PX392=",$AP$72), CONCATENATE("DS004=",$B$64), "Fill=B")</f>
        <v>0</v>
      </c>
      <c r="AQ108">
        <f ca="1">_xll.BDP($B$48,$C$48,CONCATENATE("PX391=", $AQ$71), CONCATENATE("PX392=",$AQ$72), CONCATENATE("DS004=",$B$64), "Fill=B")</f>
        <v>198039</v>
      </c>
      <c r="AR108">
        <f ca="1">_xll.BDP($B$48,$C$48,CONCATENATE("PX391=", $AR$71), CONCATENATE("PX392=",$AR$72), CONCATENATE("DS004=",$B$64), "Fill=B")</f>
        <v>177535</v>
      </c>
      <c r="AS108">
        <f ca="1">_xll.BDP($B$48,$C$48,CONCATENATE("PX391=", $AS$71), CONCATENATE("PX392=",$AS$72), CONCATENATE("DS004=",$B$64), "Fill=B")</f>
        <v>279566</v>
      </c>
      <c r="AT108">
        <f ca="1">_xll.BDP($B$48,$C$48,CONCATENATE("PX391=", $AT$71), CONCATENATE("PX392=",$AT$72), CONCATENATE("DS004=",$B$64), "Fill=B")</f>
        <v>73250</v>
      </c>
      <c r="AU108">
        <f ca="1">_xll.BDP($B$48,$C$48,CONCATENATE("PX391=", $AU$71), CONCATENATE("PX392=",$AU$72), CONCATENATE("DS004=",$B$64), "Fill=B")</f>
        <v>211754</v>
      </c>
      <c r="AV108">
        <f ca="1">_xll.BDP($B$48,$C$48,CONCATENATE("PX391=", $AV$71), CONCATENATE("PX392=",$AV$72), CONCATENATE("DS004=",$B$64), "Fill=B")</f>
        <v>187224</v>
      </c>
      <c r="AW108">
        <f ca="1">_xll.BDP($B$48,$C$48,CONCATENATE("PX391=", $AW$71), CONCATENATE("PX392=",$AW$72), CONCATENATE("DS004=",$B$64), "Fill=B")</f>
        <v>183489</v>
      </c>
      <c r="AX108">
        <f ca="1">_xll.BDP($B$48,$C$48,CONCATENATE("PX391=", $AX$71), CONCATENATE("PX392=",$AX$72), CONCATENATE("DS004=",$B$64), "Fill=B")</f>
        <v>176928</v>
      </c>
      <c r="AY108">
        <f ca="1">_xll.BDP($B$48,$C$48,CONCATENATE("PX391=", $AY$71), CONCATENATE("PX392=",$AY$72), CONCATENATE("DS004=",$B$64), "Fill=B")</f>
        <v>102924</v>
      </c>
      <c r="AZ108">
        <f ca="1">_xll.BDP($B$48,$C$48,CONCATENATE("PX391=", $AZ$71), CONCATENATE("PX392=",$AZ$72), CONCATENATE("DS004=",$B$64), "Fill=B")</f>
        <v>216236</v>
      </c>
      <c r="BA108">
        <f ca="1">_xll.BDP($B$48,$C$48,CONCATENATE("PX391=", $BA$71), CONCATENATE("PX392=",$BA$72), CONCATENATE("DS004=",$B$64), "Fill=B")</f>
        <v>174921</v>
      </c>
      <c r="BB108">
        <f ca="1">_xll.BDP($B$48,$C$48,CONCATENATE("PX391=", $BB$71), CONCATENATE("PX392=",$BB$72), CONCATENATE("DS004=",$B$64), "Fill=B")</f>
        <v>188509</v>
      </c>
      <c r="BC108">
        <f ca="1">_xll.BDP($B$48,$C$48,CONCATENATE("PX391=", $BC$71), CONCATENATE("PX392=",$BC$72), CONCATENATE("DS004=",$B$64), "Fill=B")</f>
        <v>127327</v>
      </c>
      <c r="BD108">
        <f ca="1">_xll.BDP($B$48,$C$48,CONCATENATE("PX391=", $BD$71), CONCATENATE("PX392=",$BD$72), CONCATENATE("DS004=",$B$64), "Fill=B")</f>
        <v>36125</v>
      </c>
      <c r="BE108">
        <f ca="1">_xll.BDP($B$48,$C$48,CONCATENATE("PX391=", $BE$71), CONCATENATE("PX392=",$BE$72), CONCATENATE("DS004=",$B$64), "Fill=B")</f>
        <v>417484</v>
      </c>
      <c r="BF108">
        <f ca="1">_xll.BDP($B$48,$C$48,CONCATENATE("PX391=", $BF$71), CONCATENATE("PX392=",$BF$72), CONCATENATE("DS004=",$B$64), "Fill=B")</f>
        <v>385110</v>
      </c>
      <c r="BG108">
        <f ca="1">_xll.BDP($B$48,$C$48,CONCATENATE("PX391=", $BG$71), CONCATENATE("PX392=",$BG$72), CONCATENATE("DS004=",$B$64), "Fill=B")</f>
        <v>0</v>
      </c>
      <c r="BH108">
        <f ca="1">_xll.BDP($B$48,$C$48,CONCATENATE("PX391=", $BH$71), CONCATENATE("PX392=",$BH$72), CONCATENATE("DS004=",$B$64), "Fill=B")</f>
        <v>144756</v>
      </c>
      <c r="BI108">
        <f ca="1">_xll.BDP($B$48,$C$48,CONCATENATE("PX391=", $BI$71), CONCATENATE("PX392=",$BI$72), CONCATENATE("DS004=",$B$64), "Fill=B")</f>
        <v>314732</v>
      </c>
      <c r="BJ108">
        <f ca="1">_xll.BDP($B$48,$C$48,CONCATENATE("PX391=", $BJ$71), CONCATENATE("PX392=",$BJ$72), CONCATENATE("DS004=",$B$64), "Fill=B")</f>
        <v>51167</v>
      </c>
      <c r="BK108">
        <f ca="1">_xll.BDP($B$48,$C$48,CONCATENATE("PX391=", $BK$71), CONCATENATE("PX392=",$BK$72), CONCATENATE("DS004=",$B$64), "Fill=B")</f>
        <v>0</v>
      </c>
      <c r="BL108">
        <f ca="1">_xll.BDP($B$48,$C$48,CONCATENATE("PX391=", $BL$71), CONCATENATE("PX392=",$BL$72), CONCATENATE("DS004=",$B$64), "Fill=B")</f>
        <v>210139</v>
      </c>
      <c r="BM108">
        <f ca="1">_xll.BDP($B$48,$C$48,CONCATENATE("PX391=", $BM$71), CONCATENATE("PX392=",$BM$72), CONCATENATE("DS004=",$B$64), "Fill=B")</f>
        <v>201809</v>
      </c>
      <c r="BN108">
        <f ca="1">_xll.BDP($B$48,$C$48,CONCATENATE("PX391=", $BN$71), CONCATENATE("PX392=",$BN$72), CONCATENATE("DS004=",$B$64), "Fill=B")</f>
        <v>236991</v>
      </c>
      <c r="BO108">
        <f ca="1">_xll.BDP($B$48,$C$48,CONCATENATE("PX391=", $BO$71), CONCATENATE("PX392=",$BO$72), CONCATENATE("DS004=",$B$64), "Fill=B")</f>
        <v>229295</v>
      </c>
      <c r="BP108">
        <f ca="1">_xll.BDP($B$48,$C$48,CONCATENATE("PX391=", $BP$71), CONCATENATE("PX392=",$BP$72), CONCATENATE("DS004=",$B$64), "Fill=B")</f>
        <v>97780</v>
      </c>
      <c r="BQ108">
        <f ca="1">_xll.BDP($B$48,$C$48,CONCATENATE("PX391=", $BQ$71), CONCATENATE("PX392=",$BQ$72), CONCATENATE("DS004=",$B$64), "Fill=B")</f>
        <v>351162</v>
      </c>
      <c r="BR108">
        <f ca="1">_xll.BDP($B$48,$C$48,CONCATENATE("PX391=", $BR$71), CONCATENATE("PX392=",$BR$72), CONCATENATE("DS004=",$B$64), "Fill=B")</f>
        <v>326534</v>
      </c>
      <c r="BS108">
        <f ca="1">_xll.BDP($B$48,$C$48,CONCATENATE("PX391=", $BS$71), CONCATENATE("PX392=",$BS$72), CONCATENATE("DS004=",$B$64), "Fill=B")</f>
        <v>292369</v>
      </c>
      <c r="BT108">
        <f ca="1">_xll.BDP($B$48,$C$48,CONCATENATE("PX391=", $BT$71), CONCATENATE("PX392=",$BT$72), CONCATENATE("DS004=",$B$64), "Fill=B")</f>
        <v>386431</v>
      </c>
      <c r="BU108">
        <f ca="1">_xll.BDP($B$48,$C$48,CONCATENATE("PX391=", $BU$71), CONCATENATE("PX392=",$BU$72), CONCATENATE("DS004=",$B$64), "Fill=B")</f>
        <v>310519</v>
      </c>
      <c r="BV108">
        <f ca="1">_xll.BDP($B$48,$C$48,CONCATENATE("PX391=", $BV$71), CONCATENATE("PX392=",$BV$72), CONCATENATE("DS004=",$B$64), "Fill=B")</f>
        <v>302045</v>
      </c>
      <c r="BW108">
        <f ca="1">_xll.BDP($B$48,$C$48,CONCATENATE("PX391=", $BW$71), CONCATENATE("PX392=",$BW$72), CONCATENATE("DS004=",$B$64), "Fill=B")</f>
        <v>350025</v>
      </c>
      <c r="BX108">
        <f ca="1">_xll.BDP($B$48,$C$48,CONCATENATE("PX391=", $BX$71), CONCATENATE("PX392=",$BX$72), CONCATENATE("DS004=",$B$64), "Fill=B")</f>
        <v>240502</v>
      </c>
      <c r="BY108">
        <f ca="1">_xll.BDP($B$48,$C$48,CONCATENATE("PX391=", $BY$71), CONCATENATE("PX392=",$BY$72), CONCATENATE("DS004=",$B$64), "Fill=B")</f>
        <v>289702</v>
      </c>
      <c r="BZ108">
        <f ca="1">_xll.BDP($B$48,$C$48,CONCATENATE("PX391=", $BZ$71), CONCATENATE("PX392=",$BZ$72), CONCATENATE("DS004=",$B$64), "Fill=B")</f>
        <v>375415</v>
      </c>
      <c r="CA108">
        <f ca="1">_xll.BDP($B$48,$C$48,CONCATENATE("PX391=", $CA$71), CONCATENATE("PX392=",$CA$72), CONCATENATE("DS004=",$B$64), "Fill=B")</f>
        <v>341252</v>
      </c>
      <c r="CB108">
        <f ca="1">_xll.BDP($B$48,$C$48,CONCATENATE("PX391=", $CB$71), CONCATENATE("PX392=",$CB$72), CONCATENATE("DS004=",$B$64), "Fill=B")</f>
        <v>295795</v>
      </c>
      <c r="CC108">
        <f ca="1">_xll.BDP($B$48,$C$48,CONCATENATE("PX391=", $CC$71), CONCATENATE("PX392=",$CC$72), CONCATENATE("DS004=",$B$64), "Fill=B")</f>
        <v>268041</v>
      </c>
      <c r="CD108">
        <f ca="1">_xll.BDP($B$48,$C$48,CONCATENATE("PX391=", $CD$71), CONCATENATE("PX392=",$CD$72), CONCATENATE("DS004=",$B$64), "Fill=B")</f>
        <v>323937</v>
      </c>
      <c r="CE108">
        <f ca="1">_xll.BDP($B$48,$C$48,CONCATENATE("PX391=", $CE$71), CONCATENATE("PX392=",$CE$72), CONCATENATE("DS004=",$B$64), "Fill=B")</f>
        <v>324393</v>
      </c>
      <c r="CF108">
        <f ca="1">_xll.BDP($B$48,$C$48,CONCATENATE("PX391=", $CF$71), CONCATENATE("PX392=",$CF$72), CONCATENATE("DS004=",$B$64), "Fill=B")</f>
        <v>218570</v>
      </c>
      <c r="CG108">
        <f ca="1">_xll.BDP($B$48,$C$48,CONCATENATE("PX391=", $CG$71), CONCATENATE("PX392=",$CG$72), CONCATENATE("DS004=",$B$64), "Fill=B")</f>
        <v>326423</v>
      </c>
      <c r="CH108">
        <f ca="1">_xll.BDP($B$48,$C$48,CONCATENATE("PX391=", $CH$71), CONCATENATE("PX392=",$CH$72), CONCATENATE("DS004=",$B$64), "Fill=B")</f>
        <v>194579</v>
      </c>
      <c r="CI108">
        <f ca="1">_xll.BDP($B$48,$C$48,CONCATENATE("PX391=", $CI$71), CONCATENATE("PX392=",$CI$72), CONCATENATE("DS004=",$B$64), "Fill=B")</f>
        <v>188402</v>
      </c>
      <c r="CJ108">
        <f ca="1">_xll.BDP($B$48,$C$48,CONCATENATE("PX391=", $CJ$71), CONCATENATE("PX392=",$CJ$72), CONCATENATE("DS004=",$B$64), "Fill=B")</f>
        <v>78857</v>
      </c>
      <c r="CK108">
        <f ca="1">_xll.BDP($B$48,$C$48,CONCATENATE("PX391=", $CK$71), CONCATENATE("PX392=",$CK$72), CONCATENATE("DS004=",$B$64), "Fill=B")</f>
        <v>328097</v>
      </c>
      <c r="CL108" t="str">
        <f>""</f>
        <v/>
      </c>
      <c r="CM108" t="str">
        <f>""</f>
        <v/>
      </c>
      <c r="CN108" t="str">
        <f>""</f>
        <v/>
      </c>
      <c r="CO108" t="str">
        <f>""</f>
        <v/>
      </c>
      <c r="CP108" t="str">
        <f>""</f>
        <v/>
      </c>
      <c r="CQ108" t="str">
        <f>""</f>
        <v/>
      </c>
      <c r="CR108" t="str">
        <f>""</f>
        <v/>
      </c>
      <c r="CS108" t="str">
        <f>""</f>
        <v/>
      </c>
      <c r="CT108" t="str">
        <f>""</f>
        <v/>
      </c>
      <c r="CU108" t="str">
        <f>""</f>
        <v/>
      </c>
      <c r="CV108" t="str">
        <f>""</f>
        <v/>
      </c>
      <c r="CW108" t="str">
        <f>""</f>
        <v/>
      </c>
      <c r="CX108" t="str">
        <f>""</f>
        <v/>
      </c>
      <c r="CY108" t="str">
        <f>""</f>
        <v/>
      </c>
      <c r="CZ108" t="str">
        <f>""</f>
        <v/>
      </c>
      <c r="DA108" t="str">
        <f>""</f>
        <v/>
      </c>
      <c r="DB108" t="str">
        <f>""</f>
        <v/>
      </c>
      <c r="DC108" t="str">
        <f>""</f>
        <v/>
      </c>
      <c r="DD108" t="str">
        <f>""</f>
        <v/>
      </c>
      <c r="DE108" t="str">
        <f>""</f>
        <v/>
      </c>
      <c r="DF108" t="str">
        <f>""</f>
        <v/>
      </c>
      <c r="DG108" t="str">
        <f>""</f>
        <v/>
      </c>
      <c r="DH108" t="str">
        <f>""</f>
        <v/>
      </c>
      <c r="DI108" t="str">
        <f>""</f>
        <v/>
      </c>
      <c r="DJ108" t="str">
        <f>""</f>
        <v/>
      </c>
      <c r="DK108" t="str">
        <f>""</f>
        <v/>
      </c>
      <c r="DL108" t="str">
        <f>""</f>
        <v/>
      </c>
      <c r="DM108" t="str">
        <f>""</f>
        <v/>
      </c>
      <c r="DN108" t="str">
        <f>""</f>
        <v/>
      </c>
      <c r="DO108" t="str">
        <f>""</f>
        <v/>
      </c>
      <c r="DP108" t="str">
        <f>""</f>
        <v/>
      </c>
      <c r="DQ108" t="str">
        <f>""</f>
        <v/>
      </c>
      <c r="DR108" t="str">
        <f>""</f>
        <v/>
      </c>
      <c r="DS108" t="str">
        <f>""</f>
        <v/>
      </c>
      <c r="DT108" t="str">
        <f>""</f>
        <v/>
      </c>
      <c r="DU108" t="str">
        <f>""</f>
        <v/>
      </c>
      <c r="DV108" t="str">
        <f>""</f>
        <v/>
      </c>
      <c r="DW108" t="str">
        <f>""</f>
        <v/>
      </c>
      <c r="DX108" t="str">
        <f>""</f>
        <v/>
      </c>
      <c r="DY108" t="str">
        <f>""</f>
        <v/>
      </c>
      <c r="DZ108" t="str">
        <f>""</f>
        <v/>
      </c>
      <c r="EA108" t="str">
        <f>""</f>
        <v/>
      </c>
      <c r="EB108" t="str">
        <f>""</f>
        <v/>
      </c>
      <c r="EC108" t="str">
        <f>""</f>
        <v/>
      </c>
      <c r="ED108" t="str">
        <f>""</f>
        <v/>
      </c>
      <c r="EE108" t="str">
        <f>""</f>
        <v/>
      </c>
      <c r="EF108" t="str">
        <f>""</f>
        <v/>
      </c>
      <c r="EG108" t="str">
        <f>""</f>
        <v/>
      </c>
      <c r="EH108" t="str">
        <f>""</f>
        <v/>
      </c>
      <c r="EI108" t="str">
        <f>""</f>
        <v/>
      </c>
      <c r="EJ108" t="str">
        <f>""</f>
        <v/>
      </c>
      <c r="EK108" t="str">
        <f>""</f>
        <v/>
      </c>
      <c r="EL108" t="str">
        <f>""</f>
        <v/>
      </c>
      <c r="EM108" t="str">
        <f>""</f>
        <v/>
      </c>
      <c r="EN108" t="str">
        <f>""</f>
        <v/>
      </c>
      <c r="EO108" t="str">
        <f>""</f>
        <v/>
      </c>
      <c r="EP108" t="str">
        <f>""</f>
        <v/>
      </c>
      <c r="EQ108" t="str">
        <f>""</f>
        <v/>
      </c>
      <c r="ER108" t="str">
        <f>""</f>
        <v/>
      </c>
      <c r="ES108" t="str">
        <f>""</f>
        <v/>
      </c>
      <c r="ET108" t="str">
        <f>""</f>
        <v/>
      </c>
      <c r="EU108" t="str">
        <f>""</f>
        <v/>
      </c>
      <c r="EV108" t="str">
        <f>""</f>
        <v/>
      </c>
      <c r="EW108" t="str">
        <f>""</f>
        <v/>
      </c>
      <c r="EX108" t="str">
        <f>""</f>
        <v/>
      </c>
      <c r="EY108" t="str">
        <f>""</f>
        <v/>
      </c>
      <c r="EZ108" t="str">
        <f>""</f>
        <v/>
      </c>
      <c r="FA108" t="str">
        <f>""</f>
        <v/>
      </c>
      <c r="FB108" t="str">
        <f>""</f>
        <v/>
      </c>
      <c r="FC108" t="str">
        <f>""</f>
        <v/>
      </c>
      <c r="FD108" t="str">
        <f>""</f>
        <v/>
      </c>
      <c r="FE108" t="str">
        <f>""</f>
        <v/>
      </c>
      <c r="FF108" t="str">
        <f>""</f>
        <v/>
      </c>
      <c r="FG108" t="str">
        <f>""</f>
        <v/>
      </c>
      <c r="FH108" t="str">
        <f>""</f>
        <v/>
      </c>
      <c r="FI108" t="str">
        <f>""</f>
        <v/>
      </c>
      <c r="FJ108" t="str">
        <f>""</f>
        <v/>
      </c>
      <c r="FK108" t="str">
        <f>""</f>
        <v/>
      </c>
      <c r="FL108" t="str">
        <f>""</f>
        <v/>
      </c>
      <c r="FM108" t="str">
        <f>""</f>
        <v/>
      </c>
      <c r="FN108" t="str">
        <f>""</f>
        <v/>
      </c>
      <c r="FO108" t="str">
        <f>""</f>
        <v/>
      </c>
      <c r="FP108" t="str">
        <f>""</f>
        <v/>
      </c>
      <c r="FQ108" t="str">
        <f>""</f>
        <v/>
      </c>
    </row>
    <row r="109" spans="1:173" x14ac:dyDescent="0.25">
      <c r="A109" t="str">
        <f>$A$49</f>
        <v>Port Hedland Cargo Statistics - Australia Port Hedland Total Exports (tonnes) - Copper Concentrate Exports (tonnes)</v>
      </c>
      <c r="B109" t="str">
        <f>$B$49</f>
        <v>AHEDEXCC Index</v>
      </c>
      <c r="C109" t="str">
        <f>$C$49</f>
        <v>PX385</v>
      </c>
      <c r="D109" t="str">
        <f>$D$49</f>
        <v>INTERVAL_SUM</v>
      </c>
      <c r="E109" t="str">
        <f>$E$49</f>
        <v>Dynamic</v>
      </c>
      <c r="F109" t="str">
        <f ca="1">_xll.BDP($B$49,$C$49,CONCATENATE("PX391=", $F$71), CONCATENATE("PX392=",$F$72), CONCATENATE("DS004=",$B$64), "Fill=B")</f>
        <v/>
      </c>
      <c r="G109" t="str">
        <f ca="1">_xll.BDP($B$49,$C$49,CONCATENATE("PX391=", $G$71), CONCATENATE("PX392=",$G$72), CONCATENATE("DS004=",$B$64), "Fill=B")</f>
        <v/>
      </c>
      <c r="H109">
        <f ca="1">_xll.BDP($B$49,$C$49,CONCATENATE("PX391=", $H$71), CONCATENATE("PX392=",$H$72), CONCATENATE("DS004=",$B$64), "Fill=B")</f>
        <v>28242</v>
      </c>
      <c r="I109">
        <f ca="1">_xll.BDP($B$49,$C$49,CONCATENATE("PX391=", $I$71), CONCATENATE("PX392=",$I$72), CONCATENATE("DS004=",$B$64), "Fill=B")</f>
        <v>11652</v>
      </c>
      <c r="J109">
        <f ca="1">_xll.BDP($B$49,$C$49,CONCATENATE("PX391=", $J$71), CONCATENATE("PX392=",$J$72), CONCATENATE("DS004=",$B$64), "Fill=B")</f>
        <v>17684</v>
      </c>
      <c r="K109">
        <f ca="1">_xll.BDP($B$49,$C$49,CONCATENATE("PX391=", $K$71), CONCATENATE("PX392=",$K$72), CONCATENATE("DS004=",$B$64), "Fill=B")</f>
        <v>17567</v>
      </c>
      <c r="L109">
        <f ca="1">_xll.BDP($B$49,$C$49,CONCATENATE("PX391=", $L$71), CONCATENATE("PX392=",$L$72), CONCATENATE("DS004=",$B$64), "Fill=B")</f>
        <v>11772</v>
      </c>
      <c r="M109">
        <f ca="1">_xll.BDP($B$49,$C$49,CONCATENATE("PX391=", $M$71), CONCATENATE("PX392=",$M$72), CONCATENATE("DS004=",$B$64), "Fill=B")</f>
        <v>11946</v>
      </c>
      <c r="N109">
        <f ca="1">_xll.BDP($B$49,$C$49,CONCATENATE("PX391=", $N$71), CONCATENATE("PX392=",$N$72), CONCATENATE("DS004=",$B$64), "Fill=B")</f>
        <v>21355</v>
      </c>
      <c r="O109">
        <f ca="1">_xll.BDP($B$49,$C$49,CONCATENATE("PX391=", $O$71), CONCATENATE("PX392=",$O$72), CONCATENATE("DS004=",$B$64), "Fill=B")</f>
        <v>15886</v>
      </c>
      <c r="P109">
        <f ca="1">_xll.BDP($B$49,$C$49,CONCATENATE("PX391=", $P$71), CONCATENATE("PX392=",$P$72), CONCATENATE("DS004=",$B$64), "Fill=B")</f>
        <v>23788</v>
      </c>
      <c r="Q109">
        <f ca="1">_xll.BDP($B$49,$C$49,CONCATENATE("PX391=", $Q$71), CONCATENATE("PX392=",$Q$72), CONCATENATE("DS004=",$B$64), "Fill=B")</f>
        <v>11407</v>
      </c>
      <c r="R109">
        <f ca="1">_xll.BDP($B$49,$C$49,CONCATENATE("PX391=", $R$71), CONCATENATE("PX392=",$R$72), CONCATENATE("DS004=",$B$64), "Fill=B")</f>
        <v>11170</v>
      </c>
      <c r="S109">
        <f ca="1">_xll.BDP($B$49,$C$49,CONCATENATE("PX391=", $S$71), CONCATENATE("PX392=",$S$72), CONCATENATE("DS004=",$B$64), "Fill=B")</f>
        <v>30352</v>
      </c>
      <c r="T109">
        <f ca="1">_xll.BDP($B$49,$C$49,CONCATENATE("PX391=", $T$71), CONCATENATE("PX392=",$T$72), CONCATENATE("DS004=",$B$64), "Fill=B")</f>
        <v>17462</v>
      </c>
      <c r="U109">
        <f ca="1">_xll.BDP($B$49,$C$49,CONCATENATE("PX391=", $U$71), CONCATENATE("PX392=",$U$72), CONCATENATE("DS004=",$B$64), "Fill=B")</f>
        <v>34625</v>
      </c>
      <c r="V109">
        <f ca="1">_xll.BDP($B$49,$C$49,CONCATENATE("PX391=", $V$71), CONCATENATE("PX392=",$V$72), CONCATENATE("DS004=",$B$64), "Fill=B")</f>
        <v>11660</v>
      </c>
      <c r="W109">
        <f ca="1">_xll.BDP($B$49,$C$49,CONCATENATE("PX391=", $W$71), CONCATENATE("PX392=",$W$72), CONCATENATE("DS004=",$B$64), "Fill=B")</f>
        <v>35371</v>
      </c>
      <c r="X109">
        <f ca="1">_xll.BDP($B$49,$C$49,CONCATENATE("PX391=", $X$71), CONCATENATE("PX392=",$X$72), CONCATENATE("DS004=",$B$64), "Fill=B")</f>
        <v>10502</v>
      </c>
      <c r="Y109">
        <f ca="1">_xll.BDP($B$49,$C$49,CONCATENATE("PX391=", $Y$71), CONCATENATE("PX392=",$Y$72), CONCATENATE("DS004=",$B$64), "Fill=B")</f>
        <v>16671</v>
      </c>
      <c r="Z109">
        <f ca="1">_xll.BDP($B$49,$C$49,CONCATENATE("PX391=", $Z$71), CONCATENATE("PX392=",$Z$72), CONCATENATE("DS004=",$B$64), "Fill=B")</f>
        <v>28738</v>
      </c>
      <c r="AA109">
        <f ca="1">_xll.BDP($B$49,$C$49,CONCATENATE("PX391=", $AA$71), CONCATENATE("PX392=",$AA$72), CONCATENATE("DS004=",$B$64), "Fill=B")</f>
        <v>11652</v>
      </c>
      <c r="AB109">
        <f ca="1">_xll.BDP($B$49,$C$49,CONCATENATE("PX391=", $AB$71), CONCATENATE("PX392=",$AB$72), CONCATENATE("DS004=",$B$64), "Fill=B")</f>
        <v>22583</v>
      </c>
      <c r="AC109">
        <f ca="1">_xll.BDP($B$49,$C$49,CONCATENATE("PX391=", $AC$71), CONCATENATE("PX392=",$AC$72), CONCATENATE("DS004=",$B$64), "Fill=B")</f>
        <v>24172</v>
      </c>
      <c r="AD109">
        <f ca="1">_xll.BDP($B$49,$C$49,CONCATENATE("PX391=", $AD$71), CONCATENATE("PX392=",$AD$72), CONCATENATE("DS004=",$B$64), "Fill=B")</f>
        <v>32702</v>
      </c>
      <c r="AE109">
        <f ca="1">_xll.BDP($B$49,$C$49,CONCATENATE("PX391=", $AE$71), CONCATENATE("PX392=",$AE$72), CONCATENATE("DS004=",$B$64), "Fill=B")</f>
        <v>21732</v>
      </c>
      <c r="AF109">
        <f ca="1">_xll.BDP($B$49,$C$49,CONCATENATE("PX391=", $AF$71), CONCATENATE("PX392=",$AF$72), CONCATENATE("DS004=",$B$64), "Fill=B")</f>
        <v>20101</v>
      </c>
      <c r="AG109">
        <f ca="1">_xll.BDP($B$49,$C$49,CONCATENATE("PX391=", $AG$71), CONCATENATE("PX392=",$AG$72), CONCATENATE("DS004=",$B$64), "Fill=B")</f>
        <v>21603</v>
      </c>
      <c r="AH109">
        <f ca="1">_xll.BDP($B$49,$C$49,CONCATENATE("PX391=", $AH$71), CONCATENATE("PX392=",$AH$72), CONCATENATE("DS004=",$B$64), "Fill=B")</f>
        <v>22119</v>
      </c>
      <c r="AI109">
        <f ca="1">_xll.BDP($B$49,$C$49,CONCATENATE("PX391=", $AI$71), CONCATENATE("PX392=",$AI$72), CONCATENATE("DS004=",$B$64), "Fill=B")</f>
        <v>37312</v>
      </c>
      <c r="AJ109">
        <f ca="1">_xll.BDP($B$49,$C$49,CONCATENATE("PX391=", $AJ$71), CONCATENATE("PX392=",$AJ$72), CONCATENATE("DS004=",$B$64), "Fill=B")</f>
        <v>33510</v>
      </c>
      <c r="AK109">
        <f ca="1">_xll.BDP($B$49,$C$49,CONCATENATE("PX391=", $AK$71), CONCATENATE("PX392=",$AK$72), CONCATENATE("DS004=",$B$64), "Fill=B")</f>
        <v>10500</v>
      </c>
      <c r="AL109">
        <f ca="1">_xll.BDP($B$49,$C$49,CONCATENATE("PX391=", $AL$71), CONCATENATE("PX392=",$AL$72), CONCATENATE("DS004=",$B$64), "Fill=B")</f>
        <v>33813</v>
      </c>
      <c r="AM109">
        <f ca="1">_xll.BDP($B$49,$C$49,CONCATENATE("PX391=", $AM$71), CONCATENATE("PX392=",$AM$72), CONCATENATE("DS004=",$B$64), "Fill=B")</f>
        <v>5384</v>
      </c>
      <c r="AN109">
        <f ca="1">_xll.BDP($B$49,$C$49,CONCATENATE("PX391=", $AN$71), CONCATENATE("PX392=",$AN$72), CONCATENATE("DS004=",$B$64), "Fill=B")</f>
        <v>33088</v>
      </c>
      <c r="AO109">
        <f ca="1">_xll.BDP($B$49,$C$49,CONCATENATE("PX391=", $AO$71), CONCATENATE("PX392=",$AO$72), CONCATENATE("DS004=",$B$64), "Fill=B")</f>
        <v>9425</v>
      </c>
      <c r="AP109">
        <f ca="1">_xll.BDP($B$49,$C$49,CONCATENATE("PX391=", $AP$71), CONCATENATE("PX392=",$AP$72), CONCATENATE("DS004=",$B$64), "Fill=B")</f>
        <v>17791</v>
      </c>
      <c r="AQ109">
        <f ca="1">_xll.BDP($B$49,$C$49,CONCATENATE("PX391=", $AQ$71), CONCATENATE("PX392=",$AQ$72), CONCATENATE("DS004=",$B$64), "Fill=B")</f>
        <v>34894</v>
      </c>
      <c r="AR109">
        <f ca="1">_xll.BDP($B$49,$C$49,CONCATENATE("PX391=", $AR$71), CONCATENATE("PX392=",$AR$72), CONCATENATE("DS004=",$B$64), "Fill=B")</f>
        <v>21814</v>
      </c>
      <c r="AS109">
        <f ca="1">_xll.BDP($B$49,$C$49,CONCATENATE("PX391=", $AS$71), CONCATENATE("PX392=",$AS$72), CONCATENATE("DS004=",$B$64), "Fill=B")</f>
        <v>6706</v>
      </c>
      <c r="AT109">
        <f ca="1">_xll.BDP($B$49,$C$49,CONCATENATE("PX391=", $AT$71), CONCATENATE("PX392=",$AT$72), CONCATENATE("DS004=",$B$64), "Fill=B")</f>
        <v>34946</v>
      </c>
      <c r="AU109">
        <f ca="1">_xll.BDP($B$49,$C$49,CONCATENATE("PX391=", $AU$71), CONCATENATE("PX392=",$AU$72), CONCATENATE("DS004=",$B$64), "Fill=B")</f>
        <v>28311</v>
      </c>
      <c r="AV109">
        <f ca="1">_xll.BDP($B$49,$C$49,CONCATENATE("PX391=", $AV$71), CONCATENATE("PX392=",$AV$72), CONCATENATE("DS004=",$B$64), "Fill=B")</f>
        <v>22924</v>
      </c>
      <c r="AW109">
        <f ca="1">_xll.BDP($B$49,$C$49,CONCATENATE("PX391=", $AW$71), CONCATENATE("PX392=",$AW$72), CONCATENATE("DS004=",$B$64), "Fill=B")</f>
        <v>46381</v>
      </c>
      <c r="AX109">
        <f ca="1">_xll.BDP($B$49,$C$49,CONCATENATE("PX391=", $AX$71), CONCATENATE("PX392=",$AX$72), CONCATENATE("DS004=",$B$64), "Fill=B")</f>
        <v>23872</v>
      </c>
      <c r="AY109">
        <f ca="1">_xll.BDP($B$49,$C$49,CONCATENATE("PX391=", $AY$71), CONCATENATE("PX392=",$AY$72), CONCATENATE("DS004=",$B$64), "Fill=B")</f>
        <v>28359</v>
      </c>
      <c r="AZ109">
        <f ca="1">_xll.BDP($B$49,$C$49,CONCATENATE("PX391=", $AZ$71), CONCATENATE("PX392=",$AZ$72), CONCATENATE("DS004=",$B$64), "Fill=B")</f>
        <v>18743</v>
      </c>
      <c r="BA109">
        <f ca="1">_xll.BDP($B$49,$C$49,CONCATENATE("PX391=", $BA$71), CONCATENATE("PX392=",$BA$72), CONCATENATE("DS004=",$B$64), "Fill=B")</f>
        <v>42780</v>
      </c>
      <c r="BB109">
        <f ca="1">_xll.BDP($B$49,$C$49,CONCATENATE("PX391=", $BB$71), CONCATENATE("PX392=",$BB$72), CONCATENATE("DS004=",$B$64), "Fill=B")</f>
        <v>22341</v>
      </c>
      <c r="BC109">
        <f ca="1">_xll.BDP($B$49,$C$49,CONCATENATE("PX391=", $BC$71), CONCATENATE("PX392=",$BC$72), CONCATENATE("DS004=",$B$64), "Fill=B")</f>
        <v>38767</v>
      </c>
      <c r="BD109">
        <f ca="1">_xll.BDP($B$49,$C$49,CONCATENATE("PX391=", $BD$71), CONCATENATE("PX392=",$BD$72), CONCATENATE("DS004=",$B$64), "Fill=B")</f>
        <v>21392</v>
      </c>
      <c r="BE109">
        <f ca="1">_xll.BDP($B$49,$C$49,CONCATENATE("PX391=", $BE$71), CONCATENATE("PX392=",$BE$72), CONCATENATE("DS004=",$B$64), "Fill=B")</f>
        <v>16931</v>
      </c>
      <c r="BF109">
        <f ca="1">_xll.BDP($B$49,$C$49,CONCATENATE("PX391=", $BF$71), CONCATENATE("PX392=",$BF$72), CONCATENATE("DS004=",$B$64), "Fill=B")</f>
        <v>47880</v>
      </c>
      <c r="BG109">
        <f ca="1">_xll.BDP($B$49,$C$49,CONCATENATE("PX391=", $BG$71), CONCATENATE("PX392=",$BG$72), CONCATENATE("DS004=",$B$64), "Fill=B")</f>
        <v>11654</v>
      </c>
      <c r="BH109">
        <f ca="1">_xll.BDP($B$49,$C$49,CONCATENATE("PX391=", $BH$71), CONCATENATE("PX392=",$BH$72), CONCATENATE("DS004=",$B$64), "Fill=B")</f>
        <v>28093</v>
      </c>
      <c r="BI109">
        <f ca="1">_xll.BDP($B$49,$C$49,CONCATENATE("PX391=", $BI$71), CONCATENATE("PX392=",$BI$72), CONCATENATE("DS004=",$B$64), "Fill=B")</f>
        <v>35764</v>
      </c>
      <c r="BJ109">
        <f ca="1">_xll.BDP($B$49,$C$49,CONCATENATE("PX391=", $BJ$71), CONCATENATE("PX392=",$BJ$72), CONCATENATE("DS004=",$B$64), "Fill=B")</f>
        <v>36661</v>
      </c>
      <c r="BK109">
        <f ca="1">_xll.BDP($B$49,$C$49,CONCATENATE("PX391=", $BK$71), CONCATENATE("PX392=",$BK$72), CONCATENATE("DS004=",$B$64), "Fill=B")</f>
        <v>27697</v>
      </c>
      <c r="BL109">
        <f ca="1">_xll.BDP($B$49,$C$49,CONCATENATE("PX391=", $BL$71), CONCATENATE("PX392=",$BL$72), CONCATENATE("DS004=",$B$64), "Fill=B")</f>
        <v>49525</v>
      </c>
      <c r="BM109">
        <f ca="1">_xll.BDP($B$49,$C$49,CONCATENATE("PX391=", $BM$71), CONCATENATE("PX392=",$BM$72), CONCATENATE("DS004=",$B$64), "Fill=B")</f>
        <v>23399</v>
      </c>
      <c r="BN109">
        <f ca="1">_xll.BDP($B$49,$C$49,CONCATENATE("PX391=", $BN$71), CONCATENATE("PX392=",$BN$72), CONCATENATE("DS004=",$B$64), "Fill=B")</f>
        <v>21519</v>
      </c>
      <c r="BO109">
        <f ca="1">_xll.BDP($B$49,$C$49,CONCATENATE("PX391=", $BO$71), CONCATENATE("PX392=",$BO$72), CONCATENATE("DS004=",$B$64), "Fill=B")</f>
        <v>53406</v>
      </c>
      <c r="BP109">
        <f ca="1">_xll.BDP($B$49,$C$49,CONCATENATE("PX391=", $BP$71), CONCATENATE("PX392=",$BP$72), CONCATENATE("DS004=",$B$64), "Fill=B")</f>
        <v>10481</v>
      </c>
      <c r="BQ109">
        <f ca="1">_xll.BDP($B$49,$C$49,CONCATENATE("PX391=", $BQ$71), CONCATENATE("PX392=",$BQ$72), CONCATENATE("DS004=",$B$64), "Fill=B")</f>
        <v>23434</v>
      </c>
      <c r="BR109">
        <f ca="1">_xll.BDP($B$49,$C$49,CONCATENATE("PX391=", $BR$71), CONCATENATE("PX392=",$BR$72), CONCATENATE("DS004=",$B$64), "Fill=B")</f>
        <v>23900</v>
      </c>
      <c r="BS109">
        <f ca="1">_xll.BDP($B$49,$C$49,CONCATENATE("PX391=", $BS$71), CONCATENATE("PX392=",$BS$72), CONCATENATE("DS004=",$B$64), "Fill=B")</f>
        <v>33446</v>
      </c>
      <c r="BT109">
        <f ca="1">_xll.BDP($B$49,$C$49,CONCATENATE("PX391=", $BT$71), CONCATENATE("PX392=",$BT$72), CONCATENATE("DS004=",$B$64), "Fill=B")</f>
        <v>51137</v>
      </c>
      <c r="BU109">
        <f ca="1">_xll.BDP($B$49,$C$49,CONCATENATE("PX391=", $BU$71), CONCATENATE("PX392=",$BU$72), CONCATENATE("DS004=",$B$64), "Fill=B")</f>
        <v>31491</v>
      </c>
      <c r="BV109">
        <f ca="1">_xll.BDP($B$49,$C$49,CONCATENATE("PX391=", $BV$71), CONCATENATE("PX392=",$BV$72), CONCATENATE("DS004=",$B$64), "Fill=B")</f>
        <v>11485</v>
      </c>
      <c r="BW109">
        <f ca="1">_xll.BDP($B$49,$C$49,CONCATENATE("PX391=", $BW$71), CONCATENATE("PX392=",$BW$72), CONCATENATE("DS004=",$B$64), "Fill=B")</f>
        <v>37255</v>
      </c>
      <c r="BX109">
        <f ca="1">_xll.BDP($B$49,$C$49,CONCATENATE("PX391=", $BX$71), CONCATENATE("PX392=",$BX$72), CONCATENATE("DS004=",$B$64), "Fill=B")</f>
        <v>42537</v>
      </c>
      <c r="BY109">
        <f ca="1">_xll.BDP($B$49,$C$49,CONCATENATE("PX391=", $BY$71), CONCATENATE("PX392=",$BY$72), CONCATENATE("DS004=",$B$64), "Fill=B")</f>
        <v>21979</v>
      </c>
      <c r="BZ109">
        <f ca="1">_xll.BDP($B$49,$C$49,CONCATENATE("PX391=", $BZ$71), CONCATENATE("PX392=",$BZ$72), CONCATENATE("DS004=",$B$64), "Fill=B")</f>
        <v>11759</v>
      </c>
      <c r="CA109">
        <f ca="1">_xll.BDP($B$49,$C$49,CONCATENATE("PX391=", $CA$71), CONCATENATE("PX392=",$CA$72), CONCATENATE("DS004=",$B$64), "Fill=B")</f>
        <v>47639</v>
      </c>
      <c r="CB109">
        <f ca="1">_xll.BDP($B$49,$C$49,CONCATENATE("PX391=", $CB$71), CONCATENATE("PX392=",$CB$72), CONCATENATE("DS004=",$B$64), "Fill=B")</f>
        <v>29823</v>
      </c>
      <c r="CC109">
        <f ca="1">_xll.BDP($B$49,$C$49,CONCATENATE("PX391=", $CC$71), CONCATENATE("PX392=",$CC$72), CONCATENATE("DS004=",$B$64), "Fill=B")</f>
        <v>21696</v>
      </c>
      <c r="CD109">
        <f ca="1">_xll.BDP($B$49,$C$49,CONCATENATE("PX391=", $CD$71), CONCATENATE("PX392=",$CD$72), CONCATENATE("DS004=",$B$64), "Fill=B")</f>
        <v>12091</v>
      </c>
      <c r="CE109">
        <f ca="1">_xll.BDP($B$49,$C$49,CONCATENATE("PX391=", $CE$71), CONCATENATE("PX392=",$CE$72), CONCATENATE("DS004=",$B$64), "Fill=B")</f>
        <v>52604</v>
      </c>
      <c r="CF109">
        <f ca="1">_xll.BDP($B$49,$C$49,CONCATENATE("PX391=", $CF$71), CONCATENATE("PX392=",$CF$72), CONCATENATE("DS004=",$B$64), "Fill=B")</f>
        <v>32402</v>
      </c>
      <c r="CG109">
        <f ca="1">_xll.BDP($B$49,$C$49,CONCATENATE("PX391=", $CG$71), CONCATENATE("PX392=",$CG$72), CONCATENATE("DS004=",$B$64), "Fill=B")</f>
        <v>56010</v>
      </c>
      <c r="CH109">
        <f ca="1">_xll.BDP($B$49,$C$49,CONCATENATE("PX391=", $CH$71), CONCATENATE("PX392=",$CH$72), CONCATENATE("DS004=",$B$64), "Fill=B")</f>
        <v>23480</v>
      </c>
      <c r="CI109">
        <f ca="1">_xll.BDP($B$49,$C$49,CONCATENATE("PX391=", $CI$71), CONCATENATE("PX392=",$CI$72), CONCATENATE("DS004=",$B$64), "Fill=B")</f>
        <v>30127</v>
      </c>
      <c r="CJ109">
        <f ca="1">_xll.BDP($B$49,$C$49,CONCATENATE("PX391=", $CJ$71), CONCATENATE("PX392=",$CJ$72), CONCATENATE("DS004=",$B$64), "Fill=B")</f>
        <v>11727</v>
      </c>
      <c r="CK109">
        <f ca="1">_xll.BDP($B$49,$C$49,CONCATENATE("PX391=", $CK$71), CONCATENATE("PX392=",$CK$72), CONCATENATE("DS004=",$B$64), "Fill=B")</f>
        <v>52706</v>
      </c>
      <c r="CL109" t="str">
        <f>""</f>
        <v/>
      </c>
      <c r="CM109" t="str">
        <f>""</f>
        <v/>
      </c>
      <c r="CN109" t="str">
        <f>""</f>
        <v/>
      </c>
      <c r="CO109" t="str">
        <f>""</f>
        <v/>
      </c>
      <c r="CP109" t="str">
        <f>""</f>
        <v/>
      </c>
      <c r="CQ109" t="str">
        <f>""</f>
        <v/>
      </c>
      <c r="CR109" t="str">
        <f>""</f>
        <v/>
      </c>
      <c r="CS109" t="str">
        <f>""</f>
        <v/>
      </c>
      <c r="CT109" t="str">
        <f>""</f>
        <v/>
      </c>
      <c r="CU109" t="str">
        <f>""</f>
        <v/>
      </c>
      <c r="CV109" t="str">
        <f>""</f>
        <v/>
      </c>
      <c r="CW109" t="str">
        <f>""</f>
        <v/>
      </c>
      <c r="CX109" t="str">
        <f>""</f>
        <v/>
      </c>
      <c r="CY109" t="str">
        <f>""</f>
        <v/>
      </c>
      <c r="CZ109" t="str">
        <f>""</f>
        <v/>
      </c>
      <c r="DA109" t="str">
        <f>""</f>
        <v/>
      </c>
      <c r="DB109" t="str">
        <f>""</f>
        <v/>
      </c>
      <c r="DC109" t="str">
        <f>""</f>
        <v/>
      </c>
      <c r="DD109" t="str">
        <f>""</f>
        <v/>
      </c>
      <c r="DE109" t="str">
        <f>""</f>
        <v/>
      </c>
      <c r="DF109" t="str">
        <f>""</f>
        <v/>
      </c>
      <c r="DG109" t="str">
        <f>""</f>
        <v/>
      </c>
      <c r="DH109" t="str">
        <f>""</f>
        <v/>
      </c>
      <c r="DI109" t="str">
        <f>""</f>
        <v/>
      </c>
      <c r="DJ109" t="str">
        <f>""</f>
        <v/>
      </c>
      <c r="DK109" t="str">
        <f>""</f>
        <v/>
      </c>
      <c r="DL109" t="str">
        <f>""</f>
        <v/>
      </c>
      <c r="DM109" t="str">
        <f>""</f>
        <v/>
      </c>
      <c r="DN109" t="str">
        <f>""</f>
        <v/>
      </c>
      <c r="DO109" t="str">
        <f>""</f>
        <v/>
      </c>
      <c r="DP109" t="str">
        <f>""</f>
        <v/>
      </c>
      <c r="DQ109" t="str">
        <f>""</f>
        <v/>
      </c>
      <c r="DR109" t="str">
        <f>""</f>
        <v/>
      </c>
      <c r="DS109" t="str">
        <f>""</f>
        <v/>
      </c>
      <c r="DT109" t="str">
        <f>""</f>
        <v/>
      </c>
      <c r="DU109" t="str">
        <f>""</f>
        <v/>
      </c>
      <c r="DV109" t="str">
        <f>""</f>
        <v/>
      </c>
      <c r="DW109" t="str">
        <f>""</f>
        <v/>
      </c>
      <c r="DX109" t="str">
        <f>""</f>
        <v/>
      </c>
      <c r="DY109" t="str">
        <f>""</f>
        <v/>
      </c>
      <c r="DZ109" t="str">
        <f>""</f>
        <v/>
      </c>
      <c r="EA109" t="str">
        <f>""</f>
        <v/>
      </c>
      <c r="EB109" t="str">
        <f>""</f>
        <v/>
      </c>
      <c r="EC109" t="str">
        <f>""</f>
        <v/>
      </c>
      <c r="ED109" t="str">
        <f>""</f>
        <v/>
      </c>
      <c r="EE109" t="str">
        <f>""</f>
        <v/>
      </c>
      <c r="EF109" t="str">
        <f>""</f>
        <v/>
      </c>
      <c r="EG109" t="str">
        <f>""</f>
        <v/>
      </c>
      <c r="EH109" t="str">
        <f>""</f>
        <v/>
      </c>
      <c r="EI109" t="str">
        <f>""</f>
        <v/>
      </c>
      <c r="EJ109" t="str">
        <f>""</f>
        <v/>
      </c>
      <c r="EK109" t="str">
        <f>""</f>
        <v/>
      </c>
      <c r="EL109" t="str">
        <f>""</f>
        <v/>
      </c>
      <c r="EM109" t="str">
        <f>""</f>
        <v/>
      </c>
      <c r="EN109" t="str">
        <f>""</f>
        <v/>
      </c>
      <c r="EO109" t="str">
        <f>""</f>
        <v/>
      </c>
      <c r="EP109" t="str">
        <f>""</f>
        <v/>
      </c>
      <c r="EQ109" t="str">
        <f>""</f>
        <v/>
      </c>
      <c r="ER109" t="str">
        <f>""</f>
        <v/>
      </c>
      <c r="ES109" t="str">
        <f>""</f>
        <v/>
      </c>
      <c r="ET109" t="str">
        <f>""</f>
        <v/>
      </c>
      <c r="EU109" t="str">
        <f>""</f>
        <v/>
      </c>
      <c r="EV109" t="str">
        <f>""</f>
        <v/>
      </c>
      <c r="EW109" t="str">
        <f>""</f>
        <v/>
      </c>
      <c r="EX109" t="str">
        <f>""</f>
        <v/>
      </c>
      <c r="EY109" t="str">
        <f>""</f>
        <v/>
      </c>
      <c r="EZ109" t="str">
        <f>""</f>
        <v/>
      </c>
      <c r="FA109" t="str">
        <f>""</f>
        <v/>
      </c>
      <c r="FB109" t="str">
        <f>""</f>
        <v/>
      </c>
      <c r="FC109" t="str">
        <f>""</f>
        <v/>
      </c>
      <c r="FD109" t="str">
        <f>""</f>
        <v/>
      </c>
      <c r="FE109" t="str">
        <f>""</f>
        <v/>
      </c>
      <c r="FF109" t="str">
        <f>""</f>
        <v/>
      </c>
      <c r="FG109" t="str">
        <f>""</f>
        <v/>
      </c>
      <c r="FH109" t="str">
        <f>""</f>
        <v/>
      </c>
      <c r="FI109" t="str">
        <f>""</f>
        <v/>
      </c>
      <c r="FJ109" t="str">
        <f>""</f>
        <v/>
      </c>
      <c r="FK109" t="str">
        <f>""</f>
        <v/>
      </c>
      <c r="FL109" t="str">
        <f>""</f>
        <v/>
      </c>
      <c r="FM109" t="str">
        <f>""</f>
        <v/>
      </c>
      <c r="FN109" t="str">
        <f>""</f>
        <v/>
      </c>
      <c r="FO109" t="str">
        <f>""</f>
        <v/>
      </c>
      <c r="FP109" t="str">
        <f>""</f>
        <v/>
      </c>
      <c r="FQ109" t="str">
        <f>""</f>
        <v/>
      </c>
    </row>
    <row r="110" spans="1:173" x14ac:dyDescent="0.25">
      <c r="A110" t="str">
        <f>$A$50</f>
        <v>Port Hedland Cargo Statistics - Australia Port Hedland Total Imports (tonnes) - Container Imports</v>
      </c>
      <c r="B110" t="str">
        <f>$B$50</f>
        <v>AHEDIMCO Index</v>
      </c>
      <c r="C110" t="str">
        <f>$C$50</f>
        <v>PX385</v>
      </c>
      <c r="D110" t="str">
        <f>$D$50</f>
        <v>INTERVAL_SUM</v>
      </c>
      <c r="E110" t="str">
        <f>$E$50</f>
        <v>Dynamic</v>
      </c>
      <c r="F110" t="str">
        <f ca="1">_xll.BDP($B$50,$C$50,CONCATENATE("PX391=", $F$71), CONCATENATE("PX392=",$F$72), CONCATENATE("DS004=",$B$64), "Fill=B")</f>
        <v/>
      </c>
      <c r="G110" t="str">
        <f ca="1">_xll.BDP($B$50,$C$50,CONCATENATE("PX391=", $G$71), CONCATENATE("PX392=",$G$72), CONCATENATE("DS004=",$B$64), "Fill=B")</f>
        <v/>
      </c>
      <c r="H110">
        <f ca="1">_xll.BDP($B$50,$C$50,CONCATENATE("PX391=", $H$71), CONCATENATE("PX392=",$H$72), CONCATENATE("DS004=",$B$64), "Fill=B")</f>
        <v>1521.7</v>
      </c>
      <c r="I110">
        <f ca="1">_xll.BDP($B$50,$C$50,CONCATENATE("PX391=", $I$71), CONCATENATE("PX392=",$I$72), CONCATENATE("DS004=",$B$64), "Fill=B")</f>
        <v>2091.36</v>
      </c>
      <c r="J110">
        <f ca="1">_xll.BDP($B$50,$C$50,CONCATENATE("PX391=", $J$71), CONCATENATE("PX392=",$J$72), CONCATENATE("DS004=",$B$64), "Fill=B")</f>
        <v>1840.66</v>
      </c>
      <c r="K110">
        <f ca="1">_xll.BDP($B$50,$C$50,CONCATENATE("PX391=", $K$71), CONCATENATE("PX392=",$K$72), CONCATENATE("DS004=",$B$64), "Fill=B")</f>
        <v>1762.52</v>
      </c>
      <c r="L110">
        <f ca="1">_xll.BDP($B$50,$C$50,CONCATENATE("PX391=", $L$71), CONCATENATE("PX392=",$L$72), CONCATENATE("DS004=",$B$64), "Fill=B")</f>
        <v>2237.5700000000002</v>
      </c>
      <c r="M110">
        <f ca="1">_xll.BDP($B$50,$C$50,CONCATENATE("PX391=", $M$71), CONCATENATE("PX392=",$M$72), CONCATENATE("DS004=",$B$64), "Fill=B")</f>
        <v>1048.3599999999999</v>
      </c>
      <c r="N110">
        <f ca="1">_xll.BDP($B$50,$C$50,CONCATENATE("PX391=", $N$71), CONCATENATE("PX392=",$N$72), CONCATENATE("DS004=",$B$64), "Fill=B")</f>
        <v>2912.19</v>
      </c>
      <c r="O110">
        <f ca="1">_xll.BDP($B$50,$C$50,CONCATENATE("PX391=", $O$71), CONCATENATE("PX392=",$O$72), CONCATENATE("DS004=",$B$64), "Fill=B")</f>
        <v>1206.58</v>
      </c>
      <c r="P110">
        <f ca="1">_xll.BDP($B$50,$C$50,CONCATENATE("PX391=", $P$71), CONCATENATE("PX392=",$P$72), CONCATENATE("DS004=",$B$64), "Fill=B")</f>
        <v>5061.7</v>
      </c>
      <c r="Q110">
        <f ca="1">_xll.BDP($B$50,$C$50,CONCATENATE("PX391=", $Q$71), CONCATENATE("PX392=",$Q$72), CONCATENATE("DS004=",$B$64), "Fill=B")</f>
        <v>3230.81</v>
      </c>
      <c r="R110">
        <f ca="1">_xll.BDP($B$50,$C$50,CONCATENATE("PX391=", $R$71), CONCATENATE("PX392=",$R$72), CONCATENATE("DS004=",$B$64), "Fill=B")</f>
        <v>2899.3</v>
      </c>
      <c r="S110">
        <f ca="1">_xll.BDP($B$50,$C$50,CONCATENATE("PX391=", $S$71), CONCATENATE("PX392=",$S$72), CONCATENATE("DS004=",$B$64), "Fill=B")</f>
        <v>2684.65</v>
      </c>
      <c r="T110">
        <f ca="1">_xll.BDP($B$50,$C$50,CONCATENATE("PX391=", $T$71), CONCATENATE("PX392=",$T$72), CONCATENATE("DS004=",$B$64), "Fill=B")</f>
        <v>2526.12</v>
      </c>
      <c r="U110">
        <f ca="1">_xll.BDP($B$50,$C$50,CONCATENATE("PX391=", $U$71), CONCATENATE("PX392=",$U$72), CONCATENATE("DS004=",$B$64), "Fill=B")</f>
        <v>1624.19</v>
      </c>
      <c r="V110">
        <f ca="1">_xll.BDP($B$50,$C$50,CONCATENATE("PX391=", $V$71), CONCATENATE("PX392=",$V$72), CONCATENATE("DS004=",$B$64), "Fill=B")</f>
        <v>3783.22</v>
      </c>
      <c r="W110">
        <f ca="1">_xll.BDP($B$50,$C$50,CONCATENATE("PX391=", $W$71), CONCATENATE("PX392=",$W$72), CONCATENATE("DS004=",$B$64), "Fill=B")</f>
        <v>2203.31</v>
      </c>
      <c r="X110">
        <f ca="1">_xll.BDP($B$50,$C$50,CONCATENATE("PX391=", $X$71), CONCATENATE("PX392=",$X$72), CONCATENATE("DS004=",$B$64), "Fill=B")</f>
        <v>4051.93</v>
      </c>
      <c r="Y110">
        <f ca="1">_xll.BDP($B$50,$C$50,CONCATENATE("PX391=", $Y$71), CONCATENATE("PX392=",$Y$72), CONCATENATE("DS004=",$B$64), "Fill=B")</f>
        <v>3067.33</v>
      </c>
      <c r="Z110">
        <f ca="1">_xll.BDP($B$50,$C$50,CONCATENATE("PX391=", $Z$71), CONCATENATE("PX392=",$Z$72), CONCATENATE("DS004=",$B$64), "Fill=B")</f>
        <v>6281.06</v>
      </c>
      <c r="AA110">
        <f ca="1">_xll.BDP($B$50,$C$50,CONCATENATE("PX391=", $AA$71), CONCATENATE("PX392=",$AA$72), CONCATENATE("DS004=",$B$64), "Fill=B")</f>
        <v>1474.68</v>
      </c>
      <c r="AB110">
        <f ca="1">_xll.BDP($B$50,$C$50,CONCATENATE("PX391=", $AB$71), CONCATENATE("PX392=",$AB$72), CONCATENATE("DS004=",$B$64), "Fill=B")</f>
        <v>3977.34</v>
      </c>
      <c r="AC110">
        <f ca="1">_xll.BDP($B$50,$C$50,CONCATENATE("PX391=", $AC$71), CONCATENATE("PX392=",$AC$72), CONCATENATE("DS004=",$B$64), "Fill=B")</f>
        <v>1041.33</v>
      </c>
      <c r="AD110">
        <f ca="1">_xll.BDP($B$50,$C$50,CONCATENATE("PX391=", $AD$71), CONCATENATE("PX392=",$AD$72), CONCATENATE("DS004=",$B$64), "Fill=B")</f>
        <v>622.04</v>
      </c>
      <c r="AE110">
        <f ca="1">_xll.BDP($B$50,$C$50,CONCATENATE("PX391=", $AE$71), CONCATENATE("PX392=",$AE$72), CONCATENATE("DS004=",$B$64), "Fill=B")</f>
        <v>3475.93</v>
      </c>
      <c r="AF110">
        <f ca="1">_xll.BDP($B$50,$C$50,CONCATENATE("PX391=", $AF$71), CONCATENATE("PX392=",$AF$72), CONCATENATE("DS004=",$B$64), "Fill=B")</f>
        <v>141.88</v>
      </c>
      <c r="AG110">
        <f ca="1">_xll.BDP($B$50,$C$50,CONCATENATE("PX391=", $AG$71), CONCATENATE("PX392=",$AG$72), CONCATENATE("DS004=",$B$64), "Fill=B")</f>
        <v>2046.82</v>
      </c>
      <c r="AH110">
        <f ca="1">_xll.BDP($B$50,$C$50,CONCATENATE("PX391=", $AH$71), CONCATENATE("PX392=",$AH$72), CONCATENATE("DS004=",$B$64), "Fill=B")</f>
        <v>1454.1</v>
      </c>
      <c r="AI110">
        <f ca="1">_xll.BDP($B$50,$C$50,CONCATENATE("PX391=", $AI$71), CONCATENATE("PX392=",$AI$72), CONCATENATE("DS004=",$B$64), "Fill=B")</f>
        <v>1454.1</v>
      </c>
      <c r="AJ110">
        <f ca="1">_xll.BDP($B$50,$C$50,CONCATENATE("PX391=", $AJ$71), CONCATENATE("PX392=",$AJ$72), CONCATENATE("DS004=",$B$64), "Fill=B")</f>
        <v>759.4</v>
      </c>
      <c r="AK110">
        <f ca="1">_xll.BDP($B$50,$C$50,CONCATENATE("PX391=", $AK$71), CONCATENATE("PX392=",$AK$72), CONCATENATE("DS004=",$B$64), "Fill=B")</f>
        <v>640.13</v>
      </c>
      <c r="AL110">
        <f ca="1">_xll.BDP($B$50,$C$50,CONCATENATE("PX391=", $AL$71), CONCATENATE("PX392=",$AL$72), CONCATENATE("DS004=",$B$64), "Fill=B")</f>
        <v>750.42</v>
      </c>
      <c r="AM110">
        <f ca="1">_xll.BDP($B$50,$C$50,CONCATENATE("PX391=", $AM$71), CONCATENATE("PX392=",$AM$72), CONCATENATE("DS004=",$B$64), "Fill=B")</f>
        <v>488.86</v>
      </c>
      <c r="AN110">
        <f ca="1">_xll.BDP($B$50,$C$50,CONCATENATE("PX391=", $AN$71), CONCATENATE("PX392=",$AN$72), CONCATENATE("DS004=",$B$64), "Fill=B")</f>
        <v>0</v>
      </c>
      <c r="AO110">
        <f ca="1">_xll.BDP($B$50,$C$50,CONCATENATE("PX391=", $AO$71), CONCATENATE("PX392=",$AO$72), CONCATENATE("DS004=",$B$64), "Fill=B")</f>
        <v>446.34</v>
      </c>
      <c r="AP110">
        <f ca="1">_xll.BDP($B$50,$C$50,CONCATENATE("PX391=", $AP$71), CONCATENATE("PX392=",$AP$72), CONCATENATE("DS004=",$B$64), "Fill=B")</f>
        <v>694.63</v>
      </c>
      <c r="AQ110" t="str">
        <f ca="1">_xll.BDP($B$50,$C$50,CONCATENATE("PX391=", $AQ$71), CONCATENATE("PX392=",$AQ$72), CONCATENATE("DS004=",$B$64), "Fill=B")</f>
        <v/>
      </c>
      <c r="AR110" t="str">
        <f ca="1">_xll.BDP($B$50,$C$50,CONCATENATE("PX391=", $AR$71), CONCATENATE("PX392=",$AR$72), CONCATENATE("DS004=",$B$64), "Fill=B")</f>
        <v/>
      </c>
      <c r="AS110" t="str">
        <f ca="1">_xll.BDP($B$50,$C$50,CONCATENATE("PX391=", $AS$71), CONCATENATE("PX392=",$AS$72), CONCATENATE("DS004=",$B$64), "Fill=B")</f>
        <v/>
      </c>
      <c r="AT110" t="str">
        <f ca="1">_xll.BDP($B$50,$C$50,CONCATENATE("PX391=", $AT$71), CONCATENATE("PX392=",$AT$72), CONCATENATE("DS004=",$B$64), "Fill=B")</f>
        <v/>
      </c>
      <c r="AU110">
        <f ca="1">_xll.BDP($B$50,$C$50,CONCATENATE("PX391=", $AU$71), CONCATENATE("PX392=",$AU$72), CONCATENATE("DS004=",$B$64), "Fill=B")</f>
        <v>0</v>
      </c>
      <c r="AV110">
        <f ca="1">_xll.BDP($B$50,$C$50,CONCATENATE("PX391=", $AV$71), CONCATENATE("PX392=",$AV$72), CONCATENATE("DS004=",$B$64), "Fill=B")</f>
        <v>1.85</v>
      </c>
      <c r="AW110">
        <f ca="1">_xll.BDP($B$50,$C$50,CONCATENATE("PX391=", $AW$71), CONCATENATE("PX392=",$AW$72), CONCATENATE("DS004=",$B$64), "Fill=B")</f>
        <v>0</v>
      </c>
      <c r="AX110">
        <f ca="1">_xll.BDP($B$50,$C$50,CONCATENATE("PX391=", $AX$71), CONCATENATE("PX392=",$AX$72), CONCATENATE("DS004=",$B$64), "Fill=B")</f>
        <v>0</v>
      </c>
      <c r="AY110">
        <f ca="1">_xll.BDP($B$50,$C$50,CONCATENATE("PX391=", $AY$71), CONCATENATE("PX392=",$AY$72), CONCATENATE("DS004=",$B$64), "Fill=B")</f>
        <v>26.29</v>
      </c>
      <c r="AZ110">
        <f ca="1">_xll.BDP($B$50,$C$50,CONCATENATE("PX391=", $AZ$71), CONCATENATE("PX392=",$AZ$72), CONCATENATE("DS004=",$B$64), "Fill=B")</f>
        <v>450.07</v>
      </c>
      <c r="BA110">
        <f ca="1">_xll.BDP($B$50,$C$50,CONCATENATE("PX391=", $BA$71), CONCATENATE("PX392=",$BA$72), CONCATENATE("DS004=",$B$64), "Fill=B")</f>
        <v>0</v>
      </c>
      <c r="BB110">
        <f ca="1">_xll.BDP($B$50,$C$50,CONCATENATE("PX391=", $BB$71), CONCATENATE("PX392=",$BB$72), CONCATENATE("DS004=",$B$64), "Fill=B")</f>
        <v>0</v>
      </c>
      <c r="BC110">
        <f ca="1">_xll.BDP($B$50,$C$50,CONCATENATE("PX391=", $BC$71), CONCATENATE("PX392=",$BC$72), CONCATENATE("DS004=",$B$64), "Fill=B")</f>
        <v>0</v>
      </c>
      <c r="BD110">
        <f ca="1">_xll.BDP($B$50,$C$50,CONCATENATE("PX391=", $BD$71), CONCATENATE("PX392=",$BD$72), CONCATENATE("DS004=",$B$64), "Fill=B")</f>
        <v>0</v>
      </c>
      <c r="BE110">
        <f ca="1">_xll.BDP($B$50,$C$50,CONCATENATE("PX391=", $BE$71), CONCATENATE("PX392=",$BE$72), CONCATENATE("DS004=",$B$64), "Fill=B")</f>
        <v>0</v>
      </c>
      <c r="BF110">
        <f ca="1">_xll.BDP($B$50,$C$50,CONCATENATE("PX391=", $BF$71), CONCATENATE("PX392=",$BF$72), CONCATENATE("DS004=",$B$64), "Fill=B")</f>
        <v>0</v>
      </c>
      <c r="BG110">
        <f ca="1">_xll.BDP($B$50,$C$50,CONCATENATE("PX391=", $BG$71), CONCATENATE("PX392=",$BG$72), CONCATENATE("DS004=",$B$64), "Fill=B")</f>
        <v>0</v>
      </c>
      <c r="BH110">
        <f ca="1">_xll.BDP($B$50,$C$50,CONCATENATE("PX391=", $BH$71), CONCATENATE("PX392=",$BH$72), CONCATENATE("DS004=",$B$64), "Fill=B")</f>
        <v>0</v>
      </c>
      <c r="BI110">
        <f ca="1">_xll.BDP($B$50,$C$50,CONCATENATE("PX391=", $BI$71), CONCATENATE("PX392=",$BI$72), CONCATENATE("DS004=",$B$64), "Fill=B")</f>
        <v>0</v>
      </c>
      <c r="BJ110">
        <f ca="1">_xll.BDP($B$50,$C$50,CONCATENATE("PX391=", $BJ$71), CONCATENATE("PX392=",$BJ$72), CONCATENATE("DS004=",$B$64), "Fill=B")</f>
        <v>0</v>
      </c>
      <c r="BK110">
        <f ca="1">_xll.BDP($B$50,$C$50,CONCATENATE("PX391=", $BK$71), CONCATENATE("PX392=",$BK$72), CONCATENATE("DS004=",$B$64), "Fill=B")</f>
        <v>0</v>
      </c>
      <c r="BL110">
        <f ca="1">_xll.BDP($B$50,$C$50,CONCATENATE("PX391=", $BL$71), CONCATENATE("PX392=",$BL$72), CONCATENATE("DS004=",$B$64), "Fill=B")</f>
        <v>0</v>
      </c>
      <c r="BM110">
        <f ca="1">_xll.BDP($B$50,$C$50,CONCATENATE("PX391=", $BM$71), CONCATENATE("PX392=",$BM$72), CONCATENATE("DS004=",$B$64), "Fill=B")</f>
        <v>0</v>
      </c>
      <c r="BN110">
        <f ca="1">_xll.BDP($B$50,$C$50,CONCATENATE("PX391=", $BN$71), CONCATENATE("PX392=",$BN$72), CONCATENATE("DS004=",$B$64), "Fill=B")</f>
        <v>0</v>
      </c>
      <c r="BO110">
        <f ca="1">_xll.BDP($B$50,$C$50,CONCATENATE("PX391=", $BO$71), CONCATENATE("PX392=",$BO$72), CONCATENATE("DS004=",$B$64), "Fill=B")</f>
        <v>0</v>
      </c>
      <c r="BP110">
        <f ca="1">_xll.BDP($B$50,$C$50,CONCATENATE("PX391=", $BP$71), CONCATENATE("PX392=",$BP$72), CONCATENATE("DS004=",$B$64), "Fill=B")</f>
        <v>20.8</v>
      </c>
      <c r="BQ110">
        <f ca="1">_xll.BDP($B$50,$C$50,CONCATENATE("PX391=", $BQ$71), CONCATENATE("PX392=",$BQ$72), CONCATENATE("DS004=",$B$64), "Fill=B")</f>
        <v>0</v>
      </c>
      <c r="BR110">
        <f ca="1">_xll.BDP($B$50,$C$50,CONCATENATE("PX391=", $BR$71), CONCATENATE("PX392=",$BR$72), CONCATENATE("DS004=",$B$64), "Fill=B")</f>
        <v>0</v>
      </c>
      <c r="BS110">
        <f ca="1">_xll.BDP($B$50,$C$50,CONCATENATE("PX391=", $BS$71), CONCATENATE("PX392=",$BS$72), CONCATENATE("DS004=",$B$64), "Fill=B")</f>
        <v>0</v>
      </c>
      <c r="BT110">
        <f ca="1">_xll.BDP($B$50,$C$50,CONCATENATE("PX391=", $BT$71), CONCATENATE("PX392=",$BT$72), CONCATENATE("DS004=",$B$64), "Fill=B")</f>
        <v>293.89</v>
      </c>
      <c r="BU110">
        <f ca="1">_xll.BDP($B$50,$C$50,CONCATENATE("PX391=", $BU$71), CONCATENATE("PX392=",$BU$72), CONCATENATE("DS004=",$B$64), "Fill=B")</f>
        <v>0</v>
      </c>
      <c r="BV110">
        <f ca="1">_xll.BDP($B$50,$C$50,CONCATENATE("PX391=", $BV$71), CONCATENATE("PX392=",$BV$72), CONCATENATE("DS004=",$B$64), "Fill=B")</f>
        <v>71.150000000000006</v>
      </c>
      <c r="BW110">
        <f ca="1">_xll.BDP($B$50,$C$50,CONCATENATE("PX391=", $BW$71), CONCATENATE("PX392=",$BW$72), CONCATENATE("DS004=",$B$64), "Fill=B")</f>
        <v>115.48</v>
      </c>
      <c r="BX110">
        <f ca="1">_xll.BDP($B$50,$C$50,CONCATENATE("PX391=", $BX$71), CONCATENATE("PX392=",$BX$72), CONCATENATE("DS004=",$B$64), "Fill=B")</f>
        <v>70.010000000000005</v>
      </c>
      <c r="BY110">
        <f ca="1">_xll.BDP($B$50,$C$50,CONCATENATE("PX391=", $BY$71), CONCATENATE("PX392=",$BY$72), CONCATENATE("DS004=",$B$64), "Fill=B")</f>
        <v>185.89</v>
      </c>
      <c r="BZ110">
        <f ca="1">_xll.BDP($B$50,$C$50,CONCATENATE("PX391=", $BZ$71), CONCATENATE("PX392=",$BZ$72), CONCATENATE("DS004=",$B$64), "Fill=B")</f>
        <v>129.36000000000001</v>
      </c>
      <c r="CA110">
        <f ca="1">_xll.BDP($B$50,$C$50,CONCATENATE("PX391=", $CA$71), CONCATENATE("PX392=",$CA$72), CONCATENATE("DS004=",$B$64), "Fill=B")</f>
        <v>0.69</v>
      </c>
      <c r="CB110">
        <f ca="1">_xll.BDP($B$50,$C$50,CONCATENATE("PX391=", $CB$71), CONCATENATE("PX392=",$CB$72), CONCATENATE("DS004=",$B$64), "Fill=B")</f>
        <v>0</v>
      </c>
      <c r="CC110">
        <f ca="1">_xll.BDP($B$50,$C$50,CONCATENATE("PX391=", $CC$71), CONCATENATE("PX392=",$CC$72), CONCATENATE("DS004=",$B$64), "Fill=B")</f>
        <v>0</v>
      </c>
      <c r="CD110">
        <f ca="1">_xll.BDP($B$50,$C$50,CONCATENATE("PX391=", $CD$71), CONCATENATE("PX392=",$CD$72), CONCATENATE("DS004=",$B$64), "Fill=B")</f>
        <v>0</v>
      </c>
      <c r="CE110">
        <f ca="1">_xll.BDP($B$50,$C$50,CONCATENATE("PX391=", $CE$71), CONCATENATE("PX392=",$CE$72), CONCATENATE("DS004=",$B$64), "Fill=B")</f>
        <v>0</v>
      </c>
      <c r="CF110">
        <f ca="1">_xll.BDP($B$50,$C$50,CONCATENATE("PX391=", $CF$71), CONCATENATE("PX392=",$CF$72), CONCATENATE("DS004=",$B$64), "Fill=B")</f>
        <v>0</v>
      </c>
      <c r="CG110">
        <f ca="1">_xll.BDP($B$50,$C$50,CONCATENATE("PX391=", $CG$71), CONCATENATE("PX392=",$CG$72), CONCATENATE("DS004=",$B$64), "Fill=B")</f>
        <v>0</v>
      </c>
      <c r="CH110">
        <f ca="1">_xll.BDP($B$50,$C$50,CONCATENATE("PX391=", $CH$71), CONCATENATE("PX392=",$CH$72), CONCATENATE("DS004=",$B$64), "Fill=B")</f>
        <v>0</v>
      </c>
      <c r="CI110">
        <f ca="1">_xll.BDP($B$50,$C$50,CONCATENATE("PX391=", $CI$71), CONCATENATE("PX392=",$CI$72), CONCATENATE("DS004=",$B$64), "Fill=B")</f>
        <v>0</v>
      </c>
      <c r="CJ110">
        <f ca="1">_xll.BDP($B$50,$C$50,CONCATENATE("PX391=", $CJ$71), CONCATENATE("PX392=",$CJ$72), CONCATENATE("DS004=",$B$64), "Fill=B")</f>
        <v>0</v>
      </c>
      <c r="CK110">
        <f ca="1">_xll.BDP($B$50,$C$50,CONCATENATE("PX391=", $CK$71), CONCATENATE("PX392=",$CK$72), CONCATENATE("DS004=",$B$64), "Fill=B")</f>
        <v>0</v>
      </c>
      <c r="CL110" t="str">
        <f>""</f>
        <v/>
      </c>
      <c r="CM110" t="str">
        <f>""</f>
        <v/>
      </c>
      <c r="CN110" t="str">
        <f>""</f>
        <v/>
      </c>
      <c r="CO110" t="str">
        <f>""</f>
        <v/>
      </c>
      <c r="CP110" t="str">
        <f>""</f>
        <v/>
      </c>
      <c r="CQ110" t="str">
        <f>""</f>
        <v/>
      </c>
      <c r="CR110" t="str">
        <f>""</f>
        <v/>
      </c>
      <c r="CS110" t="str">
        <f>""</f>
        <v/>
      </c>
      <c r="CT110" t="str">
        <f>""</f>
        <v/>
      </c>
      <c r="CU110" t="str">
        <f>""</f>
        <v/>
      </c>
      <c r="CV110" t="str">
        <f>""</f>
        <v/>
      </c>
      <c r="CW110" t="str">
        <f>""</f>
        <v/>
      </c>
      <c r="CX110" t="str">
        <f>""</f>
        <v/>
      </c>
      <c r="CY110" t="str">
        <f>""</f>
        <v/>
      </c>
      <c r="CZ110" t="str">
        <f>""</f>
        <v/>
      </c>
      <c r="DA110" t="str">
        <f>""</f>
        <v/>
      </c>
      <c r="DB110" t="str">
        <f>""</f>
        <v/>
      </c>
      <c r="DC110" t="str">
        <f>""</f>
        <v/>
      </c>
      <c r="DD110" t="str">
        <f>""</f>
        <v/>
      </c>
      <c r="DE110" t="str">
        <f>""</f>
        <v/>
      </c>
      <c r="DF110" t="str">
        <f>""</f>
        <v/>
      </c>
      <c r="DG110" t="str">
        <f>""</f>
        <v/>
      </c>
      <c r="DH110" t="str">
        <f>""</f>
        <v/>
      </c>
      <c r="DI110" t="str">
        <f>""</f>
        <v/>
      </c>
      <c r="DJ110" t="str">
        <f>""</f>
        <v/>
      </c>
      <c r="DK110" t="str">
        <f>""</f>
        <v/>
      </c>
      <c r="DL110" t="str">
        <f>""</f>
        <v/>
      </c>
      <c r="DM110" t="str">
        <f>""</f>
        <v/>
      </c>
      <c r="DN110" t="str">
        <f>""</f>
        <v/>
      </c>
      <c r="DO110" t="str">
        <f>""</f>
        <v/>
      </c>
      <c r="DP110" t="str">
        <f>""</f>
        <v/>
      </c>
      <c r="DQ110" t="str">
        <f>""</f>
        <v/>
      </c>
      <c r="DR110" t="str">
        <f>""</f>
        <v/>
      </c>
      <c r="DS110" t="str">
        <f>""</f>
        <v/>
      </c>
      <c r="DT110" t="str">
        <f>""</f>
        <v/>
      </c>
      <c r="DU110" t="str">
        <f>""</f>
        <v/>
      </c>
      <c r="DV110" t="str">
        <f>""</f>
        <v/>
      </c>
      <c r="DW110" t="str">
        <f>""</f>
        <v/>
      </c>
      <c r="DX110" t="str">
        <f>""</f>
        <v/>
      </c>
      <c r="DY110" t="str">
        <f>""</f>
        <v/>
      </c>
      <c r="DZ110" t="str">
        <f>""</f>
        <v/>
      </c>
      <c r="EA110" t="str">
        <f>""</f>
        <v/>
      </c>
      <c r="EB110" t="str">
        <f>""</f>
        <v/>
      </c>
      <c r="EC110" t="str">
        <f>""</f>
        <v/>
      </c>
      <c r="ED110" t="str">
        <f>""</f>
        <v/>
      </c>
      <c r="EE110" t="str">
        <f>""</f>
        <v/>
      </c>
      <c r="EF110" t="str">
        <f>""</f>
        <v/>
      </c>
      <c r="EG110" t="str">
        <f>""</f>
        <v/>
      </c>
      <c r="EH110" t="str">
        <f>""</f>
        <v/>
      </c>
      <c r="EI110" t="str">
        <f>""</f>
        <v/>
      </c>
      <c r="EJ110" t="str">
        <f>""</f>
        <v/>
      </c>
      <c r="EK110" t="str">
        <f>""</f>
        <v/>
      </c>
      <c r="EL110" t="str">
        <f>""</f>
        <v/>
      </c>
      <c r="EM110" t="str">
        <f>""</f>
        <v/>
      </c>
      <c r="EN110" t="str">
        <f>""</f>
        <v/>
      </c>
      <c r="EO110" t="str">
        <f>""</f>
        <v/>
      </c>
      <c r="EP110" t="str">
        <f>""</f>
        <v/>
      </c>
      <c r="EQ110" t="str">
        <f>""</f>
        <v/>
      </c>
      <c r="ER110" t="str">
        <f>""</f>
        <v/>
      </c>
      <c r="ES110" t="str">
        <f>""</f>
        <v/>
      </c>
      <c r="ET110" t="str">
        <f>""</f>
        <v/>
      </c>
      <c r="EU110" t="str">
        <f>""</f>
        <v/>
      </c>
      <c r="EV110" t="str">
        <f>""</f>
        <v/>
      </c>
      <c r="EW110" t="str">
        <f>""</f>
        <v/>
      </c>
      <c r="EX110" t="str">
        <f>""</f>
        <v/>
      </c>
      <c r="EY110" t="str">
        <f>""</f>
        <v/>
      </c>
      <c r="EZ110" t="str">
        <f>""</f>
        <v/>
      </c>
      <c r="FA110" t="str">
        <f>""</f>
        <v/>
      </c>
      <c r="FB110" t="str">
        <f>""</f>
        <v/>
      </c>
      <c r="FC110" t="str">
        <f>""</f>
        <v/>
      </c>
      <c r="FD110" t="str">
        <f>""</f>
        <v/>
      </c>
      <c r="FE110" t="str">
        <f>""</f>
        <v/>
      </c>
      <c r="FF110" t="str">
        <f>""</f>
        <v/>
      </c>
      <c r="FG110" t="str">
        <f>""</f>
        <v/>
      </c>
      <c r="FH110" t="str">
        <f>""</f>
        <v/>
      </c>
      <c r="FI110" t="str">
        <f>""</f>
        <v/>
      </c>
      <c r="FJ110" t="str">
        <f>""</f>
        <v/>
      </c>
      <c r="FK110" t="str">
        <f>""</f>
        <v/>
      </c>
      <c r="FL110" t="str">
        <f>""</f>
        <v/>
      </c>
      <c r="FM110" t="str">
        <f>""</f>
        <v/>
      </c>
      <c r="FN110" t="str">
        <f>""</f>
        <v/>
      </c>
      <c r="FO110" t="str">
        <f>""</f>
        <v/>
      </c>
      <c r="FP110" t="str">
        <f>""</f>
        <v/>
      </c>
      <c r="FQ110" t="str">
        <f>""</f>
        <v/>
      </c>
    </row>
    <row r="111" spans="1:173" x14ac:dyDescent="0.25">
      <c r="A111" t="str">
        <f>$A$51</f>
        <v>Port Hedland Cargo Statistics - Australia Port Hedland Total Imports (tonnes) - Chemical Compound Imports (tonnes)</v>
      </c>
      <c r="B111" t="str">
        <f>$B$51</f>
        <v>AHEDIMCC Index</v>
      </c>
      <c r="C111" t="str">
        <f>$C$51</f>
        <v>PX385</v>
      </c>
      <c r="D111" t="str">
        <f>$D$51</f>
        <v>INTERVAL_SUM</v>
      </c>
      <c r="E111" t="str">
        <f>$E$51</f>
        <v>Dynamic</v>
      </c>
      <c r="F111" t="str">
        <f ca="1">_xll.BDP($B$51,$C$51,CONCATENATE("PX391=", $F$71), CONCATENATE("PX392=",$F$72), CONCATENATE("DS004=",$B$64), "Fill=B")</f>
        <v/>
      </c>
      <c r="G111" t="str">
        <f ca="1">_xll.BDP($B$51,$C$51,CONCATENATE("PX391=", $G$71), CONCATENATE("PX392=",$G$72), CONCATENATE("DS004=",$B$64), "Fill=B")</f>
        <v/>
      </c>
      <c r="H111">
        <f ca="1">_xll.BDP($B$51,$C$51,CONCATENATE("PX391=", $H$71), CONCATENATE("PX392=",$H$72), CONCATENATE("DS004=",$B$64), "Fill=B")</f>
        <v>0</v>
      </c>
      <c r="I111">
        <f ca="1">_xll.BDP($B$51,$C$51,CONCATENATE("PX391=", $I$71), CONCATENATE("PX392=",$I$72), CONCATENATE("DS004=",$B$64), "Fill=B")</f>
        <v>3603.35</v>
      </c>
      <c r="J111">
        <f ca="1">_xll.BDP($B$51,$C$51,CONCATENATE("PX391=", $J$71), CONCATENATE("PX392=",$J$72), CONCATENATE("DS004=",$B$64), "Fill=B")</f>
        <v>3603.35</v>
      </c>
      <c r="K111">
        <f ca="1">_xll.BDP($B$51,$C$51,CONCATENATE("PX391=", $K$71), CONCATENATE("PX392=",$K$72), CONCATENATE("DS004=",$B$64), "Fill=B")</f>
        <v>3600</v>
      </c>
      <c r="L111">
        <f ca="1">_xll.BDP($B$51,$C$51,CONCATENATE("PX391=", $L$71), CONCATENATE("PX392=",$L$72), CONCATENATE("DS004=",$B$64), "Fill=B")</f>
        <v>14409</v>
      </c>
      <c r="M111">
        <f ca="1">_xll.BDP($B$51,$C$51,CONCATENATE("PX391=", $M$71), CONCATENATE("PX392=",$M$72), CONCATENATE("DS004=",$B$64), "Fill=B")</f>
        <v>3400.8</v>
      </c>
      <c r="N111">
        <f ca="1">_xll.BDP($B$51,$C$51,CONCATENATE("PX391=", $N$71), CONCATENATE("PX392=",$N$72), CONCATENATE("DS004=",$B$64), "Fill=B")</f>
        <v>16098.79</v>
      </c>
      <c r="O111">
        <f ca="1">_xll.BDP($B$51,$C$51,CONCATENATE("PX391=", $O$71), CONCATENATE("PX392=",$O$72), CONCATENATE("DS004=",$B$64), "Fill=B")</f>
        <v>0</v>
      </c>
      <c r="P111">
        <f ca="1">_xll.BDP($B$51,$C$51,CONCATENATE("PX391=", $P$71), CONCATENATE("PX392=",$P$72), CONCATENATE("DS004=",$B$64), "Fill=B")</f>
        <v>0</v>
      </c>
      <c r="Q111">
        <f ca="1">_xll.BDP($B$51,$C$51,CONCATENATE("PX391=", $Q$71), CONCATENATE("PX392=",$Q$72), CONCATENATE("DS004=",$B$64), "Fill=B")</f>
        <v>0</v>
      </c>
      <c r="R111">
        <f ca="1">_xll.BDP($B$51,$C$51,CONCATENATE("PX391=", $R$71), CONCATENATE("PX392=",$R$72), CONCATENATE("DS004=",$B$64), "Fill=B")</f>
        <v>0</v>
      </c>
      <c r="S111">
        <f ca="1">_xll.BDP($B$51,$C$51,CONCATENATE("PX391=", $S$71), CONCATENATE("PX392=",$S$72), CONCATENATE("DS004=",$B$64), "Fill=B")</f>
        <v>0</v>
      </c>
      <c r="T111">
        <f ca="1">_xll.BDP($B$51,$C$51,CONCATENATE("PX391=", $T$71), CONCATENATE("PX392=",$T$72), CONCATENATE("DS004=",$B$64), "Fill=B")</f>
        <v>5250</v>
      </c>
      <c r="U111">
        <f ca="1">_xll.BDP($B$51,$C$51,CONCATENATE("PX391=", $U$71), CONCATENATE("PX392=",$U$72), CONCATENATE("DS004=",$B$64), "Fill=B")</f>
        <v>0</v>
      </c>
      <c r="V111">
        <f ca="1">_xll.BDP($B$51,$C$51,CONCATENATE("PX391=", $V$71), CONCATENATE("PX392=",$V$72), CONCATENATE("DS004=",$B$64), "Fill=B")</f>
        <v>0</v>
      </c>
      <c r="W111">
        <f ca="1">_xll.BDP($B$51,$C$51,CONCATENATE("PX391=", $W$71), CONCATENATE("PX392=",$W$72), CONCATENATE("DS004=",$B$64), "Fill=B")</f>
        <v>0</v>
      </c>
      <c r="X111">
        <f ca="1">_xll.BDP($B$51,$C$51,CONCATENATE("PX391=", $X$71), CONCATENATE("PX392=",$X$72), CONCATENATE("DS004=",$B$64), "Fill=B")</f>
        <v>0</v>
      </c>
      <c r="Y111">
        <f ca="1">_xll.BDP($B$51,$C$51,CONCATENATE("PX391=", $Y$71), CONCATENATE("PX392=",$Y$72), CONCATENATE("DS004=",$B$64), "Fill=B")</f>
        <v>0</v>
      </c>
      <c r="Z111">
        <f ca="1">_xll.BDP($B$51,$C$51,CONCATENATE("PX391=", $Z$71), CONCATENATE("PX392=",$Z$72), CONCATENATE("DS004=",$B$64), "Fill=B")</f>
        <v>0</v>
      </c>
      <c r="AA111">
        <f ca="1">_xll.BDP($B$51,$C$51,CONCATENATE("PX391=", $AA$71), CONCATENATE("PX392=",$AA$72), CONCATENATE("DS004=",$B$64), "Fill=B")</f>
        <v>0</v>
      </c>
      <c r="AB111">
        <f ca="1">_xll.BDP($B$51,$C$51,CONCATENATE("PX391=", $AB$71), CONCATENATE("PX392=",$AB$72), CONCATENATE("DS004=",$B$64), "Fill=B")</f>
        <v>0</v>
      </c>
      <c r="AC111">
        <f ca="1">_xll.BDP($B$51,$C$51,CONCATENATE("PX391=", $AC$71), CONCATENATE("PX392=",$AC$72), CONCATENATE("DS004=",$B$64), "Fill=B")</f>
        <v>0</v>
      </c>
      <c r="AD111">
        <f ca="1">_xll.BDP($B$51,$C$51,CONCATENATE("PX391=", $AD$71), CONCATENATE("PX392=",$AD$72), CONCATENATE("DS004=",$B$64), "Fill=B")</f>
        <v>0</v>
      </c>
      <c r="AE111">
        <f ca="1">_xll.BDP($B$51,$C$51,CONCATENATE("PX391=", $AE$71), CONCATENATE("PX392=",$AE$72), CONCATENATE("DS004=",$B$64), "Fill=B")</f>
        <v>0</v>
      </c>
      <c r="AF111">
        <f ca="1">_xll.BDP($B$51,$C$51,CONCATENATE("PX391=", $AF$71), CONCATENATE("PX392=",$AF$72), CONCATENATE("DS004=",$B$64), "Fill=B")</f>
        <v>0</v>
      </c>
      <c r="AG111">
        <f ca="1">_xll.BDP($B$51,$C$51,CONCATENATE("PX391=", $AG$71), CONCATENATE("PX392=",$AG$72), CONCATENATE("DS004=",$B$64), "Fill=B")</f>
        <v>0</v>
      </c>
      <c r="AH111">
        <f ca="1">_xll.BDP($B$51,$C$51,CONCATENATE("PX391=", $AH$71), CONCATENATE("PX392=",$AH$72), CONCATENATE("DS004=",$B$64), "Fill=B")</f>
        <v>0</v>
      </c>
      <c r="AI111">
        <f ca="1">_xll.BDP($B$51,$C$51,CONCATENATE("PX391=", $AI$71), CONCATENATE("PX392=",$AI$72), CONCATENATE("DS004=",$B$64), "Fill=B")</f>
        <v>0</v>
      </c>
      <c r="AJ111">
        <f ca="1">_xll.BDP($B$51,$C$51,CONCATENATE("PX391=", $AJ$71), CONCATENATE("PX392=",$AJ$72), CONCATENATE("DS004=",$B$64), "Fill=B")</f>
        <v>0</v>
      </c>
      <c r="AK111">
        <f ca="1">_xll.BDP($B$51,$C$51,CONCATENATE("PX391=", $AK$71), CONCATENATE("PX392=",$AK$72), CONCATENATE("DS004=",$B$64), "Fill=B")</f>
        <v>0</v>
      </c>
      <c r="AL111">
        <f ca="1">_xll.BDP($B$51,$C$51,CONCATENATE("PX391=", $AL$71), CONCATENATE("PX392=",$AL$72), CONCATENATE("DS004=",$B$64), "Fill=B")</f>
        <v>0</v>
      </c>
      <c r="AM111">
        <f ca="1">_xll.BDP($B$51,$C$51,CONCATENATE("PX391=", $AM$71), CONCATENATE("PX392=",$AM$72), CONCATENATE("DS004=",$B$64), "Fill=B")</f>
        <v>0</v>
      </c>
      <c r="AN111">
        <f ca="1">_xll.BDP($B$51,$C$51,CONCATENATE("PX391=", $AN$71), CONCATENATE("PX392=",$AN$72), CONCATENATE("DS004=",$B$64), "Fill=B")</f>
        <v>0</v>
      </c>
      <c r="AO111">
        <f ca="1">_xll.BDP($B$51,$C$51,CONCATENATE("PX391=", $AO$71), CONCATENATE("PX392=",$AO$72), CONCATENATE("DS004=",$B$64), "Fill=B")</f>
        <v>0</v>
      </c>
      <c r="AP111">
        <f ca="1">_xll.BDP($B$51,$C$51,CONCATENATE("PX391=", $AP$71), CONCATENATE("PX392=",$AP$72), CONCATENATE("DS004=",$B$64), "Fill=B")</f>
        <v>0</v>
      </c>
      <c r="AQ111">
        <f ca="1">_xll.BDP($B$51,$C$51,CONCATENATE("PX391=", $AQ$71), CONCATENATE("PX392=",$AQ$72), CONCATENATE("DS004=",$B$64), "Fill=B")</f>
        <v>7200</v>
      </c>
      <c r="AR111" t="str">
        <f ca="1">_xll.BDP($B$51,$C$51,CONCATENATE("PX391=", $AR$71), CONCATENATE("PX392=",$AR$72), CONCATENATE("DS004=",$B$64), "Fill=B")</f>
        <v/>
      </c>
      <c r="AS111">
        <f ca="1">_xll.BDP($B$51,$C$51,CONCATENATE("PX391=", $AS$71), CONCATENATE("PX392=",$AS$72), CONCATENATE("DS004=",$B$64), "Fill=B")</f>
        <v>3600</v>
      </c>
      <c r="AT111">
        <f ca="1">_xll.BDP($B$51,$C$51,CONCATENATE("PX391=", $AT$71), CONCATENATE("PX392=",$AT$72), CONCATENATE("DS004=",$B$64), "Fill=B")</f>
        <v>7208.64</v>
      </c>
      <c r="AU111">
        <f ca="1">_xll.BDP($B$51,$C$51,CONCATENATE("PX391=", $AU$71), CONCATENATE("PX392=",$AU$72), CONCATENATE("DS004=",$B$64), "Fill=B")</f>
        <v>14476.33</v>
      </c>
      <c r="AV111">
        <f ca="1">_xll.BDP($B$51,$C$51,CONCATENATE("PX391=", $AV$71), CONCATENATE("PX392=",$AV$72), CONCATENATE("DS004=",$B$64), "Fill=B")</f>
        <v>0</v>
      </c>
      <c r="AW111">
        <f ca="1">_xll.BDP($B$51,$C$51,CONCATENATE("PX391=", $AW$71), CONCATENATE("PX392=",$AW$72), CONCATENATE("DS004=",$B$64), "Fill=B")</f>
        <v>10800</v>
      </c>
      <c r="AX111">
        <f ca="1">_xll.BDP($B$51,$C$51,CONCATENATE("PX391=", $AX$71), CONCATENATE("PX392=",$AX$72), CONCATENATE("DS004=",$B$64), "Fill=B")</f>
        <v>3600</v>
      </c>
      <c r="AY111">
        <f ca="1">_xll.BDP($B$51,$C$51,CONCATENATE("PX391=", $AY$71), CONCATENATE("PX392=",$AY$72), CONCATENATE("DS004=",$B$64), "Fill=B")</f>
        <v>7200</v>
      </c>
      <c r="AZ111">
        <f ca="1">_xll.BDP($B$51,$C$51,CONCATENATE("PX391=", $AZ$71), CONCATENATE("PX392=",$AZ$72), CONCATENATE("DS004=",$B$64), "Fill=B")</f>
        <v>7200</v>
      </c>
      <c r="BA111">
        <f ca="1">_xll.BDP($B$51,$C$51,CONCATENATE("PX391=", $BA$71), CONCATENATE("PX392=",$BA$72), CONCATENATE("DS004=",$B$64), "Fill=B")</f>
        <v>10800</v>
      </c>
      <c r="BB111">
        <f ca="1">_xll.BDP($B$51,$C$51,CONCATENATE("PX391=", $BB$71), CONCATENATE("PX392=",$BB$72), CONCATENATE("DS004=",$B$64), "Fill=B")</f>
        <v>13995.6</v>
      </c>
      <c r="BC111">
        <f ca="1">_xll.BDP($B$51,$C$51,CONCATENATE("PX391=", $BC$71), CONCATENATE("PX392=",$BC$72), CONCATENATE("DS004=",$B$64), "Fill=B")</f>
        <v>14428.68</v>
      </c>
      <c r="BD111">
        <f ca="1">_xll.BDP($B$51,$C$51,CONCATENATE("PX391=", $BD$71), CONCATENATE("PX392=",$BD$72), CONCATENATE("DS004=",$B$64), "Fill=B")</f>
        <v>7218.09</v>
      </c>
      <c r="BE111">
        <f ca="1">_xll.BDP($B$51,$C$51,CONCATENATE("PX391=", $BE$71), CONCATENATE("PX392=",$BE$72), CONCATENATE("DS004=",$B$64), "Fill=B")</f>
        <v>3600</v>
      </c>
      <c r="BF111">
        <f ca="1">_xll.BDP($B$51,$C$51,CONCATENATE("PX391=", $BF$71), CONCATENATE("PX392=",$BF$72), CONCATENATE("DS004=",$B$64), "Fill=B")</f>
        <v>0</v>
      </c>
      <c r="BG111">
        <f ca="1">_xll.BDP($B$51,$C$51,CONCATENATE("PX391=", $BG$71), CONCATENATE("PX392=",$BG$72), CONCATENATE("DS004=",$B$64), "Fill=B")</f>
        <v>9737</v>
      </c>
      <c r="BH111">
        <f ca="1">_xll.BDP($B$51,$C$51,CONCATENATE("PX391=", $BH$71), CONCATENATE("PX392=",$BH$72), CONCATENATE("DS004=",$B$64), "Fill=B")</f>
        <v>7210</v>
      </c>
      <c r="BI111">
        <f ca="1">_xll.BDP($B$51,$C$51,CONCATENATE("PX391=", $BI$71), CONCATENATE("PX392=",$BI$72), CONCATENATE("DS004=",$B$64), "Fill=B")</f>
        <v>3609</v>
      </c>
      <c r="BJ111">
        <f ca="1">_xll.BDP($B$51,$C$51,CONCATENATE("PX391=", $BJ$71), CONCATENATE("PX392=",$BJ$72), CONCATENATE("DS004=",$B$64), "Fill=B")</f>
        <v>3609</v>
      </c>
      <c r="BK111">
        <f ca="1">_xll.BDP($B$51,$C$51,CONCATENATE("PX391=", $BK$71), CONCATENATE("PX392=",$BK$72), CONCATENATE("DS004=",$B$64), "Fill=B")</f>
        <v>7209</v>
      </c>
      <c r="BL111">
        <f ca="1">_xll.BDP($B$51,$C$51,CONCATENATE("PX391=", $BL$71), CONCATENATE("PX392=",$BL$72), CONCATENATE("DS004=",$B$64), "Fill=B")</f>
        <v>20725.16</v>
      </c>
      <c r="BM111">
        <f ca="1">_xll.BDP($B$51,$C$51,CONCATENATE("PX391=", $BM$71), CONCATENATE("PX392=",$BM$72), CONCATENATE("DS004=",$B$64), "Fill=B")</f>
        <v>3609</v>
      </c>
      <c r="BN111">
        <f ca="1">_xll.BDP($B$51,$C$51,CONCATENATE("PX391=", $BN$71), CONCATENATE("PX392=",$BN$72), CONCATENATE("DS004=",$B$64), "Fill=B")</f>
        <v>10812</v>
      </c>
      <c r="BO111">
        <f ca="1">_xll.BDP($B$51,$C$51,CONCATENATE("PX391=", $BO$71), CONCATENATE("PX392=",$BO$72), CONCATENATE("DS004=",$B$64), "Fill=B")</f>
        <v>3600</v>
      </c>
      <c r="BP111">
        <f ca="1">_xll.BDP($B$51,$C$51,CONCATENATE("PX391=", $BP$71), CONCATENATE("PX392=",$BP$72), CONCATENATE("DS004=",$B$64), "Fill=B")</f>
        <v>9212.4</v>
      </c>
      <c r="BQ111">
        <f ca="1">_xll.BDP($B$51,$C$51,CONCATENATE("PX391=", $BQ$71), CONCATENATE("PX392=",$BQ$72), CONCATENATE("DS004=",$B$64), "Fill=B")</f>
        <v>3600</v>
      </c>
      <c r="BR111">
        <f ca="1">_xll.BDP($B$51,$C$51,CONCATENATE("PX391=", $BR$71), CONCATENATE("PX392=",$BR$72), CONCATENATE("DS004=",$B$64), "Fill=B")</f>
        <v>6837.68</v>
      </c>
      <c r="BS111">
        <f ca="1">_xll.BDP($B$51,$C$51,CONCATENATE("PX391=", $BS$71), CONCATENATE("PX392=",$BS$72), CONCATENATE("DS004=",$B$64), "Fill=B")</f>
        <v>3000</v>
      </c>
      <c r="BT111">
        <f ca="1">_xll.BDP($B$51,$C$51,CONCATENATE("PX391=", $BT$71), CONCATENATE("PX392=",$BT$72), CONCATENATE("DS004=",$B$64), "Fill=B")</f>
        <v>0</v>
      </c>
      <c r="BU111">
        <f ca="1">_xll.BDP($B$51,$C$51,CONCATENATE("PX391=", $BU$71), CONCATENATE("PX392=",$BU$72), CONCATENATE("DS004=",$B$64), "Fill=B")</f>
        <v>7210</v>
      </c>
      <c r="BV111">
        <f ca="1">_xll.BDP($B$51,$C$51,CONCATENATE("PX391=", $BV$71), CONCATENATE("PX392=",$BV$72), CONCATENATE("DS004=",$B$64), "Fill=B")</f>
        <v>3000</v>
      </c>
      <c r="BW111">
        <f ca="1">_xll.BDP($B$51,$C$51,CONCATENATE("PX391=", $BW$71), CONCATENATE("PX392=",$BW$72), CONCATENATE("DS004=",$B$64), "Fill=B")</f>
        <v>10418.73</v>
      </c>
      <c r="BX111">
        <f ca="1">_xll.BDP($B$51,$C$51,CONCATENATE("PX391=", $BX$71), CONCATENATE("PX392=",$BX$72), CONCATENATE("DS004=",$B$64), "Fill=B")</f>
        <v>16626</v>
      </c>
      <c r="BY111">
        <f ca="1">_xll.BDP($B$51,$C$51,CONCATENATE("PX391=", $BY$71), CONCATENATE("PX392=",$BY$72), CONCATENATE("DS004=",$B$64), "Fill=B")</f>
        <v>3600</v>
      </c>
      <c r="BZ111">
        <f ca="1">_xll.BDP($B$51,$C$51,CONCATENATE("PX391=", $BZ$71), CONCATENATE("PX392=",$BZ$72), CONCATENATE("DS004=",$B$64), "Fill=B")</f>
        <v>3600</v>
      </c>
      <c r="CA111" t="str">
        <f ca="1">_xll.BDP($B$51,$C$51,CONCATENATE("PX391=", $CA$71), CONCATENATE("PX392=",$CA$72), CONCATENATE("DS004=",$B$64), "Fill=B")</f>
        <v/>
      </c>
      <c r="CB111" t="str">
        <f ca="1">_xll.BDP($B$51,$C$51,CONCATENATE("PX391=", $CB$71), CONCATENATE("PX392=",$CB$72), CONCATENATE("DS004=",$B$64), "Fill=B")</f>
        <v/>
      </c>
      <c r="CC111">
        <f ca="1">_xll.BDP($B$51,$C$51,CONCATENATE("PX391=", $CC$71), CONCATENATE("PX392=",$CC$72), CONCATENATE("DS004=",$B$64), "Fill=B")</f>
        <v>0</v>
      </c>
      <c r="CD111">
        <f ca="1">_xll.BDP($B$51,$C$51,CONCATENATE("PX391=", $CD$71), CONCATENATE("PX392=",$CD$72), CONCATENATE("DS004=",$B$64), "Fill=B")</f>
        <v>7200</v>
      </c>
      <c r="CE111">
        <f ca="1">_xll.BDP($B$51,$C$51,CONCATENATE("PX391=", $CE$71), CONCATENATE("PX392=",$CE$72), CONCATENATE("DS004=",$B$64), "Fill=B")</f>
        <v>3600</v>
      </c>
      <c r="CF111">
        <f ca="1">_xll.BDP($B$51,$C$51,CONCATENATE("PX391=", $CF$71), CONCATENATE("PX392=",$CF$72), CONCATENATE("DS004=",$B$64), "Fill=B")</f>
        <v>7200</v>
      </c>
      <c r="CG111">
        <f ca="1">_xll.BDP($B$51,$C$51,CONCATENATE("PX391=", $CG$71), CONCATENATE("PX392=",$CG$72), CONCATENATE("DS004=",$B$64), "Fill=B")</f>
        <v>3600</v>
      </c>
      <c r="CH111">
        <f ca="1">_xll.BDP($B$51,$C$51,CONCATENATE("PX391=", $CH$71), CONCATENATE("PX392=",$CH$72), CONCATENATE("DS004=",$B$64), "Fill=B")</f>
        <v>0</v>
      </c>
      <c r="CI111">
        <f ca="1">_xll.BDP($B$51,$C$51,CONCATENATE("PX391=", $CI$71), CONCATENATE("PX392=",$CI$72), CONCATENATE("DS004=",$B$64), "Fill=B")</f>
        <v>3600</v>
      </c>
      <c r="CJ111">
        <f ca="1">_xll.BDP($B$51,$C$51,CONCATENATE("PX391=", $CJ$71), CONCATENATE("PX392=",$CJ$72), CONCATENATE("DS004=",$B$64), "Fill=B")</f>
        <v>3600</v>
      </c>
      <c r="CK111">
        <f ca="1">_xll.BDP($B$51,$C$51,CONCATENATE("PX391=", $CK$71), CONCATENATE("PX392=",$CK$72), CONCATENATE("DS004=",$B$64), "Fill=B")</f>
        <v>3600</v>
      </c>
      <c r="CL111" t="str">
        <f>""</f>
        <v/>
      </c>
      <c r="CM111" t="str">
        <f>""</f>
        <v/>
      </c>
      <c r="CN111" t="str">
        <f>""</f>
        <v/>
      </c>
      <c r="CO111" t="str">
        <f>""</f>
        <v/>
      </c>
      <c r="CP111" t="str">
        <f>""</f>
        <v/>
      </c>
      <c r="CQ111" t="str">
        <f>""</f>
        <v/>
      </c>
      <c r="CR111" t="str">
        <f>""</f>
        <v/>
      </c>
      <c r="CS111" t="str">
        <f>""</f>
        <v/>
      </c>
      <c r="CT111" t="str">
        <f>""</f>
        <v/>
      </c>
      <c r="CU111" t="str">
        <f>""</f>
        <v/>
      </c>
      <c r="CV111" t="str">
        <f>""</f>
        <v/>
      </c>
      <c r="CW111" t="str">
        <f>""</f>
        <v/>
      </c>
      <c r="CX111" t="str">
        <f>""</f>
        <v/>
      </c>
      <c r="CY111" t="str">
        <f>""</f>
        <v/>
      </c>
      <c r="CZ111" t="str">
        <f>""</f>
        <v/>
      </c>
      <c r="DA111" t="str">
        <f>""</f>
        <v/>
      </c>
      <c r="DB111" t="str">
        <f>""</f>
        <v/>
      </c>
      <c r="DC111" t="str">
        <f>""</f>
        <v/>
      </c>
      <c r="DD111" t="str">
        <f>""</f>
        <v/>
      </c>
      <c r="DE111" t="str">
        <f>""</f>
        <v/>
      </c>
      <c r="DF111" t="str">
        <f>""</f>
        <v/>
      </c>
      <c r="DG111" t="str">
        <f>""</f>
        <v/>
      </c>
      <c r="DH111" t="str">
        <f>""</f>
        <v/>
      </c>
      <c r="DI111" t="str">
        <f>""</f>
        <v/>
      </c>
      <c r="DJ111" t="str">
        <f>""</f>
        <v/>
      </c>
      <c r="DK111" t="str">
        <f>""</f>
        <v/>
      </c>
      <c r="DL111" t="str">
        <f>""</f>
        <v/>
      </c>
      <c r="DM111" t="str">
        <f>""</f>
        <v/>
      </c>
      <c r="DN111" t="str">
        <f>""</f>
        <v/>
      </c>
      <c r="DO111" t="str">
        <f>""</f>
        <v/>
      </c>
      <c r="DP111" t="str">
        <f>""</f>
        <v/>
      </c>
      <c r="DQ111" t="str">
        <f>""</f>
        <v/>
      </c>
      <c r="DR111" t="str">
        <f>""</f>
        <v/>
      </c>
      <c r="DS111" t="str">
        <f>""</f>
        <v/>
      </c>
      <c r="DT111" t="str">
        <f>""</f>
        <v/>
      </c>
      <c r="DU111" t="str">
        <f>""</f>
        <v/>
      </c>
      <c r="DV111" t="str">
        <f>""</f>
        <v/>
      </c>
      <c r="DW111" t="str">
        <f>""</f>
        <v/>
      </c>
      <c r="DX111" t="str">
        <f>""</f>
        <v/>
      </c>
      <c r="DY111" t="str">
        <f>""</f>
        <v/>
      </c>
      <c r="DZ111" t="str">
        <f>""</f>
        <v/>
      </c>
      <c r="EA111" t="str">
        <f>""</f>
        <v/>
      </c>
      <c r="EB111" t="str">
        <f>""</f>
        <v/>
      </c>
      <c r="EC111" t="str">
        <f>""</f>
        <v/>
      </c>
      <c r="ED111" t="str">
        <f>""</f>
        <v/>
      </c>
      <c r="EE111" t="str">
        <f>""</f>
        <v/>
      </c>
      <c r="EF111" t="str">
        <f>""</f>
        <v/>
      </c>
      <c r="EG111" t="str">
        <f>""</f>
        <v/>
      </c>
      <c r="EH111" t="str">
        <f>""</f>
        <v/>
      </c>
      <c r="EI111" t="str">
        <f>""</f>
        <v/>
      </c>
      <c r="EJ111" t="str">
        <f>""</f>
        <v/>
      </c>
      <c r="EK111" t="str">
        <f>""</f>
        <v/>
      </c>
      <c r="EL111" t="str">
        <f>""</f>
        <v/>
      </c>
      <c r="EM111" t="str">
        <f>""</f>
        <v/>
      </c>
      <c r="EN111" t="str">
        <f>""</f>
        <v/>
      </c>
      <c r="EO111" t="str">
        <f>""</f>
        <v/>
      </c>
      <c r="EP111" t="str">
        <f>""</f>
        <v/>
      </c>
      <c r="EQ111" t="str">
        <f>""</f>
        <v/>
      </c>
      <c r="ER111" t="str">
        <f>""</f>
        <v/>
      </c>
      <c r="ES111" t="str">
        <f>""</f>
        <v/>
      </c>
      <c r="ET111" t="str">
        <f>""</f>
        <v/>
      </c>
      <c r="EU111" t="str">
        <f>""</f>
        <v/>
      </c>
      <c r="EV111" t="str">
        <f>""</f>
        <v/>
      </c>
      <c r="EW111" t="str">
        <f>""</f>
        <v/>
      </c>
      <c r="EX111" t="str">
        <f>""</f>
        <v/>
      </c>
      <c r="EY111" t="str">
        <f>""</f>
        <v/>
      </c>
      <c r="EZ111" t="str">
        <f>""</f>
        <v/>
      </c>
      <c r="FA111" t="str">
        <f>""</f>
        <v/>
      </c>
      <c r="FB111" t="str">
        <f>""</f>
        <v/>
      </c>
      <c r="FC111" t="str">
        <f>""</f>
        <v/>
      </c>
      <c r="FD111" t="str">
        <f>""</f>
        <v/>
      </c>
      <c r="FE111" t="str">
        <f>""</f>
        <v/>
      </c>
      <c r="FF111" t="str">
        <f>""</f>
        <v/>
      </c>
      <c r="FG111" t="str">
        <f>""</f>
        <v/>
      </c>
      <c r="FH111" t="str">
        <f>""</f>
        <v/>
      </c>
      <c r="FI111" t="str">
        <f>""</f>
        <v/>
      </c>
      <c r="FJ111" t="str">
        <f>""</f>
        <v/>
      </c>
      <c r="FK111" t="str">
        <f>""</f>
        <v/>
      </c>
      <c r="FL111" t="str">
        <f>""</f>
        <v/>
      </c>
      <c r="FM111" t="str">
        <f>""</f>
        <v/>
      </c>
      <c r="FN111" t="str">
        <f>""</f>
        <v/>
      </c>
      <c r="FO111" t="str">
        <f>""</f>
        <v/>
      </c>
      <c r="FP111" t="str">
        <f>""</f>
        <v/>
      </c>
      <c r="FQ111" t="str">
        <f>""</f>
        <v/>
      </c>
    </row>
    <row r="112" spans="1:173" x14ac:dyDescent="0.25">
      <c r="A112" t="str">
        <f>$A$52</f>
        <v>Port Hedland Cargo Statistics - Australia Port Hedland Total Imports (tonnes) - General Cargo Imports (tonnes)</v>
      </c>
      <c r="B112" t="str">
        <f>$B$52</f>
        <v>AHEDIMGE Index</v>
      </c>
      <c r="C112" t="str">
        <f>$C$52</f>
        <v>PX385</v>
      </c>
      <c r="D112" t="str">
        <f>$D$52</f>
        <v>INTERVAL_SUM</v>
      </c>
      <c r="E112" t="str">
        <f>$E$52</f>
        <v>Dynamic</v>
      </c>
      <c r="F112" t="str">
        <f ca="1">_xll.BDP($B$52,$C$52,CONCATENATE("PX391=", $F$71), CONCATENATE("PX392=",$F$72), CONCATENATE("DS004=",$B$64), "Fill=B")</f>
        <v/>
      </c>
      <c r="G112" t="str">
        <f ca="1">_xll.BDP($B$52,$C$52,CONCATENATE("PX391=", $G$71), CONCATENATE("PX392=",$G$72), CONCATENATE("DS004=",$B$64), "Fill=B")</f>
        <v/>
      </c>
      <c r="H112">
        <f ca="1">_xll.BDP($B$52,$C$52,CONCATENATE("PX391=", $H$71), CONCATENATE("PX392=",$H$72), CONCATENATE("DS004=",$B$64), "Fill=B")</f>
        <v>33080.94</v>
      </c>
      <c r="I112">
        <f ca="1">_xll.BDP($B$52,$C$52,CONCATENATE("PX391=", $I$71), CONCATENATE("PX392=",$I$72), CONCATENATE("DS004=",$B$64), "Fill=B")</f>
        <v>6595.65</v>
      </c>
      <c r="J112">
        <f ca="1">_xll.BDP($B$52,$C$52,CONCATENATE("PX391=", $J$71), CONCATENATE("PX392=",$J$72), CONCATENATE("DS004=",$B$64), "Fill=B")</f>
        <v>33622.79</v>
      </c>
      <c r="K112">
        <f ca="1">_xll.BDP($B$52,$C$52,CONCATENATE("PX391=", $K$71), CONCATENATE("PX392=",$K$72), CONCATENATE("DS004=",$B$64), "Fill=B")</f>
        <v>1732.47</v>
      </c>
      <c r="L112">
        <f ca="1">_xll.BDP($B$52,$C$52,CONCATENATE("PX391=", $L$71), CONCATENATE("PX392=",$L$72), CONCATENATE("DS004=",$B$64), "Fill=B")</f>
        <v>26907.67</v>
      </c>
      <c r="M112">
        <f ca="1">_xll.BDP($B$52,$C$52,CONCATENATE("PX391=", $M$71), CONCATENATE("PX392=",$M$72), CONCATENATE("DS004=",$B$64), "Fill=B")</f>
        <v>1612.81</v>
      </c>
      <c r="N112">
        <f ca="1">_xll.BDP($B$52,$C$52,CONCATENATE("PX391=", $N$71), CONCATENATE("PX392=",$N$72), CONCATENATE("DS004=",$B$64), "Fill=B")</f>
        <v>12808.01</v>
      </c>
      <c r="O112">
        <f ca="1">_xll.BDP($B$52,$C$52,CONCATENATE("PX391=", $O$71), CONCATENATE("PX392=",$O$72), CONCATENATE("DS004=",$B$64), "Fill=B")</f>
        <v>19562.55</v>
      </c>
      <c r="P112">
        <f ca="1">_xll.BDP($B$52,$C$52,CONCATENATE("PX391=", $P$71), CONCATENATE("PX392=",$P$72), CONCATENATE("DS004=",$B$64), "Fill=B")</f>
        <v>13246.73</v>
      </c>
      <c r="Q112">
        <f ca="1">_xll.BDP($B$52,$C$52,CONCATENATE("PX391=", $Q$71), CONCATENATE("PX392=",$Q$72), CONCATENATE("DS004=",$B$64), "Fill=B")</f>
        <v>15588.5</v>
      </c>
      <c r="R112">
        <f ca="1">_xll.BDP($B$52,$C$52,CONCATENATE("PX391=", $R$71), CONCATENATE("PX392=",$R$72), CONCATENATE("DS004=",$B$64), "Fill=B")</f>
        <v>1490.81</v>
      </c>
      <c r="S112">
        <f ca="1">_xll.BDP($B$52,$C$52,CONCATENATE("PX391=", $S$71), CONCATENATE("PX392=",$S$72), CONCATENATE("DS004=",$B$64), "Fill=B")</f>
        <v>30754.39</v>
      </c>
      <c r="T112">
        <f ca="1">_xll.BDP($B$52,$C$52,CONCATENATE("PX391=", $T$71), CONCATENATE("PX392=",$T$72), CONCATENATE("DS004=",$B$64), "Fill=B")</f>
        <v>8015.59</v>
      </c>
      <c r="U112">
        <f ca="1">_xll.BDP($B$52,$C$52,CONCATENATE("PX391=", $U$71), CONCATENATE("PX392=",$U$72), CONCATENATE("DS004=",$B$64), "Fill=B")</f>
        <v>4391.95</v>
      </c>
      <c r="V112">
        <f ca="1">_xll.BDP($B$52,$C$52,CONCATENATE("PX391=", $V$71), CONCATENATE("PX392=",$V$72), CONCATENATE("DS004=",$B$64), "Fill=B")</f>
        <v>16204.68</v>
      </c>
      <c r="W112">
        <f ca="1">_xll.BDP($B$52,$C$52,CONCATENATE("PX391=", $W$71), CONCATENATE("PX392=",$W$72), CONCATENATE("DS004=",$B$64), "Fill=B")</f>
        <v>45519.67</v>
      </c>
      <c r="X112">
        <f ca="1">_xll.BDP($B$52,$C$52,CONCATENATE("PX391=", $X$71), CONCATENATE("PX392=",$X$72), CONCATENATE("DS004=",$B$64), "Fill=B")</f>
        <v>16193.67</v>
      </c>
      <c r="Y112">
        <f ca="1">_xll.BDP($B$52,$C$52,CONCATENATE("PX391=", $Y$71), CONCATENATE("PX392=",$Y$72), CONCATENATE("DS004=",$B$64), "Fill=B")</f>
        <v>35370.19</v>
      </c>
      <c r="Z112">
        <f ca="1">_xll.BDP($B$52,$C$52,CONCATENATE("PX391=", $Z$71), CONCATENATE("PX392=",$Z$72), CONCATENATE("DS004=",$B$64), "Fill=B")</f>
        <v>7402.41</v>
      </c>
      <c r="AA112">
        <f ca="1">_xll.BDP($B$52,$C$52,CONCATENATE("PX391=", $AA$71), CONCATENATE("PX392=",$AA$72), CONCATENATE("DS004=",$B$64), "Fill=B")</f>
        <v>7437.83</v>
      </c>
      <c r="AB112">
        <f ca="1">_xll.BDP($B$52,$C$52,CONCATENATE("PX391=", $AB$71), CONCATENATE("PX392=",$AB$72), CONCATENATE("DS004=",$B$64), "Fill=B")</f>
        <v>19202.53</v>
      </c>
      <c r="AC112">
        <f ca="1">_xll.BDP($B$52,$C$52,CONCATENATE("PX391=", $AC$71), CONCATENATE("PX392=",$AC$72), CONCATENATE("DS004=",$B$64), "Fill=B")</f>
        <v>34309.26</v>
      </c>
      <c r="AD112">
        <f ca="1">_xll.BDP($B$52,$C$52,CONCATENATE("PX391=", $AD$71), CONCATENATE("PX392=",$AD$72), CONCATENATE("DS004=",$B$64), "Fill=B")</f>
        <v>37166.44</v>
      </c>
      <c r="AE112">
        <f ca="1">_xll.BDP($B$52,$C$52,CONCATENATE("PX391=", $AE$71), CONCATENATE("PX392=",$AE$72), CONCATENATE("DS004=",$B$64), "Fill=B")</f>
        <v>25465.59</v>
      </c>
      <c r="AF112">
        <f ca="1">_xll.BDP($B$52,$C$52,CONCATENATE("PX391=", $AF$71), CONCATENATE("PX392=",$AF$72), CONCATENATE("DS004=",$B$64), "Fill=B")</f>
        <v>18442.919999999998</v>
      </c>
      <c r="AG112">
        <f ca="1">_xll.BDP($B$52,$C$52,CONCATENATE("PX391=", $AG$71), CONCATENATE("PX392=",$AG$72), CONCATENATE("DS004=",$B$64), "Fill=B")</f>
        <v>12398.55</v>
      </c>
      <c r="AH112">
        <f ca="1">_xll.BDP($B$52,$C$52,CONCATENATE("PX391=", $AH$71), CONCATENATE("PX392=",$AH$72), CONCATENATE("DS004=",$B$64), "Fill=B")</f>
        <v>25973.33</v>
      </c>
      <c r="AI112">
        <f ca="1">_xll.BDP($B$52,$C$52,CONCATENATE("PX391=", $AI$71), CONCATENATE("PX392=",$AI$72), CONCATENATE("DS004=",$B$64), "Fill=B")</f>
        <v>28062.66</v>
      </c>
      <c r="AJ112">
        <f ca="1">_xll.BDP($B$52,$C$52,CONCATENATE("PX391=", $AJ$71), CONCATENATE("PX392=",$AJ$72), CONCATENATE("DS004=",$B$64), "Fill=B")</f>
        <v>2967.2</v>
      </c>
      <c r="AK112">
        <f ca="1">_xll.BDP($B$52,$C$52,CONCATENATE("PX391=", $AK$71), CONCATENATE("PX392=",$AK$72), CONCATENATE("DS004=",$B$64), "Fill=B")</f>
        <v>37758.839999999997</v>
      </c>
      <c r="AL112">
        <f ca="1">_xll.BDP($B$52,$C$52,CONCATENATE("PX391=", $AL$71), CONCATENATE("PX392=",$AL$72), CONCATENATE("DS004=",$B$64), "Fill=B")</f>
        <v>29891.33</v>
      </c>
      <c r="AM112">
        <f ca="1">_xll.BDP($B$52,$C$52,CONCATENATE("PX391=", $AM$71), CONCATENATE("PX392=",$AM$72), CONCATENATE("DS004=",$B$64), "Fill=B")</f>
        <v>30937.98</v>
      </c>
      <c r="AN112">
        <f ca="1">_xll.BDP($B$52,$C$52,CONCATENATE("PX391=", $AN$71), CONCATENATE("PX392=",$AN$72), CONCATENATE("DS004=",$B$64), "Fill=B")</f>
        <v>24886.83</v>
      </c>
      <c r="AO112">
        <f ca="1">_xll.BDP($B$52,$C$52,CONCATENATE("PX391=", $AO$71), CONCATENATE("PX392=",$AO$72), CONCATENATE("DS004=",$B$64), "Fill=B")</f>
        <v>32054.33</v>
      </c>
      <c r="AP112">
        <f ca="1">_xll.BDP($B$52,$C$52,CONCATENATE("PX391=", $AP$71), CONCATENATE("PX392=",$AP$72), CONCATENATE("DS004=",$B$64), "Fill=B")</f>
        <v>18672.45</v>
      </c>
      <c r="AQ112">
        <f ca="1">_xll.BDP($B$52,$C$52,CONCATENATE("PX391=", $AQ$71), CONCATENATE("PX392=",$AQ$72), CONCATENATE("DS004=",$B$64), "Fill=B")</f>
        <v>37112.58</v>
      </c>
      <c r="AR112">
        <f ca="1">_xll.BDP($B$52,$C$52,CONCATENATE("PX391=", $AR$71), CONCATENATE("PX392=",$AR$72), CONCATENATE("DS004=",$B$64), "Fill=B")</f>
        <v>21090.74</v>
      </c>
      <c r="AS112">
        <f ca="1">_xll.BDP($B$52,$C$52,CONCATENATE("PX391=", $AS$71), CONCATENATE("PX392=",$AS$72), CONCATENATE("DS004=",$B$64), "Fill=B")</f>
        <v>18590.689999999999</v>
      </c>
      <c r="AT112">
        <f ca="1">_xll.BDP($B$52,$C$52,CONCATENATE("PX391=", $AT$71), CONCATENATE("PX392=",$AT$72), CONCATENATE("DS004=",$B$64), "Fill=B")</f>
        <v>20266.25</v>
      </c>
      <c r="AU112">
        <f ca="1">_xll.BDP($B$52,$C$52,CONCATENATE("PX391=", $AU$71), CONCATENATE("PX392=",$AU$72), CONCATENATE("DS004=",$B$64), "Fill=B")</f>
        <v>25146.09</v>
      </c>
      <c r="AV112">
        <f ca="1">_xll.BDP($B$52,$C$52,CONCATENATE("PX391=", $AV$71), CONCATENATE("PX392=",$AV$72), CONCATENATE("DS004=",$B$64), "Fill=B")</f>
        <v>25732.67</v>
      </c>
      <c r="AW112">
        <f ca="1">_xll.BDP($B$52,$C$52,CONCATENATE("PX391=", $AW$71), CONCATENATE("PX392=",$AW$72), CONCATENATE("DS004=",$B$64), "Fill=B")</f>
        <v>13820.54</v>
      </c>
      <c r="AX112">
        <f ca="1">_xll.BDP($B$52,$C$52,CONCATENATE("PX391=", $AX$71), CONCATENATE("PX392=",$AX$72), CONCATENATE("DS004=",$B$64), "Fill=B")</f>
        <v>10015.83</v>
      </c>
      <c r="AY112">
        <f ca="1">_xll.BDP($B$52,$C$52,CONCATENATE("PX391=", $AY$71), CONCATENATE("PX392=",$AY$72), CONCATENATE("DS004=",$B$64), "Fill=B")</f>
        <v>7303.55</v>
      </c>
      <c r="AZ112">
        <f ca="1">_xll.BDP($B$52,$C$52,CONCATENATE("PX391=", $AZ$71), CONCATENATE("PX392=",$AZ$72), CONCATENATE("DS004=",$B$64), "Fill=B")</f>
        <v>20480.39</v>
      </c>
      <c r="BA112">
        <f ca="1">_xll.BDP($B$52,$C$52,CONCATENATE("PX391=", $BA$71), CONCATENATE("PX392=",$BA$72), CONCATENATE("DS004=",$B$64), "Fill=B")</f>
        <v>12581.84</v>
      </c>
      <c r="BB112">
        <f ca="1">_xll.BDP($B$52,$C$52,CONCATENATE("PX391=", $BB$71), CONCATENATE("PX392=",$BB$72), CONCATENATE("DS004=",$B$64), "Fill=B")</f>
        <v>25115.58</v>
      </c>
      <c r="BC112">
        <f ca="1">_xll.BDP($B$52,$C$52,CONCATENATE("PX391=", $BC$71), CONCATENATE("PX392=",$BC$72), CONCATENATE("DS004=",$B$64), "Fill=B")</f>
        <v>4835</v>
      </c>
      <c r="BD112">
        <f ca="1">_xll.BDP($B$52,$C$52,CONCATENATE("PX391=", $BD$71), CONCATENATE("PX392=",$BD$72), CONCATENATE("DS004=",$B$64), "Fill=B")</f>
        <v>23353.68</v>
      </c>
      <c r="BE112">
        <f ca="1">_xll.BDP($B$52,$C$52,CONCATENATE("PX391=", $BE$71), CONCATENATE("PX392=",$BE$72), CONCATENATE("DS004=",$B$64), "Fill=B")</f>
        <v>20581.990000000002</v>
      </c>
      <c r="BF112">
        <f ca="1">_xll.BDP($B$52,$C$52,CONCATENATE("PX391=", $BF$71), CONCATENATE("PX392=",$BF$72), CONCATENATE("DS004=",$B$64), "Fill=B")</f>
        <v>17859.23</v>
      </c>
      <c r="BG112">
        <f ca="1">_xll.BDP($B$52,$C$52,CONCATENATE("PX391=", $BG$71), CONCATENATE("PX392=",$BG$72), CONCATENATE("DS004=",$B$64), "Fill=B")</f>
        <v>10924.5</v>
      </c>
      <c r="BH112">
        <f ca="1">_xll.BDP($B$52,$C$52,CONCATENATE("PX391=", $BH$71), CONCATENATE("PX392=",$BH$72), CONCATENATE("DS004=",$B$64), "Fill=B")</f>
        <v>17745.09</v>
      </c>
      <c r="BI112">
        <f ca="1">_xll.BDP($B$52,$C$52,CONCATENATE("PX391=", $BI$71), CONCATENATE("PX392=",$BI$72), CONCATENATE("DS004=",$B$64), "Fill=B")</f>
        <v>27727.01</v>
      </c>
      <c r="BJ112">
        <f ca="1">_xll.BDP($B$52,$C$52,CONCATENATE("PX391=", $BJ$71), CONCATENATE("PX392=",$BJ$72), CONCATENATE("DS004=",$B$64), "Fill=B")</f>
        <v>5692.28</v>
      </c>
      <c r="BK112">
        <f ca="1">_xll.BDP($B$52,$C$52,CONCATENATE("PX391=", $BK$71), CONCATENATE("PX392=",$BK$72), CONCATENATE("DS004=",$B$64), "Fill=B")</f>
        <v>12540.15</v>
      </c>
      <c r="BL112">
        <f ca="1">_xll.BDP($B$52,$C$52,CONCATENATE("PX391=", $BL$71), CONCATENATE("PX392=",$BL$72), CONCATENATE("DS004=",$B$64), "Fill=B")</f>
        <v>11542.63</v>
      </c>
      <c r="BM112">
        <f ca="1">_xll.BDP($B$52,$C$52,CONCATENATE("PX391=", $BM$71), CONCATENATE("PX392=",$BM$72), CONCATENATE("DS004=",$B$64), "Fill=B")</f>
        <v>6676</v>
      </c>
      <c r="BN112">
        <f ca="1">_xll.BDP($B$52,$C$52,CONCATENATE("PX391=", $BN$71), CONCATENATE("PX392=",$BN$72), CONCATENATE("DS004=",$B$64), "Fill=B")</f>
        <v>615.23</v>
      </c>
      <c r="BO112">
        <f ca="1">_xll.BDP($B$52,$C$52,CONCATENATE("PX391=", $BO$71), CONCATENATE("PX392=",$BO$72), CONCATENATE("DS004=",$B$64), "Fill=B")</f>
        <v>22590.76</v>
      </c>
      <c r="BP112">
        <f ca="1">_xll.BDP($B$52,$C$52,CONCATENATE("PX391=", $BP$71), CONCATENATE("PX392=",$BP$72), CONCATENATE("DS004=",$B$64), "Fill=B")</f>
        <v>10821.89</v>
      </c>
      <c r="BQ112">
        <f ca="1">_xll.BDP($B$52,$C$52,CONCATENATE("PX391=", $BQ$71), CONCATENATE("PX392=",$BQ$72), CONCATENATE("DS004=",$B$64), "Fill=B")</f>
        <v>1937.7</v>
      </c>
      <c r="BR112">
        <f ca="1">_xll.BDP($B$52,$C$52,CONCATENATE("PX391=", $BR$71), CONCATENATE("PX392=",$BR$72), CONCATENATE("DS004=",$B$64), "Fill=B")</f>
        <v>17836.810000000001</v>
      </c>
      <c r="BS112">
        <f ca="1">_xll.BDP($B$52,$C$52,CONCATENATE("PX391=", $BS$71), CONCATENATE("PX392=",$BS$72), CONCATENATE("DS004=",$B$64), "Fill=B")</f>
        <v>14362.87</v>
      </c>
      <c r="BT112">
        <f ca="1">_xll.BDP($B$52,$C$52,CONCATENATE("PX391=", $BT$71), CONCATENATE("PX392=",$BT$72), CONCATENATE("DS004=",$B$64), "Fill=B")</f>
        <v>8718.83</v>
      </c>
      <c r="BU112">
        <f ca="1">_xll.BDP($B$52,$C$52,CONCATENATE("PX391=", $BU$71), CONCATENATE("PX392=",$BU$72), CONCATENATE("DS004=",$B$64), "Fill=B")</f>
        <v>6886.7</v>
      </c>
      <c r="BV112">
        <f ca="1">_xll.BDP($B$52,$C$52,CONCATENATE("PX391=", $BV$71), CONCATENATE("PX392=",$BV$72), CONCATENATE("DS004=",$B$64), "Fill=B")</f>
        <v>21877.95</v>
      </c>
      <c r="BW112">
        <f ca="1">_xll.BDP($B$52,$C$52,CONCATENATE("PX391=", $BW$71), CONCATENATE("PX392=",$BW$72), CONCATENATE("DS004=",$B$64), "Fill=B")</f>
        <v>5183.91</v>
      </c>
      <c r="BX112">
        <f ca="1">_xll.BDP($B$52,$C$52,CONCATENATE("PX391=", $BX$71), CONCATENATE("PX392=",$BX$72), CONCATENATE("DS004=",$B$64), "Fill=B")</f>
        <v>949.23</v>
      </c>
      <c r="BY112">
        <f ca="1">_xll.BDP($B$52,$C$52,CONCATENATE("PX391=", $BY$71), CONCATENATE("PX392=",$BY$72), CONCATENATE("DS004=",$B$64), "Fill=B")</f>
        <v>14466.14</v>
      </c>
      <c r="BZ112">
        <f ca="1">_xll.BDP($B$52,$C$52,CONCATENATE("PX391=", $BZ$71), CONCATENATE("PX392=",$BZ$72), CONCATENATE("DS004=",$B$64), "Fill=B")</f>
        <v>3993.37</v>
      </c>
      <c r="CA112">
        <f ca="1">_xll.BDP($B$52,$C$52,CONCATENATE("PX391=", $CA$71), CONCATENATE("PX392=",$CA$72), CONCATENATE("DS004=",$B$64), "Fill=B")</f>
        <v>17899.57</v>
      </c>
      <c r="CB112">
        <f ca="1">_xll.BDP($B$52,$C$52,CONCATENATE("PX391=", $CB$71), CONCATENATE("PX392=",$CB$72), CONCATENATE("DS004=",$B$64), "Fill=B")</f>
        <v>984.48</v>
      </c>
      <c r="CC112">
        <f ca="1">_xll.BDP($B$52,$C$52,CONCATENATE("PX391=", $CC$71), CONCATENATE("PX392=",$CC$72), CONCATENATE("DS004=",$B$64), "Fill=B")</f>
        <v>2032.3</v>
      </c>
      <c r="CD112">
        <f ca="1">_xll.BDP($B$52,$C$52,CONCATENATE("PX391=", $CD$71), CONCATENATE("PX392=",$CD$72), CONCATENATE("DS004=",$B$64), "Fill=B")</f>
        <v>8245.5</v>
      </c>
      <c r="CE112">
        <f ca="1">_xll.BDP($B$52,$C$52,CONCATENATE("PX391=", $CE$71), CONCATENATE("PX392=",$CE$72), CONCATENATE("DS004=",$B$64), "Fill=B")</f>
        <v>15262.52</v>
      </c>
      <c r="CF112">
        <f ca="1">_xll.BDP($B$52,$C$52,CONCATENATE("PX391=", $CF$71), CONCATENATE("PX392=",$CF$72), CONCATENATE("DS004=",$B$64), "Fill=B")</f>
        <v>16055.41</v>
      </c>
      <c r="CG112">
        <f ca="1">_xll.BDP($B$52,$C$52,CONCATENATE("PX391=", $CG$71), CONCATENATE("PX392=",$CG$72), CONCATENATE("DS004=",$B$64), "Fill=B")</f>
        <v>13833.53</v>
      </c>
      <c r="CH112">
        <f ca="1">_xll.BDP($B$52,$C$52,CONCATENATE("PX391=", $CH$71), CONCATENATE("PX392=",$CH$72), CONCATENATE("DS004=",$B$64), "Fill=B")</f>
        <v>13078.13</v>
      </c>
      <c r="CI112">
        <f ca="1">_xll.BDP($B$52,$C$52,CONCATENATE("PX391=", $CI$71), CONCATENATE("PX392=",$CI$72), CONCATENATE("DS004=",$B$64), "Fill=B")</f>
        <v>12336.11</v>
      </c>
      <c r="CJ112">
        <f ca="1">_xll.BDP($B$52,$C$52,CONCATENATE("PX391=", $CJ$71), CONCATENATE("PX392=",$CJ$72), CONCATENATE("DS004=",$B$64), "Fill=B")</f>
        <v>11473.19</v>
      </c>
      <c r="CK112">
        <f ca="1">_xll.BDP($B$52,$C$52,CONCATENATE("PX391=", $CK$71), CONCATENATE("PX392=",$CK$72), CONCATENATE("DS004=",$B$64), "Fill=B")</f>
        <v>17430.25</v>
      </c>
      <c r="CL112" t="str">
        <f>""</f>
        <v/>
      </c>
      <c r="CM112" t="str">
        <f>""</f>
        <v/>
      </c>
      <c r="CN112" t="str">
        <f>""</f>
        <v/>
      </c>
      <c r="CO112" t="str">
        <f>""</f>
        <v/>
      </c>
      <c r="CP112" t="str">
        <f>""</f>
        <v/>
      </c>
      <c r="CQ112" t="str">
        <f>""</f>
        <v/>
      </c>
      <c r="CR112" t="str">
        <f>""</f>
        <v/>
      </c>
      <c r="CS112" t="str">
        <f>""</f>
        <v/>
      </c>
      <c r="CT112" t="str">
        <f>""</f>
        <v/>
      </c>
      <c r="CU112" t="str">
        <f>""</f>
        <v/>
      </c>
      <c r="CV112" t="str">
        <f>""</f>
        <v/>
      </c>
      <c r="CW112" t="str">
        <f>""</f>
        <v/>
      </c>
      <c r="CX112" t="str">
        <f>""</f>
        <v/>
      </c>
      <c r="CY112" t="str">
        <f>""</f>
        <v/>
      </c>
      <c r="CZ112" t="str">
        <f>""</f>
        <v/>
      </c>
      <c r="DA112" t="str">
        <f>""</f>
        <v/>
      </c>
      <c r="DB112" t="str">
        <f>""</f>
        <v/>
      </c>
      <c r="DC112" t="str">
        <f>""</f>
        <v/>
      </c>
      <c r="DD112" t="str">
        <f>""</f>
        <v/>
      </c>
      <c r="DE112" t="str">
        <f>""</f>
        <v/>
      </c>
      <c r="DF112" t="str">
        <f>""</f>
        <v/>
      </c>
      <c r="DG112" t="str">
        <f>""</f>
        <v/>
      </c>
      <c r="DH112" t="str">
        <f>""</f>
        <v/>
      </c>
      <c r="DI112" t="str">
        <f>""</f>
        <v/>
      </c>
      <c r="DJ112" t="str">
        <f>""</f>
        <v/>
      </c>
      <c r="DK112" t="str">
        <f>""</f>
        <v/>
      </c>
      <c r="DL112" t="str">
        <f>""</f>
        <v/>
      </c>
      <c r="DM112" t="str">
        <f>""</f>
        <v/>
      </c>
      <c r="DN112" t="str">
        <f>""</f>
        <v/>
      </c>
      <c r="DO112" t="str">
        <f>""</f>
        <v/>
      </c>
      <c r="DP112" t="str">
        <f>""</f>
        <v/>
      </c>
      <c r="DQ112" t="str">
        <f>""</f>
        <v/>
      </c>
      <c r="DR112" t="str">
        <f>""</f>
        <v/>
      </c>
      <c r="DS112" t="str">
        <f>""</f>
        <v/>
      </c>
      <c r="DT112" t="str">
        <f>""</f>
        <v/>
      </c>
      <c r="DU112" t="str">
        <f>""</f>
        <v/>
      </c>
      <c r="DV112" t="str">
        <f>""</f>
        <v/>
      </c>
      <c r="DW112" t="str">
        <f>""</f>
        <v/>
      </c>
      <c r="DX112" t="str">
        <f>""</f>
        <v/>
      </c>
      <c r="DY112" t="str">
        <f>""</f>
        <v/>
      </c>
      <c r="DZ112" t="str">
        <f>""</f>
        <v/>
      </c>
      <c r="EA112" t="str">
        <f>""</f>
        <v/>
      </c>
      <c r="EB112" t="str">
        <f>""</f>
        <v/>
      </c>
      <c r="EC112" t="str">
        <f>""</f>
        <v/>
      </c>
      <c r="ED112" t="str">
        <f>""</f>
        <v/>
      </c>
      <c r="EE112" t="str">
        <f>""</f>
        <v/>
      </c>
      <c r="EF112" t="str">
        <f>""</f>
        <v/>
      </c>
      <c r="EG112" t="str">
        <f>""</f>
        <v/>
      </c>
      <c r="EH112" t="str">
        <f>""</f>
        <v/>
      </c>
      <c r="EI112" t="str">
        <f>""</f>
        <v/>
      </c>
      <c r="EJ112" t="str">
        <f>""</f>
        <v/>
      </c>
      <c r="EK112" t="str">
        <f>""</f>
        <v/>
      </c>
      <c r="EL112" t="str">
        <f>""</f>
        <v/>
      </c>
      <c r="EM112" t="str">
        <f>""</f>
        <v/>
      </c>
      <c r="EN112" t="str">
        <f>""</f>
        <v/>
      </c>
      <c r="EO112" t="str">
        <f>""</f>
        <v/>
      </c>
      <c r="EP112" t="str">
        <f>""</f>
        <v/>
      </c>
      <c r="EQ112" t="str">
        <f>""</f>
        <v/>
      </c>
      <c r="ER112" t="str">
        <f>""</f>
        <v/>
      </c>
      <c r="ES112" t="str">
        <f>""</f>
        <v/>
      </c>
      <c r="ET112" t="str">
        <f>""</f>
        <v/>
      </c>
      <c r="EU112" t="str">
        <f>""</f>
        <v/>
      </c>
      <c r="EV112" t="str">
        <f>""</f>
        <v/>
      </c>
      <c r="EW112" t="str">
        <f>""</f>
        <v/>
      </c>
      <c r="EX112" t="str">
        <f>""</f>
        <v/>
      </c>
      <c r="EY112" t="str">
        <f>""</f>
        <v/>
      </c>
      <c r="EZ112" t="str">
        <f>""</f>
        <v/>
      </c>
      <c r="FA112" t="str">
        <f>""</f>
        <v/>
      </c>
      <c r="FB112" t="str">
        <f>""</f>
        <v/>
      </c>
      <c r="FC112" t="str">
        <f>""</f>
        <v/>
      </c>
      <c r="FD112" t="str">
        <f>""</f>
        <v/>
      </c>
      <c r="FE112" t="str">
        <f>""</f>
        <v/>
      </c>
      <c r="FF112" t="str">
        <f>""</f>
        <v/>
      </c>
      <c r="FG112" t="str">
        <f>""</f>
        <v/>
      </c>
      <c r="FH112" t="str">
        <f>""</f>
        <v/>
      </c>
      <c r="FI112" t="str">
        <f>""</f>
        <v/>
      </c>
      <c r="FJ112" t="str">
        <f>""</f>
        <v/>
      </c>
      <c r="FK112" t="str">
        <f>""</f>
        <v/>
      </c>
      <c r="FL112" t="str">
        <f>""</f>
        <v/>
      </c>
      <c r="FM112" t="str">
        <f>""</f>
        <v/>
      </c>
      <c r="FN112" t="str">
        <f>""</f>
        <v/>
      </c>
      <c r="FO112" t="str">
        <f>""</f>
        <v/>
      </c>
      <c r="FP112" t="str">
        <f>""</f>
        <v/>
      </c>
      <c r="FQ112" t="str">
        <f>""</f>
        <v/>
      </c>
    </row>
    <row r="113" spans="1:173" x14ac:dyDescent="0.25">
      <c r="A113" t="str">
        <f>$A$53</f>
        <v>Port Hedland Cargo Statistics - Australia Port Hedland Total Imports (tonnes) - Hydrocarbon Imports (tonnes)</v>
      </c>
      <c r="B113" t="str">
        <f>$B$53</f>
        <v>AHEDIMHY Index</v>
      </c>
      <c r="C113" t="str">
        <f>$C$53</f>
        <v>PX385</v>
      </c>
      <c r="D113" t="str">
        <f>$D$53</f>
        <v>INTERVAL_SUM</v>
      </c>
      <c r="E113" t="str">
        <f>$E$53</f>
        <v>Dynamic</v>
      </c>
      <c r="F113" t="str">
        <f ca="1">_xll.BDP($B$53,$C$53,CONCATENATE("PX391=", $F$71), CONCATENATE("PX392=",$F$72), CONCATENATE("DS004=",$B$64), "Fill=B")</f>
        <v/>
      </c>
      <c r="G113" t="str">
        <f ca="1">_xll.BDP($B$53,$C$53,CONCATENATE("PX391=", $G$71), CONCATENATE("PX392=",$G$72), CONCATENATE("DS004=",$B$64), "Fill=B")</f>
        <v/>
      </c>
      <c r="H113">
        <f ca="1">_xll.BDP($B$53,$C$53,CONCATENATE("PX391=", $H$71), CONCATENATE("PX392=",$H$72), CONCATENATE("DS004=",$B$64), "Fill=B")</f>
        <v>145932.32</v>
      </c>
      <c r="I113">
        <f ca="1">_xll.BDP($B$53,$C$53,CONCATENATE("PX391=", $I$71), CONCATENATE("PX392=",$I$72), CONCATENATE("DS004=",$B$64), "Fill=B")</f>
        <v>159878.73000000001</v>
      </c>
      <c r="J113">
        <f ca="1">_xll.BDP($B$53,$C$53,CONCATENATE("PX391=", $J$71), CONCATENATE("PX392=",$J$72), CONCATENATE("DS004=",$B$64), "Fill=B")</f>
        <v>151887.82</v>
      </c>
      <c r="K113">
        <f ca="1">_xll.BDP($B$53,$C$53,CONCATENATE("PX391=", $K$71), CONCATENATE("PX392=",$K$72), CONCATENATE("DS004=",$B$64), "Fill=B")</f>
        <v>125206.89</v>
      </c>
      <c r="L113">
        <f ca="1">_xll.BDP($B$53,$C$53,CONCATENATE("PX391=", $L$71), CONCATENATE("PX392=",$L$72), CONCATENATE("DS004=",$B$64), "Fill=B")</f>
        <v>152692.24</v>
      </c>
      <c r="M113">
        <f ca="1">_xll.BDP($B$53,$C$53,CONCATENATE("PX391=", $M$71), CONCATENATE("PX392=",$M$72), CONCATENATE("DS004=",$B$64), "Fill=B")</f>
        <v>191655.23</v>
      </c>
      <c r="N113">
        <f ca="1">_xll.BDP($B$53,$C$53,CONCATENATE("PX391=", $N$71), CONCATENATE("PX392=",$N$72), CONCATENATE("DS004=",$B$64), "Fill=B")</f>
        <v>157660.22</v>
      </c>
      <c r="O113">
        <f ca="1">_xll.BDP($B$53,$C$53,CONCATENATE("PX391=", $O$71), CONCATENATE("PX392=",$O$72), CONCATENATE("DS004=",$B$64), "Fill=B")</f>
        <v>140899.84</v>
      </c>
      <c r="P113">
        <f ca="1">_xll.BDP($B$53,$C$53,CONCATENATE("PX391=", $P$71), CONCATENATE("PX392=",$P$72), CONCATENATE("DS004=",$B$64), "Fill=B")</f>
        <v>153549.26</v>
      </c>
      <c r="Q113">
        <f ca="1">_xll.BDP($B$53,$C$53,CONCATENATE("PX391=", $Q$71), CONCATENATE("PX392=",$Q$72), CONCATENATE("DS004=",$B$64), "Fill=B")</f>
        <v>145159.07</v>
      </c>
      <c r="R113">
        <f ca="1">_xll.BDP($B$53,$C$53,CONCATENATE("PX391=", $R$71), CONCATENATE("PX392=",$R$72), CONCATENATE("DS004=",$B$64), "Fill=B")</f>
        <v>176176.88</v>
      </c>
      <c r="S113">
        <f ca="1">_xll.BDP($B$53,$C$53,CONCATENATE("PX391=", $S$71), CONCATENATE("PX392=",$S$72), CONCATENATE("DS004=",$B$64), "Fill=B")</f>
        <v>164675.76999999999</v>
      </c>
      <c r="T113">
        <f ca="1">_xll.BDP($B$53,$C$53,CONCATENATE("PX391=", $T$71), CONCATENATE("PX392=",$T$72), CONCATENATE("DS004=",$B$64), "Fill=B")</f>
        <v>110368.72</v>
      </c>
      <c r="U113">
        <f ca="1">_xll.BDP($B$53,$C$53,CONCATENATE("PX391=", $U$71), CONCATENATE("PX392=",$U$72), CONCATENATE("DS004=",$B$64), "Fill=B")</f>
        <v>200617.26</v>
      </c>
      <c r="V113">
        <f ca="1">_xll.BDP($B$53,$C$53,CONCATENATE("PX391=", $V$71), CONCATENATE("PX392=",$V$72), CONCATENATE("DS004=",$B$64), "Fill=B")</f>
        <v>164497.71</v>
      </c>
      <c r="W113">
        <f ca="1">_xll.BDP($B$53,$C$53,CONCATENATE("PX391=", $W$71), CONCATENATE("PX392=",$W$72), CONCATENATE("DS004=",$B$64), "Fill=B")</f>
        <v>137458.94</v>
      </c>
      <c r="X113">
        <f ca="1">_xll.BDP($B$53,$C$53,CONCATENATE("PX391=", $X$71), CONCATENATE("PX392=",$X$72), CONCATENATE("DS004=",$B$64), "Fill=B")</f>
        <v>145361.29999999999</v>
      </c>
      <c r="Y113">
        <f ca="1">_xll.BDP($B$53,$C$53,CONCATENATE("PX391=", $Y$71), CONCATENATE("PX392=",$Y$72), CONCATENATE("DS004=",$B$64), "Fill=B")</f>
        <v>139144.75</v>
      </c>
      <c r="Z113">
        <f ca="1">_xll.BDP($B$53,$C$53,CONCATENATE("PX391=", $Z$71), CONCATENATE("PX392=",$Z$72), CONCATENATE("DS004=",$B$64), "Fill=B")</f>
        <v>133593.06</v>
      </c>
      <c r="AA113">
        <f ca="1">_xll.BDP($B$53,$C$53,CONCATENATE("PX391=", $AA$71), CONCATENATE("PX392=",$AA$72), CONCATENATE("DS004=",$B$64), "Fill=B")</f>
        <v>155041.87</v>
      </c>
      <c r="AB113">
        <f ca="1">_xll.BDP($B$53,$C$53,CONCATENATE("PX391=", $AB$71), CONCATENATE("PX392=",$AB$72), CONCATENATE("DS004=",$B$64), "Fill=B")</f>
        <v>121257.57</v>
      </c>
      <c r="AC113">
        <f ca="1">_xll.BDP($B$53,$C$53,CONCATENATE("PX391=", $AC$71), CONCATENATE("PX392=",$AC$72), CONCATENATE("DS004=",$B$64), "Fill=B")</f>
        <v>174693.14</v>
      </c>
      <c r="AD113">
        <f ca="1">_xll.BDP($B$53,$C$53,CONCATENATE("PX391=", $AD$71), CONCATENATE("PX392=",$AD$72), CONCATENATE("DS004=",$B$64), "Fill=B")</f>
        <v>128811.21</v>
      </c>
      <c r="AE113">
        <f ca="1">_xll.BDP($B$53,$C$53,CONCATENATE("PX391=", $AE$71), CONCATENATE("PX392=",$AE$72), CONCATENATE("DS004=",$B$64), "Fill=B")</f>
        <v>160703.78</v>
      </c>
      <c r="AF113">
        <f ca="1">_xll.BDP($B$53,$C$53,CONCATENATE("PX391=", $AF$71), CONCATENATE("PX392=",$AF$72), CONCATENATE("DS004=",$B$64), "Fill=B")</f>
        <v>121495.41</v>
      </c>
      <c r="AG113">
        <f ca="1">_xll.BDP($B$53,$C$53,CONCATENATE("PX391=", $AG$71), CONCATENATE("PX392=",$AG$72), CONCATENATE("DS004=",$B$64), "Fill=B")</f>
        <v>211962.86</v>
      </c>
      <c r="AH113">
        <f ca="1">_xll.BDP($B$53,$C$53,CONCATENATE("PX391=", $AH$71), CONCATENATE("PX392=",$AH$72), CONCATENATE("DS004=",$B$64), "Fill=B")</f>
        <v>152629.84</v>
      </c>
      <c r="AI113">
        <f ca="1">_xll.BDP($B$53,$C$53,CONCATENATE("PX391=", $AI$71), CONCATENATE("PX392=",$AI$72), CONCATENATE("DS004=",$B$64), "Fill=B")</f>
        <v>143230.35999999999</v>
      </c>
      <c r="AJ113">
        <f ca="1">_xll.BDP($B$53,$C$53,CONCATENATE("PX391=", $AJ$71), CONCATENATE("PX392=",$AJ$72), CONCATENATE("DS004=",$B$64), "Fill=B")</f>
        <v>166724.76999999999</v>
      </c>
      <c r="AK113">
        <f ca="1">_xll.BDP($B$53,$C$53,CONCATENATE("PX391=", $AK$71), CONCATENATE("PX392=",$AK$72), CONCATENATE("DS004=",$B$64), "Fill=B")</f>
        <v>147187.95000000001</v>
      </c>
      <c r="AL113">
        <f ca="1">_xll.BDP($B$53,$C$53,CONCATENATE("PX391=", $AL$71), CONCATENATE("PX392=",$AL$72), CONCATENATE("DS004=",$B$64), "Fill=B")</f>
        <v>148930.04</v>
      </c>
      <c r="AM113">
        <f ca="1">_xll.BDP($B$53,$C$53,CONCATENATE("PX391=", $AM$71), CONCATENATE("PX392=",$AM$72), CONCATENATE("DS004=",$B$64), "Fill=B")</f>
        <v>108886.44</v>
      </c>
      <c r="AN113">
        <f ca="1">_xll.BDP($B$53,$C$53,CONCATENATE("PX391=", $AN$71), CONCATENATE("PX392=",$AN$72), CONCATENATE("DS004=",$B$64), "Fill=B")</f>
        <v>148601.75</v>
      </c>
      <c r="AO113">
        <f ca="1">_xll.BDP($B$53,$C$53,CONCATENATE("PX391=", $AO$71), CONCATENATE("PX392=",$AO$72), CONCATENATE("DS004=",$B$64), "Fill=B")</f>
        <v>131604.14000000001</v>
      </c>
      <c r="AP113">
        <f ca="1">_xll.BDP($B$53,$C$53,CONCATENATE("PX391=", $AP$71), CONCATENATE("PX392=",$AP$72), CONCATENATE("DS004=",$B$64), "Fill=B")</f>
        <v>165860.19</v>
      </c>
      <c r="AQ113">
        <f ca="1">_xll.BDP($B$53,$C$53,CONCATENATE("PX391=", $AQ$71), CONCATENATE("PX392=",$AQ$72), CONCATENATE("DS004=",$B$64), "Fill=B")</f>
        <v>149781.66</v>
      </c>
      <c r="AR113">
        <f ca="1">_xll.BDP($B$53,$C$53,CONCATENATE("PX391=", $AR$71), CONCATENATE("PX392=",$AR$72), CONCATENATE("DS004=",$B$64), "Fill=B")</f>
        <v>157583.72</v>
      </c>
      <c r="AS113">
        <f ca="1">_xll.BDP($B$53,$C$53,CONCATENATE("PX391=", $AS$71), CONCATENATE("PX392=",$AS$72), CONCATENATE("DS004=",$B$64), "Fill=B")</f>
        <v>165859.47</v>
      </c>
      <c r="AT113">
        <f ca="1">_xll.BDP($B$53,$C$53,CONCATENATE("PX391=", $AT$71), CONCATENATE("PX392=",$AT$72), CONCATENATE("DS004=",$B$64), "Fill=B")</f>
        <v>165275.76999999999</v>
      </c>
      <c r="AU113">
        <f ca="1">_xll.BDP($B$53,$C$53,CONCATENATE("PX391=", $AU$71), CONCATENATE("PX392=",$AU$72), CONCATENATE("DS004=",$B$64), "Fill=B")</f>
        <v>151825.76999999999</v>
      </c>
      <c r="AV113">
        <f ca="1">_xll.BDP($B$53,$C$53,CONCATENATE("PX391=", $AV$71), CONCATENATE("PX392=",$AV$72), CONCATENATE("DS004=",$B$64), "Fill=B")</f>
        <v>150491.62</v>
      </c>
      <c r="AW113">
        <f ca="1">_xll.BDP($B$53,$C$53,CONCATENATE("PX391=", $AW$71), CONCATENATE("PX392=",$AW$72), CONCATENATE("DS004=",$B$64), "Fill=B")</f>
        <v>118760.76</v>
      </c>
      <c r="AX113">
        <f ca="1">_xll.BDP($B$53,$C$53,CONCATENATE("PX391=", $AX$71), CONCATENATE("PX392=",$AX$72), CONCATENATE("DS004=",$B$64), "Fill=B")</f>
        <v>146237.37</v>
      </c>
      <c r="AY113">
        <f ca="1">_xll.BDP($B$53,$C$53,CONCATENATE("PX391=", $AY$71), CONCATENATE("PX392=",$AY$72), CONCATENATE("DS004=",$B$64), "Fill=B")</f>
        <v>113157.57</v>
      </c>
      <c r="AZ113">
        <f ca="1">_xll.BDP($B$53,$C$53,CONCATENATE("PX391=", $AZ$71), CONCATENATE("PX392=",$AZ$72), CONCATENATE("DS004=",$B$64), "Fill=B")</f>
        <v>162497.29999999999</v>
      </c>
      <c r="BA113">
        <f ca="1">_xll.BDP($B$53,$C$53,CONCATENATE("PX391=", $BA$71), CONCATENATE("PX392=",$BA$72), CONCATENATE("DS004=",$B$64), "Fill=B")</f>
        <v>148184.04</v>
      </c>
      <c r="BB113">
        <f ca="1">_xll.BDP($B$53,$C$53,CONCATENATE("PX391=", $BB$71), CONCATENATE("PX392=",$BB$72), CONCATENATE("DS004=",$B$64), "Fill=B")</f>
        <v>119171.4</v>
      </c>
      <c r="BC113">
        <f ca="1">_xll.BDP($B$53,$C$53,CONCATENATE("PX391=", $BC$71), CONCATENATE("PX392=",$BC$72), CONCATENATE("DS004=",$B$64), "Fill=B")</f>
        <v>206230.09</v>
      </c>
      <c r="BD113">
        <f ca="1">_xll.BDP($B$53,$C$53,CONCATENATE("PX391=", $BD$71), CONCATENATE("PX392=",$BD$72), CONCATENATE("DS004=",$B$64), "Fill=B")</f>
        <v>144378.26</v>
      </c>
      <c r="BE113">
        <f ca="1">_xll.BDP($B$53,$C$53,CONCATENATE("PX391=", $BE$71), CONCATENATE("PX392=",$BE$72), CONCATENATE("DS004=",$B$64), "Fill=B")</f>
        <v>155535</v>
      </c>
      <c r="BF113">
        <f ca="1">_xll.BDP($B$53,$C$53,CONCATENATE("PX391=", $BF$71), CONCATENATE("PX392=",$BF$72), CONCATENATE("DS004=",$B$64), "Fill=B")</f>
        <v>142614.95000000001</v>
      </c>
      <c r="BG113">
        <f ca="1">_xll.BDP($B$53,$C$53,CONCATENATE("PX391=", $BG$71), CONCATENATE("PX392=",$BG$72), CONCATENATE("DS004=",$B$64), "Fill=B")</f>
        <v>166631.82999999999</v>
      </c>
      <c r="BH113">
        <f ca="1">_xll.BDP($B$53,$C$53,CONCATENATE("PX391=", $BH$71), CONCATENATE("PX392=",$BH$72), CONCATENATE("DS004=",$B$64), "Fill=B")</f>
        <v>131989.10999999999</v>
      </c>
      <c r="BI113">
        <f ca="1">_xll.BDP($B$53,$C$53,CONCATENATE("PX391=", $BI$71), CONCATENATE("PX392=",$BI$72), CONCATENATE("DS004=",$B$64), "Fill=B")</f>
        <v>134201.26</v>
      </c>
      <c r="BJ113">
        <f ca="1">_xll.BDP($B$53,$C$53,CONCATENATE("PX391=", $BJ$71), CONCATENATE("PX392=",$BJ$72), CONCATENATE("DS004=",$B$64), "Fill=B")</f>
        <v>143188.85</v>
      </c>
      <c r="BK113">
        <f ca="1">_xll.BDP($B$53,$C$53,CONCATENATE("PX391=", $BK$71), CONCATENATE("PX392=",$BK$72), CONCATENATE("DS004=",$B$64), "Fill=B")</f>
        <v>143637.5</v>
      </c>
      <c r="BL113">
        <f ca="1">_xll.BDP($B$53,$C$53,CONCATENATE("PX391=", $BL$71), CONCATENATE("PX392=",$BL$72), CONCATENATE("DS004=",$B$64), "Fill=B")</f>
        <v>64317.17</v>
      </c>
      <c r="BM113">
        <f ca="1">_xll.BDP($B$53,$C$53,CONCATENATE("PX391=", $BM$71), CONCATENATE("PX392=",$BM$72), CONCATENATE("DS004=",$B$64), "Fill=B")</f>
        <v>208737.26</v>
      </c>
      <c r="BN113">
        <f ca="1">_xll.BDP($B$53,$C$53,CONCATENATE("PX391=", $BN$71), CONCATENATE("PX392=",$BN$72), CONCATENATE("DS004=",$B$64), "Fill=B")</f>
        <v>97834.39</v>
      </c>
      <c r="BO113">
        <f ca="1">_xll.BDP($B$53,$C$53,CONCATENATE("PX391=", $BO$71), CONCATENATE("PX392=",$BO$72), CONCATENATE("DS004=",$B$64), "Fill=B")</f>
        <v>138786.62</v>
      </c>
      <c r="BP113">
        <f ca="1">_xll.BDP($B$53,$C$53,CONCATENATE("PX391=", $BP$71), CONCATENATE("PX392=",$BP$72), CONCATENATE("DS004=",$B$64), "Fill=B")</f>
        <v>128002.55</v>
      </c>
      <c r="BQ113">
        <f ca="1">_xll.BDP($B$53,$C$53,CONCATENATE("PX391=", $BQ$71), CONCATENATE("PX392=",$BQ$72), CONCATENATE("DS004=",$B$64), "Fill=B")</f>
        <v>105900.54</v>
      </c>
      <c r="BR113">
        <f ca="1">_xll.BDP($B$53,$C$53,CONCATENATE("PX391=", $BR$71), CONCATENATE("PX392=",$BR$72), CONCATENATE("DS004=",$B$64), "Fill=B")</f>
        <v>146805.44</v>
      </c>
      <c r="BS113">
        <f ca="1">_xll.BDP($B$53,$C$53,CONCATENATE("PX391=", $BS$71), CONCATENATE("PX392=",$BS$72), CONCATENATE("DS004=",$B$64), "Fill=B")</f>
        <v>156352.37</v>
      </c>
      <c r="BT113">
        <f ca="1">_xll.BDP($B$53,$C$53,CONCATENATE("PX391=", $BT$71), CONCATENATE("PX392=",$BT$72), CONCATENATE("DS004=",$B$64), "Fill=B")</f>
        <v>125084.81</v>
      </c>
      <c r="BU113">
        <f ca="1">_xll.BDP($B$53,$C$53,CONCATENATE("PX391=", $BU$71), CONCATENATE("PX392=",$BU$72), CONCATENATE("DS004=",$B$64), "Fill=B")</f>
        <v>101347.11</v>
      </c>
      <c r="BV113">
        <f ca="1">_xll.BDP($B$53,$C$53,CONCATENATE("PX391=", $BV$71), CONCATENATE("PX392=",$BV$72), CONCATENATE("DS004=",$B$64), "Fill=B")</f>
        <v>109267.25</v>
      </c>
      <c r="BW113">
        <f ca="1">_xll.BDP($B$53,$C$53,CONCATENATE("PX391=", $BW$71), CONCATENATE("PX392=",$BW$72), CONCATENATE("DS004=",$B$64), "Fill=B")</f>
        <v>142480.93</v>
      </c>
      <c r="BX113">
        <f ca="1">_xll.BDP($B$53,$C$53,CONCATENATE("PX391=", $BX$71), CONCATENATE("PX392=",$BX$72), CONCATENATE("DS004=",$B$64), "Fill=B")</f>
        <v>100757.28</v>
      </c>
      <c r="BY113">
        <f ca="1">_xll.BDP($B$53,$C$53,CONCATENATE("PX391=", $BY$71), CONCATENATE("PX392=",$BY$72), CONCATENATE("DS004=",$B$64), "Fill=B")</f>
        <v>126138.53</v>
      </c>
      <c r="BZ113">
        <f ca="1">_xll.BDP($B$53,$C$53,CONCATENATE("PX391=", $BZ$71), CONCATENATE("PX392=",$BZ$72), CONCATENATE("DS004=",$B$64), "Fill=B")</f>
        <v>180903.49</v>
      </c>
      <c r="CA113">
        <f ca="1">_xll.BDP($B$53,$C$53,CONCATENATE("PX391=", $CA$71), CONCATENATE("PX392=",$CA$72), CONCATENATE("DS004=",$B$64), "Fill=B")</f>
        <v>99631.3</v>
      </c>
      <c r="CB113">
        <f ca="1">_xll.BDP($B$53,$C$53,CONCATENATE("PX391=", $CB$71), CONCATENATE("PX392=",$CB$72), CONCATENATE("DS004=",$B$64), "Fill=B")</f>
        <v>139193.79999999999</v>
      </c>
      <c r="CC113">
        <f ca="1">_xll.BDP($B$53,$C$53,CONCATENATE("PX391=", $CC$71), CONCATENATE("PX392=",$CC$72), CONCATENATE("DS004=",$B$64), "Fill=B")</f>
        <v>136802.54999999999</v>
      </c>
      <c r="CD113">
        <f ca="1">_xll.BDP($B$53,$C$53,CONCATENATE("PX391=", $CD$71), CONCATENATE("PX392=",$CD$72), CONCATENATE("DS004=",$B$64), "Fill=B")</f>
        <v>119785.78</v>
      </c>
      <c r="CE113">
        <f ca="1">_xll.BDP($B$53,$C$53,CONCATENATE("PX391=", $CE$71), CONCATENATE("PX392=",$CE$72), CONCATENATE("DS004=",$B$64), "Fill=B")</f>
        <v>147873.85</v>
      </c>
      <c r="CF113">
        <f ca="1">_xll.BDP($B$53,$C$53,CONCATENATE("PX391=", $CF$71), CONCATENATE("PX392=",$CF$72), CONCATENATE("DS004=",$B$64), "Fill=B")</f>
        <v>134108.4</v>
      </c>
      <c r="CG113">
        <f ca="1">_xll.BDP($B$53,$C$53,CONCATENATE("PX391=", $CG$71), CONCATENATE("PX392=",$CG$72), CONCATENATE("DS004=",$B$64), "Fill=B")</f>
        <v>80638.94</v>
      </c>
      <c r="CH113">
        <f ca="1">_xll.BDP($B$53,$C$53,CONCATENATE("PX391=", $CH$71), CONCATENATE("PX392=",$CH$72), CONCATENATE("DS004=",$B$64), "Fill=B")</f>
        <v>127953.54</v>
      </c>
      <c r="CI113">
        <f ca="1">_xll.BDP($B$53,$C$53,CONCATENATE("PX391=", $CI$71), CONCATENATE("PX392=",$CI$72), CONCATENATE("DS004=",$B$64), "Fill=B")</f>
        <v>118843.63</v>
      </c>
      <c r="CJ113">
        <f ca="1">_xll.BDP($B$53,$C$53,CONCATENATE("PX391=", $CJ$71), CONCATENATE("PX392=",$CJ$72), CONCATENATE("DS004=",$B$64), "Fill=B")</f>
        <v>106579.68</v>
      </c>
      <c r="CK113">
        <f ca="1">_xll.BDP($B$53,$C$53,CONCATENATE("PX391=", $CK$71), CONCATENATE("PX392=",$CK$72), CONCATENATE("DS004=",$B$64), "Fill=B")</f>
        <v>127849.18</v>
      </c>
      <c r="CL113" t="str">
        <f>""</f>
        <v/>
      </c>
      <c r="CM113" t="str">
        <f>""</f>
        <v/>
      </c>
      <c r="CN113" t="str">
        <f>""</f>
        <v/>
      </c>
      <c r="CO113" t="str">
        <f>""</f>
        <v/>
      </c>
      <c r="CP113" t="str">
        <f>""</f>
        <v/>
      </c>
      <c r="CQ113" t="str">
        <f>""</f>
        <v/>
      </c>
      <c r="CR113" t="str">
        <f>""</f>
        <v/>
      </c>
      <c r="CS113" t="str">
        <f>""</f>
        <v/>
      </c>
      <c r="CT113" t="str">
        <f>""</f>
        <v/>
      </c>
      <c r="CU113" t="str">
        <f>""</f>
        <v/>
      </c>
      <c r="CV113" t="str">
        <f>""</f>
        <v/>
      </c>
      <c r="CW113" t="str">
        <f>""</f>
        <v/>
      </c>
      <c r="CX113" t="str">
        <f>""</f>
        <v/>
      </c>
      <c r="CY113" t="str">
        <f>""</f>
        <v/>
      </c>
      <c r="CZ113" t="str">
        <f>""</f>
        <v/>
      </c>
      <c r="DA113" t="str">
        <f>""</f>
        <v/>
      </c>
      <c r="DB113" t="str">
        <f>""</f>
        <v/>
      </c>
      <c r="DC113" t="str">
        <f>""</f>
        <v/>
      </c>
      <c r="DD113" t="str">
        <f>""</f>
        <v/>
      </c>
      <c r="DE113" t="str">
        <f>""</f>
        <v/>
      </c>
      <c r="DF113" t="str">
        <f>""</f>
        <v/>
      </c>
      <c r="DG113" t="str">
        <f>""</f>
        <v/>
      </c>
      <c r="DH113" t="str">
        <f>""</f>
        <v/>
      </c>
      <c r="DI113" t="str">
        <f>""</f>
        <v/>
      </c>
      <c r="DJ113" t="str">
        <f>""</f>
        <v/>
      </c>
      <c r="DK113" t="str">
        <f>""</f>
        <v/>
      </c>
      <c r="DL113" t="str">
        <f>""</f>
        <v/>
      </c>
      <c r="DM113" t="str">
        <f>""</f>
        <v/>
      </c>
      <c r="DN113" t="str">
        <f>""</f>
        <v/>
      </c>
      <c r="DO113" t="str">
        <f>""</f>
        <v/>
      </c>
      <c r="DP113" t="str">
        <f>""</f>
        <v/>
      </c>
      <c r="DQ113" t="str">
        <f>""</f>
        <v/>
      </c>
      <c r="DR113" t="str">
        <f>""</f>
        <v/>
      </c>
      <c r="DS113" t="str">
        <f>""</f>
        <v/>
      </c>
      <c r="DT113" t="str">
        <f>""</f>
        <v/>
      </c>
      <c r="DU113" t="str">
        <f>""</f>
        <v/>
      </c>
      <c r="DV113" t="str">
        <f>""</f>
        <v/>
      </c>
      <c r="DW113" t="str">
        <f>""</f>
        <v/>
      </c>
      <c r="DX113" t="str">
        <f>""</f>
        <v/>
      </c>
      <c r="DY113" t="str">
        <f>""</f>
        <v/>
      </c>
      <c r="DZ113" t="str">
        <f>""</f>
        <v/>
      </c>
      <c r="EA113" t="str">
        <f>""</f>
        <v/>
      </c>
      <c r="EB113" t="str">
        <f>""</f>
        <v/>
      </c>
      <c r="EC113" t="str">
        <f>""</f>
        <v/>
      </c>
      <c r="ED113" t="str">
        <f>""</f>
        <v/>
      </c>
      <c r="EE113" t="str">
        <f>""</f>
        <v/>
      </c>
      <c r="EF113" t="str">
        <f>""</f>
        <v/>
      </c>
      <c r="EG113" t="str">
        <f>""</f>
        <v/>
      </c>
      <c r="EH113" t="str">
        <f>""</f>
        <v/>
      </c>
      <c r="EI113" t="str">
        <f>""</f>
        <v/>
      </c>
      <c r="EJ113" t="str">
        <f>""</f>
        <v/>
      </c>
      <c r="EK113" t="str">
        <f>""</f>
        <v/>
      </c>
      <c r="EL113" t="str">
        <f>""</f>
        <v/>
      </c>
      <c r="EM113" t="str">
        <f>""</f>
        <v/>
      </c>
      <c r="EN113" t="str">
        <f>""</f>
        <v/>
      </c>
      <c r="EO113" t="str">
        <f>""</f>
        <v/>
      </c>
      <c r="EP113" t="str">
        <f>""</f>
        <v/>
      </c>
      <c r="EQ113" t="str">
        <f>""</f>
        <v/>
      </c>
      <c r="ER113" t="str">
        <f>""</f>
        <v/>
      </c>
      <c r="ES113" t="str">
        <f>""</f>
        <v/>
      </c>
      <c r="ET113" t="str">
        <f>""</f>
        <v/>
      </c>
      <c r="EU113" t="str">
        <f>""</f>
        <v/>
      </c>
      <c r="EV113" t="str">
        <f>""</f>
        <v/>
      </c>
      <c r="EW113" t="str">
        <f>""</f>
        <v/>
      </c>
      <c r="EX113" t="str">
        <f>""</f>
        <v/>
      </c>
      <c r="EY113" t="str">
        <f>""</f>
        <v/>
      </c>
      <c r="EZ113" t="str">
        <f>""</f>
        <v/>
      </c>
      <c r="FA113" t="str">
        <f>""</f>
        <v/>
      </c>
      <c r="FB113" t="str">
        <f>""</f>
        <v/>
      </c>
      <c r="FC113" t="str">
        <f>""</f>
        <v/>
      </c>
      <c r="FD113" t="str">
        <f>""</f>
        <v/>
      </c>
      <c r="FE113" t="str">
        <f>""</f>
        <v/>
      </c>
      <c r="FF113" t="str">
        <f>""</f>
        <v/>
      </c>
      <c r="FG113" t="str">
        <f>""</f>
        <v/>
      </c>
      <c r="FH113" t="str">
        <f>""</f>
        <v/>
      </c>
      <c r="FI113" t="str">
        <f>""</f>
        <v/>
      </c>
      <c r="FJ113" t="str">
        <f>""</f>
        <v/>
      </c>
      <c r="FK113" t="str">
        <f>""</f>
        <v/>
      </c>
      <c r="FL113" t="str">
        <f>""</f>
        <v/>
      </c>
      <c r="FM113" t="str">
        <f>""</f>
        <v/>
      </c>
      <c r="FN113" t="str">
        <f>""</f>
        <v/>
      </c>
      <c r="FO113" t="str">
        <f>""</f>
        <v/>
      </c>
      <c r="FP113" t="str">
        <f>""</f>
        <v/>
      </c>
      <c r="FQ113" t="str">
        <f>""</f>
        <v/>
      </c>
    </row>
    <row r="114" spans="1:173" x14ac:dyDescent="0.25">
      <c r="A114" t="str">
        <f>""</f>
        <v/>
      </c>
      <c r="B114" t="str">
        <f>""</f>
        <v/>
      </c>
      <c r="C114" t="str">
        <f>""</f>
        <v/>
      </c>
      <c r="D114" t="str">
        <f>""</f>
        <v/>
      </c>
      <c r="E114" t="str">
        <f>""</f>
        <v/>
      </c>
      <c r="CL114" t="str">
        <f>""</f>
        <v/>
      </c>
      <c r="CM114" t="str">
        <f>""</f>
        <v/>
      </c>
      <c r="CN114" t="str">
        <f>""</f>
        <v/>
      </c>
      <c r="CO114" t="str">
        <f>""</f>
        <v/>
      </c>
      <c r="CP114" t="str">
        <f>""</f>
        <v/>
      </c>
      <c r="CQ114" t="str">
        <f>""</f>
        <v/>
      </c>
      <c r="CR114" t="str">
        <f>""</f>
        <v/>
      </c>
      <c r="CS114" t="str">
        <f>""</f>
        <v/>
      </c>
      <c r="CT114" t="str">
        <f>""</f>
        <v/>
      </c>
      <c r="CU114" t="str">
        <f>""</f>
        <v/>
      </c>
      <c r="CV114" t="str">
        <f>""</f>
        <v/>
      </c>
      <c r="CW114" t="str">
        <f>""</f>
        <v/>
      </c>
      <c r="CX114" t="str">
        <f>""</f>
        <v/>
      </c>
      <c r="CY114" t="str">
        <f>""</f>
        <v/>
      </c>
      <c r="CZ114" t="str">
        <f>""</f>
        <v/>
      </c>
      <c r="DA114" t="str">
        <f>""</f>
        <v/>
      </c>
      <c r="DB114" t="str">
        <f>""</f>
        <v/>
      </c>
      <c r="DC114" t="str">
        <f>""</f>
        <v/>
      </c>
      <c r="DD114" t="str">
        <f>""</f>
        <v/>
      </c>
      <c r="DE114" t="str">
        <f>""</f>
        <v/>
      </c>
      <c r="DF114" t="str">
        <f>""</f>
        <v/>
      </c>
      <c r="DG114" t="str">
        <f>""</f>
        <v/>
      </c>
      <c r="DH114" t="str">
        <f>""</f>
        <v/>
      </c>
      <c r="DI114" t="str">
        <f>""</f>
        <v/>
      </c>
      <c r="DJ114" t="str">
        <f>""</f>
        <v/>
      </c>
      <c r="DK114" t="str">
        <f>""</f>
        <v/>
      </c>
      <c r="DL114" t="str">
        <f>""</f>
        <v/>
      </c>
      <c r="DM114" t="str">
        <f>""</f>
        <v/>
      </c>
      <c r="DN114" t="str">
        <f>""</f>
        <v/>
      </c>
      <c r="DO114" t="str">
        <f>""</f>
        <v/>
      </c>
      <c r="DP114" t="str">
        <f>""</f>
        <v/>
      </c>
      <c r="DQ114" t="str">
        <f>""</f>
        <v/>
      </c>
      <c r="DR114" t="str">
        <f>""</f>
        <v/>
      </c>
      <c r="DS114" t="str">
        <f>""</f>
        <v/>
      </c>
      <c r="DT114" t="str">
        <f>""</f>
        <v/>
      </c>
      <c r="DU114" t="str">
        <f>""</f>
        <v/>
      </c>
      <c r="DV114" t="str">
        <f>""</f>
        <v/>
      </c>
      <c r="DW114" t="str">
        <f>""</f>
        <v/>
      </c>
      <c r="DX114" t="str">
        <f>""</f>
        <v/>
      </c>
      <c r="DY114" t="str">
        <f>""</f>
        <v/>
      </c>
      <c r="DZ114" t="str">
        <f>""</f>
        <v/>
      </c>
      <c r="EA114" t="str">
        <f>""</f>
        <v/>
      </c>
      <c r="EB114" t="str">
        <f>""</f>
        <v/>
      </c>
      <c r="EC114" t="str">
        <f>""</f>
        <v/>
      </c>
      <c r="ED114" t="str">
        <f>""</f>
        <v/>
      </c>
      <c r="EE114" t="str">
        <f>""</f>
        <v/>
      </c>
      <c r="EF114" t="str">
        <f>""</f>
        <v/>
      </c>
      <c r="EG114" t="str">
        <f>""</f>
        <v/>
      </c>
      <c r="EH114" t="str">
        <f>""</f>
        <v/>
      </c>
      <c r="EI114" t="str">
        <f>""</f>
        <v/>
      </c>
      <c r="EJ114" t="str">
        <f>""</f>
        <v/>
      </c>
      <c r="EK114" t="str">
        <f>""</f>
        <v/>
      </c>
      <c r="EL114" t="str">
        <f>""</f>
        <v/>
      </c>
      <c r="EM114" t="str">
        <f>""</f>
        <v/>
      </c>
      <c r="EN114" t="str">
        <f>""</f>
        <v/>
      </c>
      <c r="EO114" t="str">
        <f>""</f>
        <v/>
      </c>
      <c r="EP114" t="str">
        <f>""</f>
        <v/>
      </c>
      <c r="EQ114" t="str">
        <f>""</f>
        <v/>
      </c>
      <c r="ER114" t="str">
        <f>""</f>
        <v/>
      </c>
      <c r="ES114" t="str">
        <f>""</f>
        <v/>
      </c>
      <c r="ET114" t="str">
        <f>""</f>
        <v/>
      </c>
      <c r="EU114" t="str">
        <f>""</f>
        <v/>
      </c>
      <c r="EV114" t="str">
        <f>""</f>
        <v/>
      </c>
      <c r="EW114" t="str">
        <f>""</f>
        <v/>
      </c>
      <c r="EX114" t="str">
        <f>""</f>
        <v/>
      </c>
      <c r="EY114" t="str">
        <f>""</f>
        <v/>
      </c>
      <c r="EZ114" t="str">
        <f>""</f>
        <v/>
      </c>
      <c r="FA114" t="str">
        <f>""</f>
        <v/>
      </c>
      <c r="FB114" t="str">
        <f>""</f>
        <v/>
      </c>
      <c r="FC114" t="str">
        <f>""</f>
        <v/>
      </c>
      <c r="FD114" t="str">
        <f>""</f>
        <v/>
      </c>
      <c r="FE114" t="str">
        <f>""</f>
        <v/>
      </c>
      <c r="FF114" t="str">
        <f>""</f>
        <v/>
      </c>
      <c r="FG114" t="str">
        <f>""</f>
        <v/>
      </c>
      <c r="FH114" t="str">
        <f>""</f>
        <v/>
      </c>
      <c r="FI114" t="str">
        <f>""</f>
        <v/>
      </c>
      <c r="FJ114" t="str">
        <f>""</f>
        <v/>
      </c>
      <c r="FK114" t="str">
        <f>""</f>
        <v/>
      </c>
      <c r="FL114" t="str">
        <f>""</f>
        <v/>
      </c>
      <c r="FM114" t="str">
        <f>""</f>
        <v/>
      </c>
      <c r="FN114" t="str">
        <f>""</f>
        <v/>
      </c>
      <c r="FO114" t="str">
        <f>""</f>
        <v/>
      </c>
      <c r="FP114" t="str">
        <f>""</f>
        <v/>
      </c>
      <c r="FQ114" t="str">
        <f>""</f>
        <v/>
      </c>
    </row>
    <row r="115" spans="1:173" x14ac:dyDescent="0.25">
      <c r="A115" t="str">
        <f>""</f>
        <v/>
      </c>
      <c r="B115" t="str">
        <f>""</f>
        <v/>
      </c>
      <c r="C115" t="str">
        <f>""</f>
        <v/>
      </c>
      <c r="D115" t="str">
        <f>""</f>
        <v/>
      </c>
      <c r="E115" t="str">
        <f>""</f>
        <v/>
      </c>
      <c r="CL115" t="str">
        <f>""</f>
        <v/>
      </c>
      <c r="CM115" t="str">
        <f>""</f>
        <v/>
      </c>
      <c r="CN115" t="str">
        <f>""</f>
        <v/>
      </c>
      <c r="CO115" t="str">
        <f>""</f>
        <v/>
      </c>
      <c r="CP115" t="str">
        <f>""</f>
        <v/>
      </c>
      <c r="CQ115" t="str">
        <f>""</f>
        <v/>
      </c>
      <c r="CR115" t="str">
        <f>""</f>
        <v/>
      </c>
      <c r="CS115" t="str">
        <f>""</f>
        <v/>
      </c>
      <c r="CT115" t="str">
        <f>""</f>
        <v/>
      </c>
      <c r="CU115" t="str">
        <f>""</f>
        <v/>
      </c>
      <c r="CV115" t="str">
        <f>""</f>
        <v/>
      </c>
      <c r="CW115" t="str">
        <f>""</f>
        <v/>
      </c>
      <c r="CX115" t="str">
        <f>""</f>
        <v/>
      </c>
      <c r="CY115" t="str">
        <f>""</f>
        <v/>
      </c>
      <c r="CZ115" t="str">
        <f>""</f>
        <v/>
      </c>
      <c r="DA115" t="str">
        <f>""</f>
        <v/>
      </c>
      <c r="DB115" t="str">
        <f>""</f>
        <v/>
      </c>
      <c r="DC115" t="str">
        <f>""</f>
        <v/>
      </c>
      <c r="DD115" t="str">
        <f>""</f>
        <v/>
      </c>
      <c r="DE115" t="str">
        <f>""</f>
        <v/>
      </c>
      <c r="DF115" t="str">
        <f>""</f>
        <v/>
      </c>
      <c r="DG115" t="str">
        <f>""</f>
        <v/>
      </c>
      <c r="DH115" t="str">
        <f>""</f>
        <v/>
      </c>
      <c r="DI115" t="str">
        <f>""</f>
        <v/>
      </c>
      <c r="DJ115" t="str">
        <f>""</f>
        <v/>
      </c>
      <c r="DK115" t="str">
        <f>""</f>
        <v/>
      </c>
      <c r="DL115" t="str">
        <f>""</f>
        <v/>
      </c>
      <c r="DM115" t="str">
        <f>""</f>
        <v/>
      </c>
      <c r="DN115" t="str">
        <f>""</f>
        <v/>
      </c>
      <c r="DO115" t="str">
        <f>""</f>
        <v/>
      </c>
      <c r="DP115" t="str">
        <f>""</f>
        <v/>
      </c>
      <c r="DQ115" t="str">
        <f>""</f>
        <v/>
      </c>
      <c r="DR115" t="str">
        <f>""</f>
        <v/>
      </c>
      <c r="DS115" t="str">
        <f>""</f>
        <v/>
      </c>
      <c r="DT115" t="str">
        <f>""</f>
        <v/>
      </c>
      <c r="DU115" t="str">
        <f>""</f>
        <v/>
      </c>
      <c r="DV115" t="str">
        <f>""</f>
        <v/>
      </c>
      <c r="DW115" t="str">
        <f>""</f>
        <v/>
      </c>
      <c r="DX115" t="str">
        <f>""</f>
        <v/>
      </c>
      <c r="DY115" t="str">
        <f>""</f>
        <v/>
      </c>
      <c r="DZ115" t="str">
        <f>""</f>
        <v/>
      </c>
      <c r="EA115" t="str">
        <f>""</f>
        <v/>
      </c>
      <c r="EB115" t="str">
        <f>""</f>
        <v/>
      </c>
      <c r="EC115" t="str">
        <f>""</f>
        <v/>
      </c>
      <c r="ED115" t="str">
        <f>""</f>
        <v/>
      </c>
      <c r="EE115" t="str">
        <f>""</f>
        <v/>
      </c>
      <c r="EF115" t="str">
        <f>""</f>
        <v/>
      </c>
      <c r="EG115" t="str">
        <f>""</f>
        <v/>
      </c>
      <c r="EH115" t="str">
        <f>""</f>
        <v/>
      </c>
      <c r="EI115" t="str">
        <f>""</f>
        <v/>
      </c>
      <c r="EJ115" t="str">
        <f>""</f>
        <v/>
      </c>
      <c r="EK115" t="str">
        <f>""</f>
        <v/>
      </c>
      <c r="EL115" t="str">
        <f>""</f>
        <v/>
      </c>
      <c r="EM115" t="str">
        <f>""</f>
        <v/>
      </c>
      <c r="EN115" t="str">
        <f>""</f>
        <v/>
      </c>
      <c r="EO115" t="str">
        <f>""</f>
        <v/>
      </c>
      <c r="EP115" t="str">
        <f>""</f>
        <v/>
      </c>
      <c r="EQ115" t="str">
        <f>""</f>
        <v/>
      </c>
      <c r="ER115" t="str">
        <f>""</f>
        <v/>
      </c>
      <c r="ES115" t="str">
        <f>""</f>
        <v/>
      </c>
      <c r="ET115" t="str">
        <f>""</f>
        <v/>
      </c>
      <c r="EU115" t="str">
        <f>""</f>
        <v/>
      </c>
      <c r="EV115" t="str">
        <f>""</f>
        <v/>
      </c>
      <c r="EW115" t="str">
        <f>""</f>
        <v/>
      </c>
      <c r="EX115" t="str">
        <f>""</f>
        <v/>
      </c>
      <c r="EY115" t="str">
        <f>""</f>
        <v/>
      </c>
      <c r="EZ115" t="str">
        <f>""</f>
        <v/>
      </c>
      <c r="FA115" t="str">
        <f>""</f>
        <v/>
      </c>
      <c r="FB115" t="str">
        <f>""</f>
        <v/>
      </c>
      <c r="FC115" t="str">
        <f>""</f>
        <v/>
      </c>
      <c r="FD115" t="str">
        <f>""</f>
        <v/>
      </c>
      <c r="FE115" t="str">
        <f>""</f>
        <v/>
      </c>
      <c r="FF115" t="str">
        <f>""</f>
        <v/>
      </c>
      <c r="FG115" t="str">
        <f>""</f>
        <v/>
      </c>
      <c r="FH115" t="str">
        <f>""</f>
        <v/>
      </c>
      <c r="FI115" t="str">
        <f>""</f>
        <v/>
      </c>
      <c r="FJ115" t="str">
        <f>""</f>
        <v/>
      </c>
      <c r="FK115" t="str">
        <f>""</f>
        <v/>
      </c>
      <c r="FL115" t="str">
        <f>""</f>
        <v/>
      </c>
      <c r="FM115" t="str">
        <f>""</f>
        <v/>
      </c>
      <c r="FN115" t="str">
        <f>""</f>
        <v/>
      </c>
      <c r="FO115" t="str">
        <f>""</f>
        <v/>
      </c>
      <c r="FP115" t="str">
        <f>""</f>
        <v/>
      </c>
      <c r="FQ115" t="str">
        <f>""</f>
        <v/>
      </c>
    </row>
    <row r="116" spans="1:173" x14ac:dyDescent="0.25">
      <c r="A116" t="str">
        <f>""</f>
        <v/>
      </c>
      <c r="B116" t="str">
        <f>""</f>
        <v/>
      </c>
      <c r="C116" t="str">
        <f>""</f>
        <v/>
      </c>
      <c r="D116" t="str">
        <f>""</f>
        <v/>
      </c>
      <c r="E116" t="str">
        <f>""</f>
        <v/>
      </c>
      <c r="CL116" t="str">
        <f>""</f>
        <v/>
      </c>
      <c r="CM116" t="str">
        <f>""</f>
        <v/>
      </c>
      <c r="CN116" t="str">
        <f>""</f>
        <v/>
      </c>
      <c r="CO116" t="str">
        <f>""</f>
        <v/>
      </c>
      <c r="CP116" t="str">
        <f>""</f>
        <v/>
      </c>
      <c r="CQ116" t="str">
        <f>""</f>
        <v/>
      </c>
      <c r="CR116" t="str">
        <f>""</f>
        <v/>
      </c>
      <c r="CS116" t="str">
        <f>""</f>
        <v/>
      </c>
      <c r="CT116" t="str">
        <f>""</f>
        <v/>
      </c>
      <c r="CU116" t="str">
        <f>""</f>
        <v/>
      </c>
      <c r="CV116" t="str">
        <f>""</f>
        <v/>
      </c>
      <c r="CW116" t="str">
        <f>""</f>
        <v/>
      </c>
      <c r="CX116" t="str">
        <f>""</f>
        <v/>
      </c>
      <c r="CY116" t="str">
        <f>""</f>
        <v/>
      </c>
      <c r="CZ116" t="str">
        <f>""</f>
        <v/>
      </c>
      <c r="DA116" t="str">
        <f>""</f>
        <v/>
      </c>
      <c r="DB116" t="str">
        <f>""</f>
        <v/>
      </c>
      <c r="DC116" t="str">
        <f>""</f>
        <v/>
      </c>
      <c r="DD116" t="str">
        <f>""</f>
        <v/>
      </c>
      <c r="DE116" t="str">
        <f>""</f>
        <v/>
      </c>
      <c r="DF116" t="str">
        <f>""</f>
        <v/>
      </c>
      <c r="DG116" t="str">
        <f>""</f>
        <v/>
      </c>
      <c r="DH116" t="str">
        <f>""</f>
        <v/>
      </c>
      <c r="DI116" t="str">
        <f>""</f>
        <v/>
      </c>
      <c r="DJ116" t="str">
        <f>""</f>
        <v/>
      </c>
      <c r="DK116" t="str">
        <f>""</f>
        <v/>
      </c>
      <c r="DL116" t="str">
        <f>""</f>
        <v/>
      </c>
      <c r="DM116" t="str">
        <f>""</f>
        <v/>
      </c>
      <c r="DN116" t="str">
        <f>""</f>
        <v/>
      </c>
      <c r="DO116" t="str">
        <f>""</f>
        <v/>
      </c>
      <c r="DP116" t="str">
        <f>""</f>
        <v/>
      </c>
      <c r="DQ116" t="str">
        <f>""</f>
        <v/>
      </c>
      <c r="DR116" t="str">
        <f>""</f>
        <v/>
      </c>
      <c r="DS116" t="str">
        <f>""</f>
        <v/>
      </c>
      <c r="DT116" t="str">
        <f>""</f>
        <v/>
      </c>
      <c r="DU116" t="str">
        <f>""</f>
        <v/>
      </c>
      <c r="DV116" t="str">
        <f>""</f>
        <v/>
      </c>
      <c r="DW116" t="str">
        <f>""</f>
        <v/>
      </c>
      <c r="DX116" t="str">
        <f>""</f>
        <v/>
      </c>
      <c r="DY116" t="str">
        <f>""</f>
        <v/>
      </c>
      <c r="DZ116" t="str">
        <f>""</f>
        <v/>
      </c>
      <c r="EA116" t="str">
        <f>""</f>
        <v/>
      </c>
      <c r="EB116" t="str">
        <f>""</f>
        <v/>
      </c>
      <c r="EC116" t="str">
        <f>""</f>
        <v/>
      </c>
      <c r="ED116" t="str">
        <f>""</f>
        <v/>
      </c>
      <c r="EE116" t="str">
        <f>""</f>
        <v/>
      </c>
      <c r="EF116" t="str">
        <f>""</f>
        <v/>
      </c>
      <c r="EG116" t="str">
        <f>""</f>
        <v/>
      </c>
      <c r="EH116" t="str">
        <f>""</f>
        <v/>
      </c>
      <c r="EI116" t="str">
        <f>""</f>
        <v/>
      </c>
      <c r="EJ116" t="str">
        <f>""</f>
        <v/>
      </c>
      <c r="EK116" t="str">
        <f>""</f>
        <v/>
      </c>
      <c r="EL116" t="str">
        <f>""</f>
        <v/>
      </c>
      <c r="EM116" t="str">
        <f>""</f>
        <v/>
      </c>
      <c r="EN116" t="str">
        <f>""</f>
        <v/>
      </c>
      <c r="EO116" t="str">
        <f>""</f>
        <v/>
      </c>
      <c r="EP116" t="str">
        <f>""</f>
        <v/>
      </c>
      <c r="EQ116" t="str">
        <f>""</f>
        <v/>
      </c>
      <c r="ER116" t="str">
        <f>""</f>
        <v/>
      </c>
      <c r="ES116" t="str">
        <f>""</f>
        <v/>
      </c>
      <c r="ET116" t="str">
        <f>""</f>
        <v/>
      </c>
      <c r="EU116" t="str">
        <f>""</f>
        <v/>
      </c>
      <c r="EV116" t="str">
        <f>""</f>
        <v/>
      </c>
      <c r="EW116" t="str">
        <f>""</f>
        <v/>
      </c>
      <c r="EX116" t="str">
        <f>""</f>
        <v/>
      </c>
      <c r="EY116" t="str">
        <f>""</f>
        <v/>
      </c>
      <c r="EZ116" t="str">
        <f>""</f>
        <v/>
      </c>
      <c r="FA116" t="str">
        <f>""</f>
        <v/>
      </c>
      <c r="FB116" t="str">
        <f>""</f>
        <v/>
      </c>
      <c r="FC116" t="str">
        <f>""</f>
        <v/>
      </c>
      <c r="FD116" t="str">
        <f>""</f>
        <v/>
      </c>
      <c r="FE116" t="str">
        <f>""</f>
        <v/>
      </c>
      <c r="FF116" t="str">
        <f>""</f>
        <v/>
      </c>
      <c r="FG116" t="str">
        <f>""</f>
        <v/>
      </c>
      <c r="FH116" t="str">
        <f>""</f>
        <v/>
      </c>
      <c r="FI116" t="str">
        <f>""</f>
        <v/>
      </c>
      <c r="FJ116" t="str">
        <f>""</f>
        <v/>
      </c>
      <c r="FK116" t="str">
        <f>""</f>
        <v/>
      </c>
      <c r="FL116" t="str">
        <f>""</f>
        <v/>
      </c>
      <c r="FM116" t="str">
        <f>""</f>
        <v/>
      </c>
      <c r="FN116" t="str">
        <f>""</f>
        <v/>
      </c>
      <c r="FO116" t="str">
        <f>""</f>
        <v/>
      </c>
      <c r="FP116" t="str">
        <f>""</f>
        <v/>
      </c>
      <c r="FQ116" t="str">
        <f>""</f>
        <v/>
      </c>
    </row>
    <row r="117" spans="1:173" x14ac:dyDescent="0.25">
      <c r="A117" t="str">
        <f>""</f>
        <v/>
      </c>
      <c r="B117" t="str">
        <f>""</f>
        <v/>
      </c>
      <c r="C117" t="str">
        <f>""</f>
        <v/>
      </c>
      <c r="D117" t="str">
        <f>""</f>
        <v/>
      </c>
      <c r="E117" t="str">
        <f>""</f>
        <v/>
      </c>
      <c r="CL117" t="str">
        <f>""</f>
        <v/>
      </c>
      <c r="CM117" t="str">
        <f>""</f>
        <v/>
      </c>
      <c r="CN117" t="str">
        <f>""</f>
        <v/>
      </c>
      <c r="CO117" t="str">
        <f>""</f>
        <v/>
      </c>
      <c r="CP117" t="str">
        <f>""</f>
        <v/>
      </c>
      <c r="CQ117" t="str">
        <f>""</f>
        <v/>
      </c>
      <c r="CR117" t="str">
        <f>""</f>
        <v/>
      </c>
      <c r="CS117" t="str">
        <f>""</f>
        <v/>
      </c>
      <c r="CT117" t="str">
        <f>""</f>
        <v/>
      </c>
      <c r="CU117" t="str">
        <f>""</f>
        <v/>
      </c>
      <c r="CV117" t="str">
        <f>""</f>
        <v/>
      </c>
      <c r="CW117" t="str">
        <f>""</f>
        <v/>
      </c>
      <c r="CX117" t="str">
        <f>""</f>
        <v/>
      </c>
      <c r="CY117" t="str">
        <f>""</f>
        <v/>
      </c>
      <c r="CZ117" t="str">
        <f>""</f>
        <v/>
      </c>
      <c r="DA117" t="str">
        <f>""</f>
        <v/>
      </c>
      <c r="DB117" t="str">
        <f>""</f>
        <v/>
      </c>
      <c r="DC117" t="str">
        <f>""</f>
        <v/>
      </c>
      <c r="DD117" t="str">
        <f>""</f>
        <v/>
      </c>
      <c r="DE117" t="str">
        <f>""</f>
        <v/>
      </c>
      <c r="DF117" t="str">
        <f>""</f>
        <v/>
      </c>
      <c r="DG117" t="str">
        <f>""</f>
        <v/>
      </c>
      <c r="DH117" t="str">
        <f>""</f>
        <v/>
      </c>
      <c r="DI117" t="str">
        <f>""</f>
        <v/>
      </c>
      <c r="DJ117" t="str">
        <f>""</f>
        <v/>
      </c>
      <c r="DK117" t="str">
        <f>""</f>
        <v/>
      </c>
      <c r="DL117" t="str">
        <f>""</f>
        <v/>
      </c>
      <c r="DM117" t="str">
        <f>""</f>
        <v/>
      </c>
      <c r="DN117" t="str">
        <f>""</f>
        <v/>
      </c>
      <c r="DO117" t="str">
        <f>""</f>
        <v/>
      </c>
      <c r="DP117" t="str">
        <f>""</f>
        <v/>
      </c>
      <c r="DQ117" t="str">
        <f>""</f>
        <v/>
      </c>
      <c r="DR117" t="str">
        <f>""</f>
        <v/>
      </c>
      <c r="DS117" t="str">
        <f>""</f>
        <v/>
      </c>
      <c r="DT117" t="str">
        <f>""</f>
        <v/>
      </c>
      <c r="DU117" t="str">
        <f>""</f>
        <v/>
      </c>
      <c r="DV117" t="str">
        <f>""</f>
        <v/>
      </c>
      <c r="DW117" t="str">
        <f>""</f>
        <v/>
      </c>
      <c r="DX117" t="str">
        <f>""</f>
        <v/>
      </c>
      <c r="DY117" t="str">
        <f>""</f>
        <v/>
      </c>
      <c r="DZ117" t="str">
        <f>""</f>
        <v/>
      </c>
      <c r="EA117" t="str">
        <f>""</f>
        <v/>
      </c>
      <c r="EB117" t="str">
        <f>""</f>
        <v/>
      </c>
      <c r="EC117" t="str">
        <f>""</f>
        <v/>
      </c>
      <c r="ED117" t="str">
        <f>""</f>
        <v/>
      </c>
      <c r="EE117" t="str">
        <f>""</f>
        <v/>
      </c>
      <c r="EF117" t="str">
        <f>""</f>
        <v/>
      </c>
      <c r="EG117" t="str">
        <f>""</f>
        <v/>
      </c>
      <c r="EH117" t="str">
        <f>""</f>
        <v/>
      </c>
      <c r="EI117" t="str">
        <f>""</f>
        <v/>
      </c>
      <c r="EJ117" t="str">
        <f>""</f>
        <v/>
      </c>
      <c r="EK117" t="str">
        <f>""</f>
        <v/>
      </c>
      <c r="EL117" t="str">
        <f>""</f>
        <v/>
      </c>
      <c r="EM117" t="str">
        <f>""</f>
        <v/>
      </c>
      <c r="EN117" t="str">
        <f>""</f>
        <v/>
      </c>
      <c r="EO117" t="str">
        <f>""</f>
        <v/>
      </c>
      <c r="EP117" t="str">
        <f>""</f>
        <v/>
      </c>
      <c r="EQ117" t="str">
        <f>""</f>
        <v/>
      </c>
      <c r="ER117" t="str">
        <f>""</f>
        <v/>
      </c>
      <c r="ES117" t="str">
        <f>""</f>
        <v/>
      </c>
      <c r="ET117" t="str">
        <f>""</f>
        <v/>
      </c>
      <c r="EU117" t="str">
        <f>""</f>
        <v/>
      </c>
      <c r="EV117" t="str">
        <f>""</f>
        <v/>
      </c>
      <c r="EW117" t="str">
        <f>""</f>
        <v/>
      </c>
      <c r="EX117" t="str">
        <f>""</f>
        <v/>
      </c>
      <c r="EY117" t="str">
        <f>""</f>
        <v/>
      </c>
      <c r="EZ117" t="str">
        <f>""</f>
        <v/>
      </c>
      <c r="FA117" t="str">
        <f>""</f>
        <v/>
      </c>
      <c r="FB117" t="str">
        <f>""</f>
        <v/>
      </c>
      <c r="FC117" t="str">
        <f>""</f>
        <v/>
      </c>
      <c r="FD117" t="str">
        <f>""</f>
        <v/>
      </c>
      <c r="FE117" t="str">
        <f>""</f>
        <v/>
      </c>
      <c r="FF117" t="str">
        <f>""</f>
        <v/>
      </c>
      <c r="FG117" t="str">
        <f>""</f>
        <v/>
      </c>
      <c r="FH117" t="str">
        <f>""</f>
        <v/>
      </c>
      <c r="FI117" t="str">
        <f>""</f>
        <v/>
      </c>
      <c r="FJ117" t="str">
        <f>""</f>
        <v/>
      </c>
      <c r="FK117" t="str">
        <f>""</f>
        <v/>
      </c>
      <c r="FL117" t="str">
        <f>""</f>
        <v/>
      </c>
      <c r="FM117" t="str">
        <f>""</f>
        <v/>
      </c>
      <c r="FN117" t="str">
        <f>""</f>
        <v/>
      </c>
      <c r="FO117" t="str">
        <f>""</f>
        <v/>
      </c>
      <c r="FP117" t="str">
        <f>""</f>
        <v/>
      </c>
      <c r="FQ117" t="str">
        <f>""</f>
        <v/>
      </c>
    </row>
    <row r="118" spans="1:173" x14ac:dyDescent="0.25">
      <c r="A118" t="str">
        <f>""</f>
        <v/>
      </c>
      <c r="B118" t="str">
        <f>""</f>
        <v/>
      </c>
      <c r="C118" t="str">
        <f>""</f>
        <v/>
      </c>
      <c r="D118" t="str">
        <f>""</f>
        <v/>
      </c>
      <c r="E118" t="str">
        <f>""</f>
        <v/>
      </c>
      <c r="CL118" t="str">
        <f>""</f>
        <v/>
      </c>
      <c r="CM118" t="str">
        <f>""</f>
        <v/>
      </c>
      <c r="CN118" t="str">
        <f>""</f>
        <v/>
      </c>
      <c r="CO118" t="str">
        <f>""</f>
        <v/>
      </c>
      <c r="CP118" t="str">
        <f>""</f>
        <v/>
      </c>
      <c r="CQ118" t="str">
        <f>""</f>
        <v/>
      </c>
      <c r="CR118" t="str">
        <f>""</f>
        <v/>
      </c>
      <c r="CS118" t="str">
        <f>""</f>
        <v/>
      </c>
      <c r="CT118" t="str">
        <f>""</f>
        <v/>
      </c>
      <c r="CU118" t="str">
        <f>""</f>
        <v/>
      </c>
      <c r="CV118" t="str">
        <f>""</f>
        <v/>
      </c>
      <c r="CW118" t="str">
        <f>""</f>
        <v/>
      </c>
      <c r="CX118" t="str">
        <f>""</f>
        <v/>
      </c>
      <c r="CY118" t="str">
        <f>""</f>
        <v/>
      </c>
      <c r="CZ118" t="str">
        <f>""</f>
        <v/>
      </c>
      <c r="DA118" t="str">
        <f>""</f>
        <v/>
      </c>
      <c r="DB118" t="str">
        <f>""</f>
        <v/>
      </c>
      <c r="DC118" t="str">
        <f>""</f>
        <v/>
      </c>
      <c r="DD118" t="str">
        <f>""</f>
        <v/>
      </c>
      <c r="DE118" t="str">
        <f>""</f>
        <v/>
      </c>
      <c r="DF118" t="str">
        <f>""</f>
        <v/>
      </c>
      <c r="DG118" t="str">
        <f>""</f>
        <v/>
      </c>
      <c r="DH118" t="str">
        <f>""</f>
        <v/>
      </c>
      <c r="DI118" t="str">
        <f>""</f>
        <v/>
      </c>
      <c r="DJ118" t="str">
        <f>""</f>
        <v/>
      </c>
      <c r="DK118" t="str">
        <f>""</f>
        <v/>
      </c>
      <c r="DL118" t="str">
        <f>""</f>
        <v/>
      </c>
      <c r="DM118" t="str">
        <f>""</f>
        <v/>
      </c>
      <c r="DN118" t="str">
        <f>""</f>
        <v/>
      </c>
      <c r="DO118" t="str">
        <f>""</f>
        <v/>
      </c>
      <c r="DP118" t="str">
        <f>""</f>
        <v/>
      </c>
      <c r="DQ118" t="str">
        <f>""</f>
        <v/>
      </c>
      <c r="DR118" t="str">
        <f>""</f>
        <v/>
      </c>
      <c r="DS118" t="str">
        <f>""</f>
        <v/>
      </c>
      <c r="DT118" t="str">
        <f>""</f>
        <v/>
      </c>
      <c r="DU118" t="str">
        <f>""</f>
        <v/>
      </c>
      <c r="DV118" t="str">
        <f>""</f>
        <v/>
      </c>
      <c r="DW118" t="str">
        <f>""</f>
        <v/>
      </c>
      <c r="DX118" t="str">
        <f>""</f>
        <v/>
      </c>
      <c r="DY118" t="str">
        <f>""</f>
        <v/>
      </c>
      <c r="DZ118" t="str">
        <f>""</f>
        <v/>
      </c>
      <c r="EA118" t="str">
        <f>""</f>
        <v/>
      </c>
      <c r="EB118" t="str">
        <f>""</f>
        <v/>
      </c>
      <c r="EC118" t="str">
        <f>""</f>
        <v/>
      </c>
      <c r="ED118" t="str">
        <f>""</f>
        <v/>
      </c>
      <c r="EE118" t="str">
        <f>""</f>
        <v/>
      </c>
      <c r="EF118" t="str">
        <f>""</f>
        <v/>
      </c>
      <c r="EG118" t="str">
        <f>""</f>
        <v/>
      </c>
      <c r="EH118" t="str">
        <f>""</f>
        <v/>
      </c>
      <c r="EI118" t="str">
        <f>""</f>
        <v/>
      </c>
      <c r="EJ118" t="str">
        <f>""</f>
        <v/>
      </c>
      <c r="EK118" t="str">
        <f>""</f>
        <v/>
      </c>
      <c r="EL118" t="str">
        <f>""</f>
        <v/>
      </c>
      <c r="EM118" t="str">
        <f>""</f>
        <v/>
      </c>
      <c r="EN118" t="str">
        <f>""</f>
        <v/>
      </c>
      <c r="EO118" t="str">
        <f>""</f>
        <v/>
      </c>
      <c r="EP118" t="str">
        <f>""</f>
        <v/>
      </c>
      <c r="EQ118" t="str">
        <f>""</f>
        <v/>
      </c>
      <c r="ER118" t="str">
        <f>""</f>
        <v/>
      </c>
      <c r="ES118" t="str">
        <f>""</f>
        <v/>
      </c>
      <c r="ET118" t="str">
        <f>""</f>
        <v/>
      </c>
      <c r="EU118" t="str">
        <f>""</f>
        <v/>
      </c>
      <c r="EV118" t="str">
        <f>""</f>
        <v/>
      </c>
      <c r="EW118" t="str">
        <f>""</f>
        <v/>
      </c>
      <c r="EX118" t="str">
        <f>""</f>
        <v/>
      </c>
      <c r="EY118" t="str">
        <f>""</f>
        <v/>
      </c>
      <c r="EZ118" t="str">
        <f>""</f>
        <v/>
      </c>
      <c r="FA118" t="str">
        <f>""</f>
        <v/>
      </c>
      <c r="FB118" t="str">
        <f>""</f>
        <v/>
      </c>
      <c r="FC118" t="str">
        <f>""</f>
        <v/>
      </c>
      <c r="FD118" t="str">
        <f>""</f>
        <v/>
      </c>
      <c r="FE118" t="str">
        <f>""</f>
        <v/>
      </c>
      <c r="FF118" t="str">
        <f>""</f>
        <v/>
      </c>
      <c r="FG118" t="str">
        <f>""</f>
        <v/>
      </c>
      <c r="FH118" t="str">
        <f>""</f>
        <v/>
      </c>
      <c r="FI118" t="str">
        <f>""</f>
        <v/>
      </c>
      <c r="FJ118" t="str">
        <f>""</f>
        <v/>
      </c>
      <c r="FK118" t="str">
        <f>""</f>
        <v/>
      </c>
      <c r="FL118" t="str">
        <f>""</f>
        <v/>
      </c>
      <c r="FM118" t="str">
        <f>""</f>
        <v/>
      </c>
      <c r="FN118" t="str">
        <f>""</f>
        <v/>
      </c>
      <c r="FO118" t="str">
        <f>""</f>
        <v/>
      </c>
      <c r="FP118" t="str">
        <f>""</f>
        <v/>
      </c>
      <c r="FQ118" t="str">
        <f>""</f>
        <v/>
      </c>
    </row>
    <row r="119" spans="1:173" x14ac:dyDescent="0.25">
      <c r="A119" t="str">
        <f>"~~~~~~~~~~~~~~~~~~~~~"</f>
        <v>~~~~~~~~~~~~~~~~~~~~~</v>
      </c>
      <c r="B119" t="str">
        <f>"~~~~~~~~~~~~~~~~~~~~~"</f>
        <v>~~~~~~~~~~~~~~~~~~~~~</v>
      </c>
      <c r="C119" t="str">
        <f>"~~~~~~~~~~~~~~~~~~~~~"</f>
        <v>~~~~~~~~~~~~~~~~~~~~~</v>
      </c>
      <c r="D119" t="str">
        <f>"~~~~~~~~~~~~~~~~~~~~~"</f>
        <v>~~~~~~~~~~~~~~~~~~~~~</v>
      </c>
      <c r="E119" t="str">
        <f>"~~~~~~~~~~~~~~~~~~~~~"</f>
        <v>~~~~~~~~~~~~~~~~~~~~~</v>
      </c>
      <c r="CL119" t="str">
        <f>""</f>
        <v/>
      </c>
      <c r="CM119" t="str">
        <f>""</f>
        <v/>
      </c>
      <c r="CN119" t="str">
        <f>""</f>
        <v/>
      </c>
      <c r="CO119" t="str">
        <f>""</f>
        <v/>
      </c>
      <c r="CP119" t="str">
        <f>""</f>
        <v/>
      </c>
      <c r="CQ119" t="str">
        <f>""</f>
        <v/>
      </c>
      <c r="CR119" t="str">
        <f>""</f>
        <v/>
      </c>
      <c r="CS119" t="str">
        <f>""</f>
        <v/>
      </c>
      <c r="CT119" t="str">
        <f>""</f>
        <v/>
      </c>
      <c r="CU119" t="str">
        <f>""</f>
        <v/>
      </c>
      <c r="CV119" t="str">
        <f>""</f>
        <v/>
      </c>
      <c r="CW119" t="str">
        <f>""</f>
        <v/>
      </c>
      <c r="CX119" t="str">
        <f>""</f>
        <v/>
      </c>
      <c r="CY119" t="str">
        <f>""</f>
        <v/>
      </c>
      <c r="CZ119" t="str">
        <f>""</f>
        <v/>
      </c>
      <c r="DA119" t="str">
        <f>""</f>
        <v/>
      </c>
      <c r="DB119" t="str">
        <f>""</f>
        <v/>
      </c>
      <c r="DC119" t="str">
        <f>""</f>
        <v/>
      </c>
      <c r="DD119" t="str">
        <f>""</f>
        <v/>
      </c>
      <c r="DE119" t="str">
        <f>""</f>
        <v/>
      </c>
      <c r="DF119" t="str">
        <f>""</f>
        <v/>
      </c>
      <c r="DG119" t="str">
        <f>""</f>
        <v/>
      </c>
      <c r="DH119" t="str">
        <f>""</f>
        <v/>
      </c>
      <c r="DI119" t="str">
        <f>""</f>
        <v/>
      </c>
      <c r="DJ119" t="str">
        <f>""</f>
        <v/>
      </c>
      <c r="DK119" t="str">
        <f>""</f>
        <v/>
      </c>
      <c r="DL119" t="str">
        <f>""</f>
        <v/>
      </c>
      <c r="DM119" t="str">
        <f>""</f>
        <v/>
      </c>
      <c r="DN119" t="str">
        <f>""</f>
        <v/>
      </c>
      <c r="DO119" t="str">
        <f>""</f>
        <v/>
      </c>
      <c r="DP119" t="str">
        <f>""</f>
        <v/>
      </c>
      <c r="DQ119" t="str">
        <f>""</f>
        <v/>
      </c>
      <c r="DR119" t="str">
        <f>""</f>
        <v/>
      </c>
      <c r="DS119" t="str">
        <f>""</f>
        <v/>
      </c>
      <c r="DT119" t="str">
        <f>""</f>
        <v/>
      </c>
      <c r="DU119" t="str">
        <f>""</f>
        <v/>
      </c>
      <c r="DV119" t="str">
        <f>""</f>
        <v/>
      </c>
      <c r="DW119" t="str">
        <f>""</f>
        <v/>
      </c>
      <c r="DX119" t="str">
        <f>""</f>
        <v/>
      </c>
      <c r="DY119" t="str">
        <f>""</f>
        <v/>
      </c>
      <c r="DZ119" t="str">
        <f>""</f>
        <v/>
      </c>
      <c r="EA119" t="str">
        <f>""</f>
        <v/>
      </c>
      <c r="EB119" t="str">
        <f>""</f>
        <v/>
      </c>
      <c r="EC119" t="str">
        <f>""</f>
        <v/>
      </c>
      <c r="ED119" t="str">
        <f>""</f>
        <v/>
      </c>
      <c r="EE119" t="str">
        <f>""</f>
        <v/>
      </c>
      <c r="EF119" t="str">
        <f>""</f>
        <v/>
      </c>
      <c r="EG119" t="str">
        <f>""</f>
        <v/>
      </c>
      <c r="EH119" t="str">
        <f>""</f>
        <v/>
      </c>
      <c r="EI119" t="str">
        <f>""</f>
        <v/>
      </c>
      <c r="EJ119" t="str">
        <f>""</f>
        <v/>
      </c>
      <c r="EK119" t="str">
        <f>""</f>
        <v/>
      </c>
      <c r="EL119" t="str">
        <f>""</f>
        <v/>
      </c>
      <c r="EM119" t="str">
        <f>""</f>
        <v/>
      </c>
      <c r="EN119" t="str">
        <f>""</f>
        <v/>
      </c>
      <c r="EO119" t="str">
        <f>""</f>
        <v/>
      </c>
      <c r="EP119" t="str">
        <f>""</f>
        <v/>
      </c>
      <c r="EQ119" t="str">
        <f>""</f>
        <v/>
      </c>
      <c r="ER119" t="str">
        <f>""</f>
        <v/>
      </c>
      <c r="ES119" t="str">
        <f>""</f>
        <v/>
      </c>
      <c r="ET119" t="str">
        <f>""</f>
        <v/>
      </c>
      <c r="EU119" t="str">
        <f>""</f>
        <v/>
      </c>
      <c r="EV119" t="str">
        <f>""</f>
        <v/>
      </c>
      <c r="EW119" t="str">
        <f>""</f>
        <v/>
      </c>
      <c r="EX119" t="str">
        <f>""</f>
        <v/>
      </c>
      <c r="EY119" t="str">
        <f>""</f>
        <v/>
      </c>
      <c r="EZ119" t="str">
        <f>""</f>
        <v/>
      </c>
      <c r="FA119" t="str">
        <f>""</f>
        <v/>
      </c>
      <c r="FB119" t="str">
        <f>""</f>
        <v/>
      </c>
      <c r="FC119" t="str">
        <f>""</f>
        <v/>
      </c>
      <c r="FD119" t="str">
        <f>""</f>
        <v/>
      </c>
      <c r="FE119" t="str">
        <f>""</f>
        <v/>
      </c>
      <c r="FF119" t="str">
        <f>""</f>
        <v/>
      </c>
      <c r="FG119" t="str">
        <f>""</f>
        <v/>
      </c>
      <c r="FH119" t="str">
        <f>""</f>
        <v/>
      </c>
      <c r="FI119" t="str">
        <f>""</f>
        <v/>
      </c>
      <c r="FJ119" t="str">
        <f>""</f>
        <v/>
      </c>
      <c r="FK119" t="str">
        <f>""</f>
        <v/>
      </c>
      <c r="FL119" t="str">
        <f>""</f>
        <v/>
      </c>
      <c r="FM119" t="str">
        <f>""</f>
        <v/>
      </c>
      <c r="FN119" t="str">
        <f>""</f>
        <v/>
      </c>
      <c r="FO119" t="str">
        <f>""</f>
        <v/>
      </c>
      <c r="FP119" t="str">
        <f>""</f>
        <v/>
      </c>
      <c r="FQ119" t="str">
        <f>""</f>
        <v/>
      </c>
    </row>
    <row r="120" spans="1:173" x14ac:dyDescent="0.25">
      <c r="A120" t="str">
        <f>"Rows below for column date calculation"</f>
        <v>Rows below for column date calculation</v>
      </c>
      <c r="CL120" t="str">
        <f>""</f>
        <v/>
      </c>
      <c r="CM120" t="str">
        <f>""</f>
        <v/>
      </c>
      <c r="CN120" t="str">
        <f>""</f>
        <v/>
      </c>
      <c r="CO120" t="str">
        <f>""</f>
        <v/>
      </c>
      <c r="CP120" t="str">
        <f>""</f>
        <v/>
      </c>
      <c r="CQ120" t="str">
        <f>""</f>
        <v/>
      </c>
      <c r="CR120" t="str">
        <f>""</f>
        <v/>
      </c>
      <c r="CS120" t="str">
        <f>""</f>
        <v/>
      </c>
      <c r="CT120" t="str">
        <f>""</f>
        <v/>
      </c>
      <c r="CU120" t="str">
        <f>""</f>
        <v/>
      </c>
      <c r="CV120" t="str">
        <f>""</f>
        <v/>
      </c>
      <c r="CW120" t="str">
        <f>""</f>
        <v/>
      </c>
      <c r="CX120" t="str">
        <f>""</f>
        <v/>
      </c>
      <c r="CY120" t="str">
        <f>""</f>
        <v/>
      </c>
      <c r="CZ120" t="str">
        <f>""</f>
        <v/>
      </c>
      <c r="DA120" t="str">
        <f>""</f>
        <v/>
      </c>
      <c r="DB120" t="str">
        <f>""</f>
        <v/>
      </c>
      <c r="DC120" t="str">
        <f>""</f>
        <v/>
      </c>
      <c r="DD120" t="str">
        <f>""</f>
        <v/>
      </c>
      <c r="DE120" t="str">
        <f>""</f>
        <v/>
      </c>
      <c r="DF120" t="str">
        <f>""</f>
        <v/>
      </c>
      <c r="DG120" t="str">
        <f>""</f>
        <v/>
      </c>
      <c r="DH120" t="str">
        <f>""</f>
        <v/>
      </c>
      <c r="DI120" t="str">
        <f>""</f>
        <v/>
      </c>
      <c r="DJ120" t="str">
        <f>""</f>
        <v/>
      </c>
      <c r="DK120" t="str">
        <f>""</f>
        <v/>
      </c>
      <c r="DL120" t="str">
        <f>""</f>
        <v/>
      </c>
      <c r="DM120" t="str">
        <f>""</f>
        <v/>
      </c>
      <c r="DN120" t="str">
        <f>""</f>
        <v/>
      </c>
      <c r="DO120" t="str">
        <f>""</f>
        <v/>
      </c>
      <c r="DP120" t="str">
        <f>""</f>
        <v/>
      </c>
      <c r="DQ120" t="str">
        <f>""</f>
        <v/>
      </c>
      <c r="DR120" t="str">
        <f>""</f>
        <v/>
      </c>
      <c r="DS120" t="str">
        <f>""</f>
        <v/>
      </c>
      <c r="DT120" t="str">
        <f>""</f>
        <v/>
      </c>
      <c r="DU120" t="str">
        <f>""</f>
        <v/>
      </c>
      <c r="DV120" t="str">
        <f>""</f>
        <v/>
      </c>
      <c r="DW120" t="str">
        <f>""</f>
        <v/>
      </c>
      <c r="DX120" t="str">
        <f>""</f>
        <v/>
      </c>
      <c r="DY120" t="str">
        <f>""</f>
        <v/>
      </c>
      <c r="DZ120" t="str">
        <f>""</f>
        <v/>
      </c>
      <c r="EA120" t="str">
        <f>""</f>
        <v/>
      </c>
      <c r="EB120" t="str">
        <f>""</f>
        <v/>
      </c>
      <c r="EC120" t="str">
        <f>""</f>
        <v/>
      </c>
      <c r="ED120" t="str">
        <f>""</f>
        <v/>
      </c>
      <c r="EE120" t="str">
        <f>""</f>
        <v/>
      </c>
      <c r="EF120" t="str">
        <f>""</f>
        <v/>
      </c>
      <c r="EG120" t="str">
        <f>""</f>
        <v/>
      </c>
      <c r="EH120" t="str">
        <f>""</f>
        <v/>
      </c>
      <c r="EI120" t="str">
        <f>""</f>
        <v/>
      </c>
      <c r="EJ120" t="str">
        <f>""</f>
        <v/>
      </c>
      <c r="EK120" t="str">
        <f>""</f>
        <v/>
      </c>
      <c r="EL120" t="str">
        <f>""</f>
        <v/>
      </c>
      <c r="EM120" t="str">
        <f>""</f>
        <v/>
      </c>
      <c r="EN120" t="str">
        <f>""</f>
        <v/>
      </c>
      <c r="EO120" t="str">
        <f>""</f>
        <v/>
      </c>
      <c r="EP120" t="str">
        <f>""</f>
        <v/>
      </c>
      <c r="EQ120" t="str">
        <f>""</f>
        <v/>
      </c>
      <c r="ER120" t="str">
        <f>""</f>
        <v/>
      </c>
      <c r="ES120" t="str">
        <f>""</f>
        <v/>
      </c>
      <c r="ET120" t="str">
        <f>""</f>
        <v/>
      </c>
      <c r="EU120" t="str">
        <f>""</f>
        <v/>
      </c>
      <c r="EV120" t="str">
        <f>""</f>
        <v/>
      </c>
      <c r="EW120" t="str">
        <f>""</f>
        <v/>
      </c>
      <c r="EX120" t="str">
        <f>""</f>
        <v/>
      </c>
      <c r="EY120" t="str">
        <f>""</f>
        <v/>
      </c>
      <c r="EZ120" t="str">
        <f>""</f>
        <v/>
      </c>
      <c r="FA120" t="str">
        <f>""</f>
        <v/>
      </c>
      <c r="FB120" t="str">
        <f>""</f>
        <v/>
      </c>
      <c r="FC120" t="str">
        <f>""</f>
        <v/>
      </c>
      <c r="FD120" t="str">
        <f>""</f>
        <v/>
      </c>
      <c r="FE120" t="str">
        <f>""</f>
        <v/>
      </c>
      <c r="FF120" t="str">
        <f>""</f>
        <v/>
      </c>
      <c r="FG120" t="str">
        <f>""</f>
        <v/>
      </c>
      <c r="FH120" t="str">
        <f>""</f>
        <v/>
      </c>
      <c r="FI120" t="str">
        <f>""</f>
        <v/>
      </c>
      <c r="FJ120" t="str">
        <f>""</f>
        <v/>
      </c>
      <c r="FK120" t="str">
        <f>""</f>
        <v/>
      </c>
      <c r="FL120" t="str">
        <f>""</f>
        <v/>
      </c>
      <c r="FM120" t="str">
        <f>""</f>
        <v/>
      </c>
      <c r="FN120" t="str">
        <f>""</f>
        <v/>
      </c>
      <c r="FO120" t="str">
        <f>""</f>
        <v/>
      </c>
      <c r="FP120" t="str">
        <f>""</f>
        <v/>
      </c>
      <c r="FQ120" t="str">
        <f>""</f>
        <v/>
      </c>
    </row>
    <row r="121" spans="1:173" x14ac:dyDescent="0.25">
      <c r="A121" t="str">
        <f>"Downloaded at"</f>
        <v>Downloaded at</v>
      </c>
      <c r="B121">
        <f>DATE(2023, 11,12)</f>
        <v>45242</v>
      </c>
      <c r="C121" t="str">
        <f>""</f>
        <v/>
      </c>
      <c r="D121" t="str">
        <f>""</f>
        <v/>
      </c>
      <c r="E121" t="str">
        <f>""</f>
        <v/>
      </c>
      <c r="CL121" t="str">
        <f>""</f>
        <v/>
      </c>
      <c r="CM121" t="str">
        <f>""</f>
        <v/>
      </c>
      <c r="CN121" t="str">
        <f>""</f>
        <v/>
      </c>
      <c r="CO121" t="str">
        <f>""</f>
        <v/>
      </c>
      <c r="CP121" t="str">
        <f>""</f>
        <v/>
      </c>
      <c r="CQ121" t="str">
        <f>""</f>
        <v/>
      </c>
      <c r="CR121" t="str">
        <f>""</f>
        <v/>
      </c>
      <c r="CS121" t="str">
        <f>""</f>
        <v/>
      </c>
      <c r="CT121" t="str">
        <f>""</f>
        <v/>
      </c>
      <c r="CU121" t="str">
        <f>""</f>
        <v/>
      </c>
      <c r="CV121" t="str">
        <f>""</f>
        <v/>
      </c>
      <c r="CW121" t="str">
        <f>""</f>
        <v/>
      </c>
      <c r="CX121" t="str">
        <f>""</f>
        <v/>
      </c>
      <c r="CY121" t="str">
        <f>""</f>
        <v/>
      </c>
      <c r="CZ121" t="str">
        <f>""</f>
        <v/>
      </c>
      <c r="DA121" t="str">
        <f>""</f>
        <v/>
      </c>
      <c r="DB121" t="str">
        <f>""</f>
        <v/>
      </c>
      <c r="DC121" t="str">
        <f>""</f>
        <v/>
      </c>
      <c r="DD121" t="str">
        <f>""</f>
        <v/>
      </c>
      <c r="DE121" t="str">
        <f>""</f>
        <v/>
      </c>
      <c r="DF121" t="str">
        <f>""</f>
        <v/>
      </c>
      <c r="DG121" t="str">
        <f>""</f>
        <v/>
      </c>
      <c r="DH121" t="str">
        <f>""</f>
        <v/>
      </c>
      <c r="DI121" t="str">
        <f>""</f>
        <v/>
      </c>
      <c r="DJ121" t="str">
        <f>""</f>
        <v/>
      </c>
      <c r="DK121" t="str">
        <f>""</f>
        <v/>
      </c>
      <c r="DL121" t="str">
        <f>""</f>
        <v/>
      </c>
      <c r="DM121" t="str">
        <f>""</f>
        <v/>
      </c>
      <c r="DN121" t="str">
        <f>""</f>
        <v/>
      </c>
      <c r="DO121" t="str">
        <f>""</f>
        <v/>
      </c>
      <c r="DP121" t="str">
        <f>""</f>
        <v/>
      </c>
      <c r="DQ121" t="str">
        <f>""</f>
        <v/>
      </c>
      <c r="DR121" t="str">
        <f>""</f>
        <v/>
      </c>
      <c r="DS121" t="str">
        <f>""</f>
        <v/>
      </c>
      <c r="DT121" t="str">
        <f>""</f>
        <v/>
      </c>
      <c r="DU121" t="str">
        <f>""</f>
        <v/>
      </c>
      <c r="DV121" t="str">
        <f>""</f>
        <v/>
      </c>
      <c r="DW121" t="str">
        <f>""</f>
        <v/>
      </c>
      <c r="DX121" t="str">
        <f>""</f>
        <v/>
      </c>
      <c r="DY121" t="str">
        <f>""</f>
        <v/>
      </c>
      <c r="DZ121" t="str">
        <f>""</f>
        <v/>
      </c>
      <c r="EA121" t="str">
        <f>""</f>
        <v/>
      </c>
      <c r="EB121" t="str">
        <f>""</f>
        <v/>
      </c>
      <c r="EC121" t="str">
        <f>""</f>
        <v/>
      </c>
      <c r="ED121" t="str">
        <f>""</f>
        <v/>
      </c>
      <c r="EE121" t="str">
        <f>""</f>
        <v/>
      </c>
      <c r="EF121" t="str">
        <f>""</f>
        <v/>
      </c>
      <c r="EG121" t="str">
        <f>""</f>
        <v/>
      </c>
      <c r="EH121" t="str">
        <f>""</f>
        <v/>
      </c>
      <c r="EI121" t="str">
        <f>""</f>
        <v/>
      </c>
      <c r="EJ121" t="str">
        <f>""</f>
        <v/>
      </c>
      <c r="EK121" t="str">
        <f>""</f>
        <v/>
      </c>
      <c r="EL121" t="str">
        <f>""</f>
        <v/>
      </c>
      <c r="EM121" t="str">
        <f>""</f>
        <v/>
      </c>
      <c r="EN121" t="str">
        <f>""</f>
        <v/>
      </c>
      <c r="EO121" t="str">
        <f>""</f>
        <v/>
      </c>
      <c r="EP121" t="str">
        <f>""</f>
        <v/>
      </c>
      <c r="EQ121" t="str">
        <f>""</f>
        <v/>
      </c>
      <c r="ER121" t="str">
        <f>""</f>
        <v/>
      </c>
      <c r="ES121" t="str">
        <f>""</f>
        <v/>
      </c>
      <c r="ET121" t="str">
        <f>""</f>
        <v/>
      </c>
      <c r="EU121" t="str">
        <f>""</f>
        <v/>
      </c>
      <c r="EV121" t="str">
        <f>""</f>
        <v/>
      </c>
      <c r="EW121" t="str">
        <f>""</f>
        <v/>
      </c>
      <c r="EX121" t="str">
        <f>""</f>
        <v/>
      </c>
      <c r="EY121" t="str">
        <f>""</f>
        <v/>
      </c>
      <c r="EZ121" t="str">
        <f>""</f>
        <v/>
      </c>
      <c r="FA121" t="str">
        <f>""</f>
        <v/>
      </c>
      <c r="FB121" t="str">
        <f>""</f>
        <v/>
      </c>
      <c r="FC121" t="str">
        <f>""</f>
        <v/>
      </c>
      <c r="FD121" t="str">
        <f>""</f>
        <v/>
      </c>
      <c r="FE121" t="str">
        <f>""</f>
        <v/>
      </c>
      <c r="FF121" t="str">
        <f>""</f>
        <v/>
      </c>
      <c r="FG121" t="str">
        <f>""</f>
        <v/>
      </c>
      <c r="FH121" t="str">
        <f>""</f>
        <v/>
      </c>
      <c r="FI121" t="str">
        <f>""</f>
        <v/>
      </c>
      <c r="FJ121" t="str">
        <f>""</f>
        <v/>
      </c>
      <c r="FK121" t="str">
        <f>""</f>
        <v/>
      </c>
      <c r="FL121" t="str">
        <f>""</f>
        <v/>
      </c>
      <c r="FM121" t="str">
        <f>""</f>
        <v/>
      </c>
      <c r="FN121" t="str">
        <f>""</f>
        <v/>
      </c>
      <c r="FO121" t="str">
        <f>""</f>
        <v/>
      </c>
      <c r="FP121" t="str">
        <f>""</f>
        <v/>
      </c>
      <c r="FQ121" t="str">
        <f>""</f>
        <v/>
      </c>
    </row>
    <row r="122" spans="1:173" x14ac:dyDescent="0.25">
      <c r="A122" t="str">
        <f>"This is End Date"</f>
        <v>This is End Date</v>
      </c>
      <c r="B122">
        <f ca="1">$B$68</f>
        <v>45242</v>
      </c>
      <c r="C122" t="str">
        <f>""</f>
        <v/>
      </c>
      <c r="D122" t="str">
        <f>""</f>
        <v/>
      </c>
      <c r="E122" t="str">
        <f>""</f>
        <v/>
      </c>
      <c r="CL122" t="str">
        <f>""</f>
        <v/>
      </c>
      <c r="CM122" t="str">
        <f>""</f>
        <v/>
      </c>
      <c r="CN122" t="str">
        <f>""</f>
        <v/>
      </c>
      <c r="CO122" t="str">
        <f>""</f>
        <v/>
      </c>
      <c r="CP122" t="str">
        <f>""</f>
        <v/>
      </c>
      <c r="CQ122" t="str">
        <f>""</f>
        <v/>
      </c>
      <c r="CR122" t="str">
        <f>""</f>
        <v/>
      </c>
      <c r="CS122" t="str">
        <f>""</f>
        <v/>
      </c>
      <c r="CT122" t="str">
        <f>""</f>
        <v/>
      </c>
      <c r="CU122" t="str">
        <f>""</f>
        <v/>
      </c>
      <c r="CV122" t="str">
        <f>""</f>
        <v/>
      </c>
      <c r="CW122" t="str">
        <f>""</f>
        <v/>
      </c>
      <c r="CX122" t="str">
        <f>""</f>
        <v/>
      </c>
      <c r="CY122" t="str">
        <f>""</f>
        <v/>
      </c>
      <c r="CZ122" t="str">
        <f>""</f>
        <v/>
      </c>
      <c r="DA122" t="str">
        <f>""</f>
        <v/>
      </c>
      <c r="DB122" t="str">
        <f>""</f>
        <v/>
      </c>
      <c r="DC122" t="str">
        <f>""</f>
        <v/>
      </c>
      <c r="DD122" t="str">
        <f>""</f>
        <v/>
      </c>
      <c r="DE122" t="str">
        <f>""</f>
        <v/>
      </c>
      <c r="DF122" t="str">
        <f>""</f>
        <v/>
      </c>
      <c r="DG122" t="str">
        <f>""</f>
        <v/>
      </c>
      <c r="DH122" t="str">
        <f>""</f>
        <v/>
      </c>
      <c r="DI122" t="str">
        <f>""</f>
        <v/>
      </c>
      <c r="DJ122" t="str">
        <f>""</f>
        <v/>
      </c>
      <c r="DK122" t="str">
        <f>""</f>
        <v/>
      </c>
      <c r="DL122" t="str">
        <f>""</f>
        <v/>
      </c>
      <c r="DM122" t="str">
        <f>""</f>
        <v/>
      </c>
      <c r="DN122" t="str">
        <f>""</f>
        <v/>
      </c>
      <c r="DO122" t="str">
        <f>""</f>
        <v/>
      </c>
      <c r="DP122" t="str">
        <f>""</f>
        <v/>
      </c>
      <c r="DQ122" t="str">
        <f>""</f>
        <v/>
      </c>
      <c r="DR122" t="str">
        <f>""</f>
        <v/>
      </c>
      <c r="DS122" t="str">
        <f>""</f>
        <v/>
      </c>
      <c r="DT122" t="str">
        <f>""</f>
        <v/>
      </c>
      <c r="DU122" t="str">
        <f>""</f>
        <v/>
      </c>
      <c r="DV122" t="str">
        <f>""</f>
        <v/>
      </c>
      <c r="DW122" t="str">
        <f>""</f>
        <v/>
      </c>
      <c r="DX122" t="str">
        <f>""</f>
        <v/>
      </c>
      <c r="DY122" t="str">
        <f>""</f>
        <v/>
      </c>
      <c r="DZ122" t="str">
        <f>""</f>
        <v/>
      </c>
      <c r="EA122" t="str">
        <f>""</f>
        <v/>
      </c>
      <c r="EB122" t="str">
        <f>""</f>
        <v/>
      </c>
      <c r="EC122" t="str">
        <f>""</f>
        <v/>
      </c>
      <c r="ED122" t="str">
        <f>""</f>
        <v/>
      </c>
      <c r="EE122" t="str">
        <f>""</f>
        <v/>
      </c>
      <c r="EF122" t="str">
        <f>""</f>
        <v/>
      </c>
      <c r="EG122" t="str">
        <f>""</f>
        <v/>
      </c>
      <c r="EH122" t="str">
        <f>""</f>
        <v/>
      </c>
      <c r="EI122" t="str">
        <f>""</f>
        <v/>
      </c>
      <c r="EJ122" t="str">
        <f>""</f>
        <v/>
      </c>
      <c r="EK122" t="str">
        <f>""</f>
        <v/>
      </c>
      <c r="EL122" t="str">
        <f>""</f>
        <v/>
      </c>
      <c r="EM122" t="str">
        <f>""</f>
        <v/>
      </c>
      <c r="EN122" t="str">
        <f>""</f>
        <v/>
      </c>
      <c r="EO122" t="str">
        <f>""</f>
        <v/>
      </c>
      <c r="EP122" t="str">
        <f>""</f>
        <v/>
      </c>
      <c r="EQ122" t="str">
        <f>""</f>
        <v/>
      </c>
      <c r="ER122" t="str">
        <f>""</f>
        <v/>
      </c>
      <c r="ES122" t="str">
        <f>""</f>
        <v/>
      </c>
      <c r="ET122" t="str">
        <f>""</f>
        <v/>
      </c>
      <c r="EU122" t="str">
        <f>""</f>
        <v/>
      </c>
      <c r="EV122" t="str">
        <f>""</f>
        <v/>
      </c>
      <c r="EW122" t="str">
        <f>""</f>
        <v/>
      </c>
      <c r="EX122" t="str">
        <f>""</f>
        <v/>
      </c>
      <c r="EY122" t="str">
        <f>""</f>
        <v/>
      </c>
      <c r="EZ122" t="str">
        <f>""</f>
        <v/>
      </c>
      <c r="FA122" t="str">
        <f>""</f>
        <v/>
      </c>
      <c r="FB122" t="str">
        <f>""</f>
        <v/>
      </c>
      <c r="FC122" t="str">
        <f>""</f>
        <v/>
      </c>
      <c r="FD122" t="str">
        <f>""</f>
        <v/>
      </c>
      <c r="FE122" t="str">
        <f>""</f>
        <v/>
      </c>
      <c r="FF122" t="str">
        <f>""</f>
        <v/>
      </c>
      <c r="FG122" t="str">
        <f>""</f>
        <v/>
      </c>
      <c r="FH122" t="str">
        <f>""</f>
        <v/>
      </c>
      <c r="FI122" t="str">
        <f>""</f>
        <v/>
      </c>
      <c r="FJ122" t="str">
        <f>""</f>
        <v/>
      </c>
      <c r="FK122" t="str">
        <f>""</f>
        <v/>
      </c>
      <c r="FL122" t="str">
        <f>""</f>
        <v/>
      </c>
      <c r="FM122" t="str">
        <f>""</f>
        <v/>
      </c>
      <c r="FN122" t="str">
        <f>""</f>
        <v/>
      </c>
      <c r="FO122" t="str">
        <f>""</f>
        <v/>
      </c>
      <c r="FP122" t="str">
        <f>""</f>
        <v/>
      </c>
      <c r="FQ122" t="str">
        <f>""</f>
        <v/>
      </c>
    </row>
    <row r="123" spans="1:173" x14ac:dyDescent="0.25">
      <c r="A123" t="str">
        <f>"Description"</f>
        <v>Description</v>
      </c>
      <c r="B123" t="str">
        <f>"Ticker"</f>
        <v>Ticker</v>
      </c>
      <c r="C123" t="str">
        <f>"Field ID"</f>
        <v>Field ID</v>
      </c>
      <c r="D123" t="str">
        <f>"Field Mnemonic"</f>
        <v>Field Mnemonic</v>
      </c>
      <c r="E123" t="str">
        <f>"Data State"</f>
        <v>Data State</v>
      </c>
      <c r="CL123" t="str">
        <f>""</f>
        <v/>
      </c>
      <c r="CM123" t="str">
        <f>""</f>
        <v/>
      </c>
      <c r="CN123" t="str">
        <f>""</f>
        <v/>
      </c>
      <c r="CO123" t="str">
        <f>""</f>
        <v/>
      </c>
      <c r="CP123" t="str">
        <f>""</f>
        <v/>
      </c>
      <c r="CQ123" t="str">
        <f>""</f>
        <v/>
      </c>
      <c r="CR123" t="str">
        <f>""</f>
        <v/>
      </c>
      <c r="CS123" t="str">
        <f>""</f>
        <v/>
      </c>
      <c r="CT123" t="str">
        <f>""</f>
        <v/>
      </c>
      <c r="CU123" t="str">
        <f>""</f>
        <v/>
      </c>
      <c r="CV123" t="str">
        <f>""</f>
        <v/>
      </c>
      <c r="CW123" t="str">
        <f>""</f>
        <v/>
      </c>
      <c r="CX123" t="str">
        <f>""</f>
        <v/>
      </c>
      <c r="CY123" t="str">
        <f>""</f>
        <v/>
      </c>
      <c r="CZ123" t="str">
        <f>""</f>
        <v/>
      </c>
      <c r="DA123" t="str">
        <f>""</f>
        <v/>
      </c>
      <c r="DB123" t="str">
        <f>""</f>
        <v/>
      </c>
      <c r="DC123" t="str">
        <f>""</f>
        <v/>
      </c>
      <c r="DD123" t="str">
        <f>""</f>
        <v/>
      </c>
      <c r="DE123" t="str">
        <f>""</f>
        <v/>
      </c>
      <c r="DF123" t="str">
        <f>""</f>
        <v/>
      </c>
      <c r="DG123" t="str">
        <f>""</f>
        <v/>
      </c>
      <c r="DH123" t="str">
        <f>""</f>
        <v/>
      </c>
      <c r="DI123" t="str">
        <f>""</f>
        <v/>
      </c>
      <c r="DJ123" t="str">
        <f>""</f>
        <v/>
      </c>
      <c r="DK123" t="str">
        <f>""</f>
        <v/>
      </c>
      <c r="DL123" t="str">
        <f>""</f>
        <v/>
      </c>
      <c r="DM123" t="str">
        <f>""</f>
        <v/>
      </c>
      <c r="DN123" t="str">
        <f>""</f>
        <v/>
      </c>
      <c r="DO123" t="str">
        <f>""</f>
        <v/>
      </c>
      <c r="DP123" t="str">
        <f>""</f>
        <v/>
      </c>
      <c r="DQ123" t="str">
        <f>""</f>
        <v/>
      </c>
      <c r="DR123" t="str">
        <f>""</f>
        <v/>
      </c>
      <c r="DS123" t="str">
        <f>""</f>
        <v/>
      </c>
      <c r="DT123" t="str">
        <f>""</f>
        <v/>
      </c>
      <c r="DU123" t="str">
        <f>""</f>
        <v/>
      </c>
      <c r="DV123" t="str">
        <f>""</f>
        <v/>
      </c>
      <c r="DW123" t="str">
        <f>""</f>
        <v/>
      </c>
      <c r="DX123" t="str">
        <f>""</f>
        <v/>
      </c>
      <c r="DY123" t="str">
        <f>""</f>
        <v/>
      </c>
      <c r="DZ123" t="str">
        <f>""</f>
        <v/>
      </c>
      <c r="EA123" t="str">
        <f>""</f>
        <v/>
      </c>
      <c r="EB123" t="str">
        <f>""</f>
        <v/>
      </c>
      <c r="EC123" t="str">
        <f>""</f>
        <v/>
      </c>
      <c r="ED123" t="str">
        <f>""</f>
        <v/>
      </c>
      <c r="EE123" t="str">
        <f>""</f>
        <v/>
      </c>
      <c r="EF123" t="str">
        <f>""</f>
        <v/>
      </c>
      <c r="EG123" t="str">
        <f>""</f>
        <v/>
      </c>
      <c r="EH123" t="str">
        <f>""</f>
        <v/>
      </c>
      <c r="EI123" t="str">
        <f>""</f>
        <v/>
      </c>
      <c r="EJ123" t="str">
        <f>""</f>
        <v/>
      </c>
      <c r="EK123" t="str">
        <f>""</f>
        <v/>
      </c>
      <c r="EL123" t="str">
        <f>""</f>
        <v/>
      </c>
      <c r="EM123" t="str">
        <f>""</f>
        <v/>
      </c>
      <c r="EN123" t="str">
        <f>""</f>
        <v/>
      </c>
      <c r="EO123" t="str">
        <f>""</f>
        <v/>
      </c>
      <c r="EP123" t="str">
        <f>""</f>
        <v/>
      </c>
      <c r="EQ123" t="str">
        <f>""</f>
        <v/>
      </c>
      <c r="ER123" t="str">
        <f>""</f>
        <v/>
      </c>
      <c r="ES123" t="str">
        <f>""</f>
        <v/>
      </c>
      <c r="ET123" t="str">
        <f>""</f>
        <v/>
      </c>
      <c r="EU123" t="str">
        <f>""</f>
        <v/>
      </c>
      <c r="EV123" t="str">
        <f>""</f>
        <v/>
      </c>
      <c r="EW123" t="str">
        <f>""</f>
        <v/>
      </c>
      <c r="EX123" t="str">
        <f>""</f>
        <v/>
      </c>
      <c r="EY123" t="str">
        <f>""</f>
        <v/>
      </c>
      <c r="EZ123" t="str">
        <f>""</f>
        <v/>
      </c>
      <c r="FA123" t="str">
        <f>""</f>
        <v/>
      </c>
      <c r="FB123" t="str">
        <f>""</f>
        <v/>
      </c>
      <c r="FC123" t="str">
        <f>""</f>
        <v/>
      </c>
      <c r="FD123" t="str">
        <f>""</f>
        <v/>
      </c>
      <c r="FE123" t="str">
        <f>""</f>
        <v/>
      </c>
      <c r="FF123" t="str">
        <f>""</f>
        <v/>
      </c>
      <c r="FG123" t="str">
        <f>""</f>
        <v/>
      </c>
      <c r="FH123" t="str">
        <f>""</f>
        <v/>
      </c>
      <c r="FI123" t="str">
        <f>""</f>
        <v/>
      </c>
      <c r="FJ123" t="str">
        <f>""</f>
        <v/>
      </c>
      <c r="FK123" t="str">
        <f>""</f>
        <v/>
      </c>
      <c r="FL123" t="str">
        <f>""</f>
        <v/>
      </c>
      <c r="FM123" t="str">
        <f>""</f>
        <v/>
      </c>
      <c r="FN123" t="str">
        <f>""</f>
        <v/>
      </c>
      <c r="FO123" t="str">
        <f>""</f>
        <v/>
      </c>
      <c r="FP123" t="str">
        <f>""</f>
        <v/>
      </c>
      <c r="FQ123" t="str">
        <f>""</f>
        <v/>
      </c>
    </row>
    <row r="124" spans="1:173" x14ac:dyDescent="0.25">
      <c r="A124" t="str">
        <f>"Snapshot Date"</f>
        <v>Snapshot Date</v>
      </c>
      <c r="B124">
        <f>DATE(2023, 11,12)</f>
        <v>45242</v>
      </c>
      <c r="C124" t="str">
        <f>""</f>
        <v/>
      </c>
      <c r="D124" t="str">
        <f>""</f>
        <v/>
      </c>
      <c r="E124" t="str">
        <f>""</f>
        <v/>
      </c>
      <c r="CL124" t="str">
        <f>""</f>
        <v/>
      </c>
      <c r="CM124" t="str">
        <f>""</f>
        <v/>
      </c>
      <c r="CN124" t="str">
        <f>""</f>
        <v/>
      </c>
      <c r="CO124" t="str">
        <f>""</f>
        <v/>
      </c>
      <c r="CP124" t="str">
        <f>""</f>
        <v/>
      </c>
      <c r="CQ124" t="str">
        <f>""</f>
        <v/>
      </c>
      <c r="CR124" t="str">
        <f>""</f>
        <v/>
      </c>
      <c r="CS124" t="str">
        <f>""</f>
        <v/>
      </c>
      <c r="CT124" t="str">
        <f>""</f>
        <v/>
      </c>
      <c r="CU124" t="str">
        <f>""</f>
        <v/>
      </c>
      <c r="CV124" t="str">
        <f>""</f>
        <v/>
      </c>
      <c r="CW124" t="str">
        <f>""</f>
        <v/>
      </c>
      <c r="CX124" t="str">
        <f>""</f>
        <v/>
      </c>
      <c r="CY124" t="str">
        <f>""</f>
        <v/>
      </c>
      <c r="CZ124" t="str">
        <f>""</f>
        <v/>
      </c>
      <c r="DA124" t="str">
        <f>""</f>
        <v/>
      </c>
      <c r="DB124" t="str">
        <f>""</f>
        <v/>
      </c>
      <c r="DC124" t="str">
        <f>""</f>
        <v/>
      </c>
      <c r="DD124" t="str">
        <f>""</f>
        <v/>
      </c>
      <c r="DE124" t="str">
        <f>""</f>
        <v/>
      </c>
      <c r="DF124" t="str">
        <f>""</f>
        <v/>
      </c>
      <c r="DG124" t="str">
        <f>""</f>
        <v/>
      </c>
      <c r="DH124" t="str">
        <f>""</f>
        <v/>
      </c>
      <c r="DI124" t="str">
        <f>""</f>
        <v/>
      </c>
      <c r="DJ124" t="str">
        <f>""</f>
        <v/>
      </c>
      <c r="DK124" t="str">
        <f>""</f>
        <v/>
      </c>
      <c r="DL124" t="str">
        <f>""</f>
        <v/>
      </c>
      <c r="DM124" t="str">
        <f>""</f>
        <v/>
      </c>
      <c r="DN124" t="str">
        <f>""</f>
        <v/>
      </c>
      <c r="DO124" t="str">
        <f>""</f>
        <v/>
      </c>
      <c r="DP124" t="str">
        <f>""</f>
        <v/>
      </c>
      <c r="DQ124" t="str">
        <f>""</f>
        <v/>
      </c>
      <c r="DR124" t="str">
        <f>""</f>
        <v/>
      </c>
      <c r="DS124" t="str">
        <f>""</f>
        <v/>
      </c>
      <c r="DT124" t="str">
        <f>""</f>
        <v/>
      </c>
      <c r="DU124" t="str">
        <f>""</f>
        <v/>
      </c>
      <c r="DV124" t="str">
        <f>""</f>
        <v/>
      </c>
      <c r="DW124" t="str">
        <f>""</f>
        <v/>
      </c>
      <c r="DX124" t="str">
        <f>""</f>
        <v/>
      </c>
      <c r="DY124" t="str">
        <f>""</f>
        <v/>
      </c>
      <c r="DZ124" t="str">
        <f>""</f>
        <v/>
      </c>
      <c r="EA124" t="str">
        <f>""</f>
        <v/>
      </c>
      <c r="EB124" t="str">
        <f>""</f>
        <v/>
      </c>
      <c r="EC124" t="str">
        <f>""</f>
        <v/>
      </c>
      <c r="ED124" t="str">
        <f>""</f>
        <v/>
      </c>
      <c r="EE124" t="str">
        <f>""</f>
        <v/>
      </c>
      <c r="EF124" t="str">
        <f>""</f>
        <v/>
      </c>
      <c r="EG124" t="str">
        <f>""</f>
        <v/>
      </c>
      <c r="EH124" t="str">
        <f>""</f>
        <v/>
      </c>
      <c r="EI124" t="str">
        <f>""</f>
        <v/>
      </c>
      <c r="EJ124" t="str">
        <f>""</f>
        <v/>
      </c>
      <c r="EK124" t="str">
        <f>""</f>
        <v/>
      </c>
      <c r="EL124" t="str">
        <f>""</f>
        <v/>
      </c>
      <c r="EM124" t="str">
        <f>""</f>
        <v/>
      </c>
      <c r="EN124" t="str">
        <f>""</f>
        <v/>
      </c>
      <c r="EO124" t="str">
        <f>""</f>
        <v/>
      </c>
      <c r="EP124" t="str">
        <f>""</f>
        <v/>
      </c>
      <c r="EQ124" t="str">
        <f>""</f>
        <v/>
      </c>
      <c r="ER124" t="str">
        <f>""</f>
        <v/>
      </c>
      <c r="ES124" t="str">
        <f>""</f>
        <v/>
      </c>
      <c r="ET124" t="str">
        <f>""</f>
        <v/>
      </c>
      <c r="EU124" t="str">
        <f>""</f>
        <v/>
      </c>
      <c r="EV124" t="str">
        <f>""</f>
        <v/>
      </c>
      <c r="EW124" t="str">
        <f>""</f>
        <v/>
      </c>
      <c r="EX124" t="str">
        <f>""</f>
        <v/>
      </c>
      <c r="EY124" t="str">
        <f>""</f>
        <v/>
      </c>
      <c r="EZ124" t="str">
        <f>""</f>
        <v/>
      </c>
      <c r="FA124" t="str">
        <f>""</f>
        <v/>
      </c>
      <c r="FB124" t="str">
        <f>""</f>
        <v/>
      </c>
      <c r="FC124" t="str">
        <f>""</f>
        <v/>
      </c>
      <c r="FD124" t="str">
        <f>""</f>
        <v/>
      </c>
      <c r="FE124" t="str">
        <f>""</f>
        <v/>
      </c>
      <c r="FF124" t="str">
        <f>""</f>
        <v/>
      </c>
      <c r="FG124" t="str">
        <f>""</f>
        <v/>
      </c>
      <c r="FH124" t="str">
        <f>""</f>
        <v/>
      </c>
      <c r="FI124" t="str">
        <f>""</f>
        <v/>
      </c>
      <c r="FJ124" t="str">
        <f>""</f>
        <v/>
      </c>
      <c r="FK124" t="str">
        <f>""</f>
        <v/>
      </c>
      <c r="FL124" t="str">
        <f>""</f>
        <v/>
      </c>
      <c r="FM124" t="str">
        <f>""</f>
        <v/>
      </c>
      <c r="FN124" t="str">
        <f>""</f>
        <v/>
      </c>
      <c r="FO124" t="str">
        <f>""</f>
        <v/>
      </c>
      <c r="FP124" t="str">
        <f>""</f>
        <v/>
      </c>
      <c r="FQ124" t="str">
        <f>""</f>
        <v/>
      </c>
    </row>
    <row r="125" spans="1:173" x14ac:dyDescent="0.25">
      <c r="A125" t="str">
        <f>"Snapshot header"</f>
        <v>Snapshot header</v>
      </c>
      <c r="B125">
        <f>2</f>
        <v>2</v>
      </c>
      <c r="C125" t="str">
        <f>"10/2023"</f>
        <v>10/2023</v>
      </c>
      <c r="D125" t="str">
        <f>"9/2023"</f>
        <v>9/2023</v>
      </c>
      <c r="E125" t="str">
        <f>"8/2023"</f>
        <v>8/2023</v>
      </c>
      <c r="F125" t="str">
        <f>"7/2023"</f>
        <v>7/2023</v>
      </c>
      <c r="G125" t="str">
        <f>"6/2023"</f>
        <v>6/2023</v>
      </c>
      <c r="H125" t="str">
        <f>"5/2023"</f>
        <v>5/2023</v>
      </c>
      <c r="I125" t="str">
        <f>"4/2023"</f>
        <v>4/2023</v>
      </c>
      <c r="J125" t="str">
        <f>"3/2023"</f>
        <v>3/2023</v>
      </c>
      <c r="K125" t="str">
        <f>"2/2023"</f>
        <v>2/2023</v>
      </c>
      <c r="L125" t="str">
        <f>"1/2023"</f>
        <v>1/2023</v>
      </c>
      <c r="M125" t="str">
        <f>"12/2022"</f>
        <v>12/2022</v>
      </c>
      <c r="N125" t="str">
        <f>"11/2022"</f>
        <v>11/2022</v>
      </c>
      <c r="O125" t="str">
        <f>"10/2022"</f>
        <v>10/2022</v>
      </c>
      <c r="P125" t="str">
        <f>"9/2022"</f>
        <v>9/2022</v>
      </c>
      <c r="Q125" t="str">
        <f>"8/2022"</f>
        <v>8/2022</v>
      </c>
      <c r="R125" t="str">
        <f>"7/2022"</f>
        <v>7/2022</v>
      </c>
      <c r="S125" t="str">
        <f>"6/2022"</f>
        <v>6/2022</v>
      </c>
      <c r="T125" t="str">
        <f>"5/2022"</f>
        <v>5/2022</v>
      </c>
      <c r="U125" t="str">
        <f>"4/2022"</f>
        <v>4/2022</v>
      </c>
      <c r="V125" t="str">
        <f>"3/2022"</f>
        <v>3/2022</v>
      </c>
      <c r="W125" t="str">
        <f>"2/2022"</f>
        <v>2/2022</v>
      </c>
      <c r="X125" t="str">
        <f>"1/2022"</f>
        <v>1/2022</v>
      </c>
      <c r="Y125" t="str">
        <f>"12/2021"</f>
        <v>12/2021</v>
      </c>
      <c r="Z125" t="str">
        <f>"11/2021"</f>
        <v>11/2021</v>
      </c>
      <c r="AA125" t="str">
        <f>"10/2021"</f>
        <v>10/2021</v>
      </c>
      <c r="AB125" t="str">
        <f>"9/2021"</f>
        <v>9/2021</v>
      </c>
      <c r="AC125" t="str">
        <f>"8/2021"</f>
        <v>8/2021</v>
      </c>
      <c r="AD125" t="str">
        <f>"7/2021"</f>
        <v>7/2021</v>
      </c>
      <c r="AE125" t="str">
        <f>"6/2021"</f>
        <v>6/2021</v>
      </c>
      <c r="AF125" t="str">
        <f>"5/2021"</f>
        <v>5/2021</v>
      </c>
      <c r="AG125" t="str">
        <f>"4/2021"</f>
        <v>4/2021</v>
      </c>
      <c r="AH125" t="str">
        <f>"3/2021"</f>
        <v>3/2021</v>
      </c>
      <c r="AI125" t="str">
        <f>"2/2021"</f>
        <v>2/2021</v>
      </c>
      <c r="AJ125" t="str">
        <f>"1/2021"</f>
        <v>1/2021</v>
      </c>
      <c r="AK125" t="str">
        <f>"12/2020"</f>
        <v>12/2020</v>
      </c>
      <c r="AL125" t="str">
        <f>"11/2020"</f>
        <v>11/2020</v>
      </c>
      <c r="AM125" t="str">
        <f>"10/2020"</f>
        <v>10/2020</v>
      </c>
      <c r="AN125" t="str">
        <f>"9/2020"</f>
        <v>9/2020</v>
      </c>
      <c r="AO125" t="str">
        <f>"8/2020"</f>
        <v>8/2020</v>
      </c>
      <c r="AP125" t="str">
        <f>"7/2020"</f>
        <v>7/2020</v>
      </c>
      <c r="AQ125" t="str">
        <f>"6/2020"</f>
        <v>6/2020</v>
      </c>
      <c r="AR125" t="str">
        <f>"5/2020"</f>
        <v>5/2020</v>
      </c>
      <c r="AS125" t="str">
        <f>"4/2020"</f>
        <v>4/2020</v>
      </c>
      <c r="AT125" t="str">
        <f>"3/2020"</f>
        <v>3/2020</v>
      </c>
      <c r="AU125" t="str">
        <f>"2/2020"</f>
        <v>2/2020</v>
      </c>
      <c r="AV125" t="str">
        <f>"1/2020"</f>
        <v>1/2020</v>
      </c>
      <c r="AW125" t="str">
        <f>"12/2019"</f>
        <v>12/2019</v>
      </c>
      <c r="AX125" t="str">
        <f>"11/2019"</f>
        <v>11/2019</v>
      </c>
      <c r="AY125" t="str">
        <f>"10/2019"</f>
        <v>10/2019</v>
      </c>
      <c r="AZ125" t="str">
        <f>"9/2019"</f>
        <v>9/2019</v>
      </c>
      <c r="BA125" t="str">
        <f>"8/2019"</f>
        <v>8/2019</v>
      </c>
      <c r="BB125" t="str">
        <f>"7/2019"</f>
        <v>7/2019</v>
      </c>
      <c r="BC125" t="str">
        <f>"6/2019"</f>
        <v>6/2019</v>
      </c>
      <c r="BD125" t="str">
        <f>"5/2019"</f>
        <v>5/2019</v>
      </c>
      <c r="BE125" t="str">
        <f>"4/2019"</f>
        <v>4/2019</v>
      </c>
      <c r="BF125" t="str">
        <f>"3/2019"</f>
        <v>3/2019</v>
      </c>
      <c r="BG125" t="str">
        <f>"2/2019"</f>
        <v>2/2019</v>
      </c>
      <c r="BH125" t="str">
        <f>"1/2019"</f>
        <v>1/2019</v>
      </c>
      <c r="BI125" t="str">
        <f>"12/2018"</f>
        <v>12/2018</v>
      </c>
      <c r="BJ125" t="str">
        <f>"11/2018"</f>
        <v>11/2018</v>
      </c>
      <c r="BK125" t="str">
        <f>"10/2018"</f>
        <v>10/2018</v>
      </c>
      <c r="BL125" t="str">
        <f>"9/2018"</f>
        <v>9/2018</v>
      </c>
      <c r="BM125" t="str">
        <f>"8/2018"</f>
        <v>8/2018</v>
      </c>
      <c r="BN125" t="str">
        <f>"7/2018"</f>
        <v>7/2018</v>
      </c>
      <c r="BO125" t="str">
        <f>"6/2018"</f>
        <v>6/2018</v>
      </c>
      <c r="BP125" t="str">
        <f>"5/2018"</f>
        <v>5/2018</v>
      </c>
      <c r="BQ125" t="str">
        <f>"4/2018"</f>
        <v>4/2018</v>
      </c>
      <c r="BR125" t="str">
        <f>"3/2018"</f>
        <v>3/2018</v>
      </c>
      <c r="BS125" t="str">
        <f>"2/2018"</f>
        <v>2/2018</v>
      </c>
      <c r="BT125" t="str">
        <f>"1/2018"</f>
        <v>1/2018</v>
      </c>
      <c r="BU125" t="str">
        <f>"12/2017"</f>
        <v>12/2017</v>
      </c>
      <c r="BV125" t="str">
        <f>"11/2017"</f>
        <v>11/2017</v>
      </c>
      <c r="BW125" t="str">
        <f>"10/2017"</f>
        <v>10/2017</v>
      </c>
      <c r="BX125" t="str">
        <f>"9/2017"</f>
        <v>9/2017</v>
      </c>
      <c r="BY125" t="str">
        <f>"8/2017"</f>
        <v>8/2017</v>
      </c>
      <c r="BZ125" t="str">
        <f>"7/2017"</f>
        <v>7/2017</v>
      </c>
      <c r="CA125" t="str">
        <f>"6/2017"</f>
        <v>6/2017</v>
      </c>
      <c r="CB125" t="str">
        <f>"5/2017"</f>
        <v>5/2017</v>
      </c>
      <c r="CC125" t="str">
        <f>"4/2017"</f>
        <v>4/2017</v>
      </c>
      <c r="CD125" t="str">
        <f>"3/2017"</f>
        <v>3/2017</v>
      </c>
      <c r="CE125" t="str">
        <f>"2/2017"</f>
        <v>2/2017</v>
      </c>
      <c r="CF125" t="str">
        <f>"1/2017"</f>
        <v>1/2017</v>
      </c>
      <c r="CG125" t="str">
        <f>"12/2016"</f>
        <v>12/2016</v>
      </c>
      <c r="CH125" t="str">
        <f>"11/2016"</f>
        <v>11/2016</v>
      </c>
      <c r="CL125" t="str">
        <f>""</f>
        <v/>
      </c>
      <c r="CM125" t="str">
        <f>""</f>
        <v/>
      </c>
      <c r="CN125" t="str">
        <f>""</f>
        <v/>
      </c>
      <c r="CO125" t="str">
        <f>""</f>
        <v/>
      </c>
      <c r="CP125" t="str">
        <f>""</f>
        <v/>
      </c>
      <c r="CQ125" t="str">
        <f>""</f>
        <v/>
      </c>
      <c r="CR125" t="str">
        <f>""</f>
        <v/>
      </c>
      <c r="CS125" t="str">
        <f>""</f>
        <v/>
      </c>
      <c r="CT125" t="str">
        <f>""</f>
        <v/>
      </c>
      <c r="CU125" t="str">
        <f>""</f>
        <v/>
      </c>
      <c r="CV125" t="str">
        <f>""</f>
        <v/>
      </c>
      <c r="CW125" t="str">
        <f>""</f>
        <v/>
      </c>
      <c r="CX125" t="str">
        <f>""</f>
        <v/>
      </c>
      <c r="CY125" t="str">
        <f>""</f>
        <v/>
      </c>
      <c r="CZ125" t="str">
        <f>""</f>
        <v/>
      </c>
      <c r="DA125" t="str">
        <f>""</f>
        <v/>
      </c>
      <c r="DB125" t="str">
        <f>""</f>
        <v/>
      </c>
      <c r="DC125" t="str">
        <f>""</f>
        <v/>
      </c>
      <c r="DD125" t="str">
        <f>""</f>
        <v/>
      </c>
      <c r="DE125" t="str">
        <f>""</f>
        <v/>
      </c>
      <c r="DF125" t="str">
        <f>""</f>
        <v/>
      </c>
      <c r="DG125" t="str">
        <f>""</f>
        <v/>
      </c>
      <c r="DH125" t="str">
        <f>""</f>
        <v/>
      </c>
      <c r="DI125" t="str">
        <f>""</f>
        <v/>
      </c>
      <c r="DJ125" t="str">
        <f>""</f>
        <v/>
      </c>
      <c r="DK125" t="str">
        <f>""</f>
        <v/>
      </c>
      <c r="DL125" t="str">
        <f>""</f>
        <v/>
      </c>
      <c r="DM125" t="str">
        <f>""</f>
        <v/>
      </c>
      <c r="DN125" t="str">
        <f>""</f>
        <v/>
      </c>
      <c r="DO125" t="str">
        <f>""</f>
        <v/>
      </c>
      <c r="DP125" t="str">
        <f>""</f>
        <v/>
      </c>
      <c r="DQ125" t="str">
        <f>""</f>
        <v/>
      </c>
      <c r="DR125" t="str">
        <f>""</f>
        <v/>
      </c>
      <c r="DS125" t="str">
        <f>""</f>
        <v/>
      </c>
      <c r="DT125" t="str">
        <f>""</f>
        <v/>
      </c>
      <c r="DU125" t="str">
        <f>""</f>
        <v/>
      </c>
      <c r="DV125" t="str">
        <f>""</f>
        <v/>
      </c>
      <c r="DW125" t="str">
        <f>""</f>
        <v/>
      </c>
      <c r="DX125" t="str">
        <f>""</f>
        <v/>
      </c>
      <c r="DY125" t="str">
        <f>""</f>
        <v/>
      </c>
      <c r="DZ125" t="str">
        <f>""</f>
        <v/>
      </c>
      <c r="EA125" t="str">
        <f>""</f>
        <v/>
      </c>
      <c r="EB125" t="str">
        <f>""</f>
        <v/>
      </c>
      <c r="EC125" t="str">
        <f>""</f>
        <v/>
      </c>
      <c r="ED125" t="str">
        <f>""</f>
        <v/>
      </c>
      <c r="EE125" t="str">
        <f>""</f>
        <v/>
      </c>
      <c r="EF125" t="str">
        <f>""</f>
        <v/>
      </c>
      <c r="EG125" t="str">
        <f>""</f>
        <v/>
      </c>
      <c r="EH125" t="str">
        <f>""</f>
        <v/>
      </c>
      <c r="EI125" t="str">
        <f>""</f>
        <v/>
      </c>
      <c r="EJ125" t="str">
        <f>""</f>
        <v/>
      </c>
      <c r="EK125" t="str">
        <f>""</f>
        <v/>
      </c>
      <c r="EL125" t="str">
        <f>""</f>
        <v/>
      </c>
      <c r="EM125" t="str">
        <f>""</f>
        <v/>
      </c>
      <c r="EN125" t="str">
        <f>""</f>
        <v/>
      </c>
      <c r="EO125" t="str">
        <f>""</f>
        <v/>
      </c>
      <c r="EP125" t="str">
        <f>""</f>
        <v/>
      </c>
      <c r="EQ125" t="str">
        <f>""</f>
        <v/>
      </c>
      <c r="ER125" t="str">
        <f>""</f>
        <v/>
      </c>
      <c r="ES125" t="str">
        <f>""</f>
        <v/>
      </c>
      <c r="ET125" t="str">
        <f>""</f>
        <v/>
      </c>
      <c r="EU125" t="str">
        <f>""</f>
        <v/>
      </c>
      <c r="EV125" t="str">
        <f>""</f>
        <v/>
      </c>
      <c r="EW125" t="str">
        <f>""</f>
        <v/>
      </c>
      <c r="EX125" t="str">
        <f>""</f>
        <v/>
      </c>
      <c r="EY125" t="str">
        <f>""</f>
        <v/>
      </c>
      <c r="EZ125" t="str">
        <f>""</f>
        <v/>
      </c>
      <c r="FA125" t="str">
        <f>""</f>
        <v/>
      </c>
      <c r="FB125" t="str">
        <f>""</f>
        <v/>
      </c>
      <c r="FC125" t="str">
        <f>""</f>
        <v/>
      </c>
      <c r="FD125" t="str">
        <f>""</f>
        <v/>
      </c>
      <c r="FE125" t="str">
        <f>""</f>
        <v/>
      </c>
      <c r="FF125" t="str">
        <f>""</f>
        <v/>
      </c>
      <c r="FG125" t="str">
        <f>""</f>
        <v/>
      </c>
      <c r="FH125" t="str">
        <f>""</f>
        <v/>
      </c>
      <c r="FI125" t="str">
        <f>""</f>
        <v/>
      </c>
      <c r="FJ125" t="str">
        <f>""</f>
        <v/>
      </c>
      <c r="FK125" t="str">
        <f>""</f>
        <v/>
      </c>
      <c r="FL125" t="str">
        <f>""</f>
        <v/>
      </c>
      <c r="FM125" t="str">
        <f>""</f>
        <v/>
      </c>
      <c r="FN125" t="str">
        <f>""</f>
        <v/>
      </c>
      <c r="FO125" t="str">
        <f>""</f>
        <v/>
      </c>
      <c r="FP125" t="str">
        <f>""</f>
        <v/>
      </c>
      <c r="FQ125" t="str">
        <f>""</f>
        <v/>
      </c>
    </row>
    <row r="126" spans="1:173" x14ac:dyDescent="0.25">
      <c r="A126" t="str">
        <f>"BDH snapshot header0"</f>
        <v>BDH snapshot header0</v>
      </c>
      <c r="B126">
        <f>IF(OR(ISERROR($C$126),ISBLANK($C$126),ISNUMBER(SEARCH("N/A",$C$126) ),ISERROR($C$127),ISBLANK($C$127)),0,1)</f>
        <v>0</v>
      </c>
      <c r="C126" t="str">
        <f>_xll.BDH($B$5,$C$5,$B$67,$B$124,"PER=CM","Dts=S","DtFmt=FI", "rows=2","Dir=H","Points=84","Sort=R","Days=A","Fill=B","FX=USD" )</f>
        <v>#N/A Invalid Parameter: Invalid override field id specified</v>
      </c>
      <c r="CL126" t="str">
        <f>""</f>
        <v/>
      </c>
      <c r="CM126" t="str">
        <f>""</f>
        <v/>
      </c>
      <c r="CN126" t="str">
        <f>""</f>
        <v/>
      </c>
      <c r="CO126" t="str">
        <f>""</f>
        <v/>
      </c>
      <c r="CP126" t="str">
        <f>""</f>
        <v/>
      </c>
      <c r="CQ126" t="str">
        <f>""</f>
        <v/>
      </c>
      <c r="CR126" t="str">
        <f>""</f>
        <v/>
      </c>
      <c r="CS126" t="str">
        <f>""</f>
        <v/>
      </c>
      <c r="CT126" t="str">
        <f>""</f>
        <v/>
      </c>
      <c r="CU126" t="str">
        <f>""</f>
        <v/>
      </c>
      <c r="CV126" t="str">
        <f>""</f>
        <v/>
      </c>
      <c r="CW126" t="str">
        <f>""</f>
        <v/>
      </c>
      <c r="CX126" t="str">
        <f>""</f>
        <v/>
      </c>
      <c r="CY126" t="str">
        <f>""</f>
        <v/>
      </c>
      <c r="CZ126" t="str">
        <f>""</f>
        <v/>
      </c>
      <c r="DA126" t="str">
        <f>""</f>
        <v/>
      </c>
      <c r="DB126" t="str">
        <f>""</f>
        <v/>
      </c>
      <c r="DC126" t="str">
        <f>""</f>
        <v/>
      </c>
      <c r="DD126" t="str">
        <f>""</f>
        <v/>
      </c>
      <c r="DE126" t="str">
        <f>""</f>
        <v/>
      </c>
      <c r="DF126" t="str">
        <f>""</f>
        <v/>
      </c>
      <c r="DG126" t="str">
        <f>""</f>
        <v/>
      </c>
      <c r="DH126" t="str">
        <f>""</f>
        <v/>
      </c>
      <c r="DI126" t="str">
        <f>""</f>
        <v/>
      </c>
      <c r="DJ126" t="str">
        <f>""</f>
        <v/>
      </c>
      <c r="DK126" t="str">
        <f>""</f>
        <v/>
      </c>
      <c r="DL126" t="str">
        <f>""</f>
        <v/>
      </c>
      <c r="DM126" t="str">
        <f>""</f>
        <v/>
      </c>
      <c r="DN126" t="str">
        <f>""</f>
        <v/>
      </c>
      <c r="DO126" t="str">
        <f>""</f>
        <v/>
      </c>
      <c r="DP126" t="str">
        <f>""</f>
        <v/>
      </c>
      <c r="DQ126" t="str">
        <f>""</f>
        <v/>
      </c>
      <c r="DR126" t="str">
        <f>""</f>
        <v/>
      </c>
      <c r="DS126" t="str">
        <f>""</f>
        <v/>
      </c>
      <c r="DT126" t="str">
        <f>""</f>
        <v/>
      </c>
      <c r="DU126" t="str">
        <f>""</f>
        <v/>
      </c>
      <c r="DV126" t="str">
        <f>""</f>
        <v/>
      </c>
      <c r="DW126" t="str">
        <f>""</f>
        <v/>
      </c>
      <c r="DX126" t="str">
        <f>""</f>
        <v/>
      </c>
      <c r="DY126" t="str">
        <f>""</f>
        <v/>
      </c>
      <c r="DZ126" t="str">
        <f>""</f>
        <v/>
      </c>
      <c r="EA126" t="str">
        <f>""</f>
        <v/>
      </c>
      <c r="EB126" t="str">
        <f>""</f>
        <v/>
      </c>
      <c r="EC126" t="str">
        <f>""</f>
        <v/>
      </c>
      <c r="ED126" t="str">
        <f>""</f>
        <v/>
      </c>
      <c r="EE126" t="str">
        <f>""</f>
        <v/>
      </c>
      <c r="EF126" t="str">
        <f>""</f>
        <v/>
      </c>
      <c r="EG126" t="str">
        <f>""</f>
        <v/>
      </c>
      <c r="EH126" t="str">
        <f>""</f>
        <v/>
      </c>
      <c r="EI126" t="str">
        <f>""</f>
        <v/>
      </c>
      <c r="EJ126" t="str">
        <f>""</f>
        <v/>
      </c>
      <c r="EK126" t="str">
        <f>""</f>
        <v/>
      </c>
      <c r="EL126" t="str">
        <f>""</f>
        <v/>
      </c>
      <c r="EM126" t="str">
        <f>""</f>
        <v/>
      </c>
      <c r="EN126" t="str">
        <f>""</f>
        <v/>
      </c>
      <c r="EO126" t="str">
        <f>""</f>
        <v/>
      </c>
      <c r="EP126" t="str">
        <f>""</f>
        <v/>
      </c>
      <c r="EQ126" t="str">
        <f>""</f>
        <v/>
      </c>
      <c r="ER126" t="str">
        <f>""</f>
        <v/>
      </c>
      <c r="ES126" t="str">
        <f>""</f>
        <v/>
      </c>
      <c r="ET126" t="str">
        <f>""</f>
        <v/>
      </c>
      <c r="EU126" t="str">
        <f>""</f>
        <v/>
      </c>
      <c r="EV126" t="str">
        <f>""</f>
        <v/>
      </c>
      <c r="EW126" t="str">
        <f>""</f>
        <v/>
      </c>
      <c r="EX126" t="str">
        <f>""</f>
        <v/>
      </c>
      <c r="EY126" t="str">
        <f>""</f>
        <v/>
      </c>
      <c r="EZ126" t="str">
        <f>""</f>
        <v/>
      </c>
      <c r="FA126" t="str">
        <f>""</f>
        <v/>
      </c>
      <c r="FB126" t="str">
        <f>""</f>
        <v/>
      </c>
      <c r="FC126" t="str">
        <f>""</f>
        <v/>
      </c>
      <c r="FD126" t="str">
        <f>""</f>
        <v/>
      </c>
      <c r="FE126" t="str">
        <f>""</f>
        <v/>
      </c>
      <c r="FF126" t="str">
        <f>""</f>
        <v/>
      </c>
      <c r="FG126" t="str">
        <f>""</f>
        <v/>
      </c>
      <c r="FH126" t="str">
        <f>""</f>
        <v/>
      </c>
      <c r="FI126" t="str">
        <f>""</f>
        <v/>
      </c>
      <c r="FJ126" t="str">
        <f>""</f>
        <v/>
      </c>
      <c r="FK126" t="str">
        <f>""</f>
        <v/>
      </c>
      <c r="FL126" t="str">
        <f>""</f>
        <v/>
      </c>
      <c r="FM126" t="str">
        <f>""</f>
        <v/>
      </c>
      <c r="FN126" t="str">
        <f>""</f>
        <v/>
      </c>
      <c r="FO126" t="str">
        <f>""</f>
        <v/>
      </c>
      <c r="FP126" t="str">
        <f>""</f>
        <v/>
      </c>
      <c r="FQ126" t="str">
        <f>""</f>
        <v/>
      </c>
    </row>
    <row r="127" spans="1:173" x14ac:dyDescent="0.25">
      <c r="A127" t="str">
        <f>"BDH snapshot result0"</f>
        <v>BDH snapshot result0</v>
      </c>
      <c r="CL127" t="str">
        <f>""</f>
        <v/>
      </c>
      <c r="CM127" t="str">
        <f>""</f>
        <v/>
      </c>
      <c r="CN127" t="str">
        <f>""</f>
        <v/>
      </c>
      <c r="CO127" t="str">
        <f>""</f>
        <v/>
      </c>
      <c r="CP127" t="str">
        <f>""</f>
        <v/>
      </c>
      <c r="CQ127" t="str">
        <f>""</f>
        <v/>
      </c>
      <c r="CR127" t="str">
        <f>""</f>
        <v/>
      </c>
      <c r="CS127" t="str">
        <f>""</f>
        <v/>
      </c>
      <c r="CT127" t="str">
        <f>""</f>
        <v/>
      </c>
      <c r="CU127" t="str">
        <f>""</f>
        <v/>
      </c>
      <c r="CV127" t="str">
        <f>""</f>
        <v/>
      </c>
      <c r="CW127" t="str">
        <f>""</f>
        <v/>
      </c>
      <c r="CX127" t="str">
        <f>""</f>
        <v/>
      </c>
      <c r="CY127" t="str">
        <f>""</f>
        <v/>
      </c>
      <c r="CZ127" t="str">
        <f>""</f>
        <v/>
      </c>
      <c r="DA127" t="str">
        <f>""</f>
        <v/>
      </c>
      <c r="DB127" t="str">
        <f>""</f>
        <v/>
      </c>
      <c r="DC127" t="str">
        <f>""</f>
        <v/>
      </c>
      <c r="DD127" t="str">
        <f>""</f>
        <v/>
      </c>
      <c r="DE127" t="str">
        <f>""</f>
        <v/>
      </c>
      <c r="DF127" t="str">
        <f>""</f>
        <v/>
      </c>
      <c r="DG127" t="str">
        <f>""</f>
        <v/>
      </c>
      <c r="DH127" t="str">
        <f>""</f>
        <v/>
      </c>
      <c r="DI127" t="str">
        <f>""</f>
        <v/>
      </c>
      <c r="DJ127" t="str">
        <f>""</f>
        <v/>
      </c>
      <c r="DK127" t="str">
        <f>""</f>
        <v/>
      </c>
      <c r="DL127" t="str">
        <f>""</f>
        <v/>
      </c>
      <c r="DM127" t="str">
        <f>""</f>
        <v/>
      </c>
      <c r="DN127" t="str">
        <f>""</f>
        <v/>
      </c>
      <c r="DO127" t="str">
        <f>""</f>
        <v/>
      </c>
      <c r="DP127" t="str">
        <f>""</f>
        <v/>
      </c>
      <c r="DQ127" t="str">
        <f>""</f>
        <v/>
      </c>
      <c r="DR127" t="str">
        <f>""</f>
        <v/>
      </c>
      <c r="DS127" t="str">
        <f>""</f>
        <v/>
      </c>
      <c r="DT127" t="str">
        <f>""</f>
        <v/>
      </c>
      <c r="DU127" t="str">
        <f>""</f>
        <v/>
      </c>
      <c r="DV127" t="str">
        <f>""</f>
        <v/>
      </c>
      <c r="DW127" t="str">
        <f>""</f>
        <v/>
      </c>
      <c r="DX127" t="str">
        <f>""</f>
        <v/>
      </c>
      <c r="DY127" t="str">
        <f>""</f>
        <v/>
      </c>
      <c r="DZ127" t="str">
        <f>""</f>
        <v/>
      </c>
      <c r="EA127" t="str">
        <f>""</f>
        <v/>
      </c>
      <c r="EB127" t="str">
        <f>""</f>
        <v/>
      </c>
      <c r="EC127" t="str">
        <f>""</f>
        <v/>
      </c>
      <c r="ED127" t="str">
        <f>""</f>
        <v/>
      </c>
      <c r="EE127" t="str">
        <f>""</f>
        <v/>
      </c>
      <c r="EF127" t="str">
        <f>""</f>
        <v/>
      </c>
      <c r="EG127" t="str">
        <f>""</f>
        <v/>
      </c>
      <c r="EH127" t="str">
        <f>""</f>
        <v/>
      </c>
      <c r="EI127" t="str">
        <f>""</f>
        <v/>
      </c>
      <c r="EJ127" t="str">
        <f>""</f>
        <v/>
      </c>
      <c r="EK127" t="str">
        <f>""</f>
        <v/>
      </c>
      <c r="EL127" t="str">
        <f>""</f>
        <v/>
      </c>
      <c r="EM127" t="str">
        <f>""</f>
        <v/>
      </c>
      <c r="EN127" t="str">
        <f>""</f>
        <v/>
      </c>
      <c r="EO127" t="str">
        <f>""</f>
        <v/>
      </c>
      <c r="EP127" t="str">
        <f>""</f>
        <v/>
      </c>
      <c r="EQ127" t="str">
        <f>""</f>
        <v/>
      </c>
      <c r="ER127" t="str">
        <f>""</f>
        <v/>
      </c>
      <c r="ES127" t="str">
        <f>""</f>
        <v/>
      </c>
      <c r="ET127" t="str">
        <f>""</f>
        <v/>
      </c>
      <c r="EU127" t="str">
        <f>""</f>
        <v/>
      </c>
      <c r="EV127" t="str">
        <f>""</f>
        <v/>
      </c>
      <c r="EW127" t="str">
        <f>""</f>
        <v/>
      </c>
      <c r="EX127" t="str">
        <f>""</f>
        <v/>
      </c>
      <c r="EY127" t="str">
        <f>""</f>
        <v/>
      </c>
      <c r="EZ127" t="str">
        <f>""</f>
        <v/>
      </c>
      <c r="FA127" t="str">
        <f>""</f>
        <v/>
      </c>
      <c r="FB127" t="str">
        <f>""</f>
        <v/>
      </c>
      <c r="FC127" t="str">
        <f>""</f>
        <v/>
      </c>
      <c r="FD127" t="str">
        <f>""</f>
        <v/>
      </c>
      <c r="FE127" t="str">
        <f>""</f>
        <v/>
      </c>
      <c r="FF127" t="str">
        <f>""</f>
        <v/>
      </c>
      <c r="FG127" t="str">
        <f>""</f>
        <v/>
      </c>
      <c r="FH127" t="str">
        <f>""</f>
        <v/>
      </c>
      <c r="FI127" t="str">
        <f>""</f>
        <v/>
      </c>
      <c r="FJ127" t="str">
        <f>""</f>
        <v/>
      </c>
      <c r="FK127" t="str">
        <f>""</f>
        <v/>
      </c>
      <c r="FL127" t="str">
        <f>""</f>
        <v/>
      </c>
      <c r="FM127" t="str">
        <f>""</f>
        <v/>
      </c>
      <c r="FN127" t="str">
        <f>""</f>
        <v/>
      </c>
      <c r="FO127" t="str">
        <f>""</f>
        <v/>
      </c>
      <c r="FP127" t="str">
        <f>""</f>
        <v/>
      </c>
      <c r="FQ127" t="str">
        <f>""</f>
        <v/>
      </c>
    </row>
    <row r="128" spans="1:173" x14ac:dyDescent="0.25">
      <c r="A128" t="str">
        <f>"BDH snapshot header1"</f>
        <v>BDH snapshot header1</v>
      </c>
      <c r="B128">
        <f>IF(OR(ISERROR($C$128),ISBLANK($C$128),ISNUMBER(SEARCH("N/A",$C$128) ),ISERROR($C$129),ISBLANK($C$129)),0,1)</f>
        <v>0</v>
      </c>
      <c r="C128" t="str">
        <f>_xll.BDH($B$7,$C$7,$B$67,$B$124,"PER=CM","Dts=S","DtFmt=FI", "rows=2","Dir=H","Points=84","Sort=R","Days=A","Fill=B","FX=USD" )</f>
        <v>#N/A Invalid Parameter: Invalid override field id specified</v>
      </c>
      <c r="CL128" t="str">
        <f>""</f>
        <v/>
      </c>
      <c r="CM128" t="str">
        <f>""</f>
        <v/>
      </c>
      <c r="CN128" t="str">
        <f>""</f>
        <v/>
      </c>
      <c r="CO128" t="str">
        <f>""</f>
        <v/>
      </c>
      <c r="CP128" t="str">
        <f>""</f>
        <v/>
      </c>
      <c r="CQ128" t="str">
        <f>""</f>
        <v/>
      </c>
      <c r="CR128" t="str">
        <f>""</f>
        <v/>
      </c>
      <c r="CS128" t="str">
        <f>""</f>
        <v/>
      </c>
      <c r="CT128" t="str">
        <f>""</f>
        <v/>
      </c>
      <c r="CU128" t="str">
        <f>""</f>
        <v/>
      </c>
      <c r="CV128" t="str">
        <f>""</f>
        <v/>
      </c>
      <c r="CW128" t="str">
        <f>""</f>
        <v/>
      </c>
      <c r="CX128" t="str">
        <f>""</f>
        <v/>
      </c>
      <c r="CY128" t="str">
        <f>""</f>
        <v/>
      </c>
      <c r="CZ128" t="str">
        <f>""</f>
        <v/>
      </c>
      <c r="DA128" t="str">
        <f>""</f>
        <v/>
      </c>
      <c r="DB128" t="str">
        <f>""</f>
        <v/>
      </c>
      <c r="DC128" t="str">
        <f>""</f>
        <v/>
      </c>
      <c r="DD128" t="str">
        <f>""</f>
        <v/>
      </c>
      <c r="DE128" t="str">
        <f>""</f>
        <v/>
      </c>
      <c r="DF128" t="str">
        <f>""</f>
        <v/>
      </c>
      <c r="DG128" t="str">
        <f>""</f>
        <v/>
      </c>
      <c r="DH128" t="str">
        <f>""</f>
        <v/>
      </c>
      <c r="DI128" t="str">
        <f>""</f>
        <v/>
      </c>
      <c r="DJ128" t="str">
        <f>""</f>
        <v/>
      </c>
      <c r="DK128" t="str">
        <f>""</f>
        <v/>
      </c>
      <c r="DL128" t="str">
        <f>""</f>
        <v/>
      </c>
      <c r="DM128" t="str">
        <f>""</f>
        <v/>
      </c>
      <c r="DN128" t="str">
        <f>""</f>
        <v/>
      </c>
      <c r="DO128" t="str">
        <f>""</f>
        <v/>
      </c>
      <c r="DP128" t="str">
        <f>""</f>
        <v/>
      </c>
      <c r="DQ128" t="str">
        <f>""</f>
        <v/>
      </c>
      <c r="DR128" t="str">
        <f>""</f>
        <v/>
      </c>
      <c r="DS128" t="str">
        <f>""</f>
        <v/>
      </c>
      <c r="DT128" t="str">
        <f>""</f>
        <v/>
      </c>
      <c r="DU128" t="str">
        <f>""</f>
        <v/>
      </c>
      <c r="DV128" t="str">
        <f>""</f>
        <v/>
      </c>
      <c r="DW128" t="str">
        <f>""</f>
        <v/>
      </c>
      <c r="DX128" t="str">
        <f>""</f>
        <v/>
      </c>
      <c r="DY128" t="str">
        <f>""</f>
        <v/>
      </c>
      <c r="DZ128" t="str">
        <f>""</f>
        <v/>
      </c>
      <c r="EA128" t="str">
        <f>""</f>
        <v/>
      </c>
      <c r="EB128" t="str">
        <f>""</f>
        <v/>
      </c>
      <c r="EC128" t="str">
        <f>""</f>
        <v/>
      </c>
      <c r="ED128" t="str">
        <f>""</f>
        <v/>
      </c>
      <c r="EE128" t="str">
        <f>""</f>
        <v/>
      </c>
      <c r="EF128" t="str">
        <f>""</f>
        <v/>
      </c>
      <c r="EG128" t="str">
        <f>""</f>
        <v/>
      </c>
      <c r="EH128" t="str">
        <f>""</f>
        <v/>
      </c>
      <c r="EI128" t="str">
        <f>""</f>
        <v/>
      </c>
      <c r="EJ128" t="str">
        <f>""</f>
        <v/>
      </c>
      <c r="EK128" t="str">
        <f>""</f>
        <v/>
      </c>
      <c r="EL128" t="str">
        <f>""</f>
        <v/>
      </c>
      <c r="EM128" t="str">
        <f>""</f>
        <v/>
      </c>
      <c r="EN128" t="str">
        <f>""</f>
        <v/>
      </c>
      <c r="EO128" t="str">
        <f>""</f>
        <v/>
      </c>
      <c r="EP128" t="str">
        <f>""</f>
        <v/>
      </c>
      <c r="EQ128" t="str">
        <f>""</f>
        <v/>
      </c>
      <c r="ER128" t="str">
        <f>""</f>
        <v/>
      </c>
      <c r="ES128" t="str">
        <f>""</f>
        <v/>
      </c>
      <c r="ET128" t="str">
        <f>""</f>
        <v/>
      </c>
      <c r="EU128" t="str">
        <f>""</f>
        <v/>
      </c>
      <c r="EV128" t="str">
        <f>""</f>
        <v/>
      </c>
      <c r="EW128" t="str">
        <f>""</f>
        <v/>
      </c>
      <c r="EX128" t="str">
        <f>""</f>
        <v/>
      </c>
      <c r="EY128" t="str">
        <f>""</f>
        <v/>
      </c>
      <c r="EZ128" t="str">
        <f>""</f>
        <v/>
      </c>
      <c r="FA128" t="str">
        <f>""</f>
        <v/>
      </c>
      <c r="FB128" t="str">
        <f>""</f>
        <v/>
      </c>
      <c r="FC128" t="str">
        <f>""</f>
        <v/>
      </c>
      <c r="FD128" t="str">
        <f>""</f>
        <v/>
      </c>
      <c r="FE128" t="str">
        <f>""</f>
        <v/>
      </c>
      <c r="FF128" t="str">
        <f>""</f>
        <v/>
      </c>
      <c r="FG128" t="str">
        <f>""</f>
        <v/>
      </c>
      <c r="FH128" t="str">
        <f>""</f>
        <v/>
      </c>
      <c r="FI128" t="str">
        <f>""</f>
        <v/>
      </c>
      <c r="FJ128" t="str">
        <f>""</f>
        <v/>
      </c>
      <c r="FK128" t="str">
        <f>""</f>
        <v/>
      </c>
      <c r="FL128" t="str">
        <f>""</f>
        <v/>
      </c>
      <c r="FM128" t="str">
        <f>""</f>
        <v/>
      </c>
      <c r="FN128" t="str">
        <f>""</f>
        <v/>
      </c>
      <c r="FO128" t="str">
        <f>""</f>
        <v/>
      </c>
      <c r="FP128" t="str">
        <f>""</f>
        <v/>
      </c>
      <c r="FQ128" t="str">
        <f>""</f>
        <v/>
      </c>
    </row>
    <row r="129" spans="1:173" x14ac:dyDescent="0.25">
      <c r="A129" t="str">
        <f>"BDH snapshot result1"</f>
        <v>BDH snapshot result1</v>
      </c>
      <c r="CL129" t="str">
        <f>""</f>
        <v/>
      </c>
      <c r="CM129" t="str">
        <f>""</f>
        <v/>
      </c>
      <c r="CN129" t="str">
        <f>""</f>
        <v/>
      </c>
      <c r="CO129" t="str">
        <f>""</f>
        <v/>
      </c>
      <c r="CP129" t="str">
        <f>""</f>
        <v/>
      </c>
      <c r="CQ129" t="str">
        <f>""</f>
        <v/>
      </c>
      <c r="CR129" t="str">
        <f>""</f>
        <v/>
      </c>
      <c r="CS129" t="str">
        <f>""</f>
        <v/>
      </c>
      <c r="CT129" t="str">
        <f>""</f>
        <v/>
      </c>
      <c r="CU129" t="str">
        <f>""</f>
        <v/>
      </c>
      <c r="CV129" t="str">
        <f>""</f>
        <v/>
      </c>
      <c r="CW129" t="str">
        <f>""</f>
        <v/>
      </c>
      <c r="CX129" t="str">
        <f>""</f>
        <v/>
      </c>
      <c r="CY129" t="str">
        <f>""</f>
        <v/>
      </c>
      <c r="CZ129" t="str">
        <f>""</f>
        <v/>
      </c>
      <c r="DA129" t="str">
        <f>""</f>
        <v/>
      </c>
      <c r="DB129" t="str">
        <f>""</f>
        <v/>
      </c>
      <c r="DC129" t="str">
        <f>""</f>
        <v/>
      </c>
      <c r="DD129" t="str">
        <f>""</f>
        <v/>
      </c>
      <c r="DE129" t="str">
        <f>""</f>
        <v/>
      </c>
      <c r="DF129" t="str">
        <f>""</f>
        <v/>
      </c>
      <c r="DG129" t="str">
        <f>""</f>
        <v/>
      </c>
      <c r="DH129" t="str">
        <f>""</f>
        <v/>
      </c>
      <c r="DI129" t="str">
        <f>""</f>
        <v/>
      </c>
      <c r="DJ129" t="str">
        <f>""</f>
        <v/>
      </c>
      <c r="DK129" t="str">
        <f>""</f>
        <v/>
      </c>
      <c r="DL129" t="str">
        <f>""</f>
        <v/>
      </c>
      <c r="DM129" t="str">
        <f>""</f>
        <v/>
      </c>
      <c r="DN129" t="str">
        <f>""</f>
        <v/>
      </c>
      <c r="DO129" t="str">
        <f>""</f>
        <v/>
      </c>
      <c r="DP129" t="str">
        <f>""</f>
        <v/>
      </c>
      <c r="DQ129" t="str">
        <f>""</f>
        <v/>
      </c>
      <c r="DR129" t="str">
        <f>""</f>
        <v/>
      </c>
      <c r="DS129" t="str">
        <f>""</f>
        <v/>
      </c>
      <c r="DT129" t="str">
        <f>""</f>
        <v/>
      </c>
      <c r="DU129" t="str">
        <f>""</f>
        <v/>
      </c>
      <c r="DV129" t="str">
        <f>""</f>
        <v/>
      </c>
      <c r="DW129" t="str">
        <f>""</f>
        <v/>
      </c>
      <c r="DX129" t="str">
        <f>""</f>
        <v/>
      </c>
      <c r="DY129" t="str">
        <f>""</f>
        <v/>
      </c>
      <c r="DZ129" t="str">
        <f>""</f>
        <v/>
      </c>
      <c r="EA129" t="str">
        <f>""</f>
        <v/>
      </c>
      <c r="EB129" t="str">
        <f>""</f>
        <v/>
      </c>
      <c r="EC129" t="str">
        <f>""</f>
        <v/>
      </c>
      <c r="ED129" t="str">
        <f>""</f>
        <v/>
      </c>
      <c r="EE129" t="str">
        <f>""</f>
        <v/>
      </c>
      <c r="EF129" t="str">
        <f>""</f>
        <v/>
      </c>
      <c r="EG129" t="str">
        <f>""</f>
        <v/>
      </c>
      <c r="EH129" t="str">
        <f>""</f>
        <v/>
      </c>
      <c r="EI129" t="str">
        <f>""</f>
        <v/>
      </c>
      <c r="EJ129" t="str">
        <f>""</f>
        <v/>
      </c>
      <c r="EK129" t="str">
        <f>""</f>
        <v/>
      </c>
      <c r="EL129" t="str">
        <f>""</f>
        <v/>
      </c>
      <c r="EM129" t="str">
        <f>""</f>
        <v/>
      </c>
      <c r="EN129" t="str">
        <f>""</f>
        <v/>
      </c>
      <c r="EO129" t="str">
        <f>""</f>
        <v/>
      </c>
      <c r="EP129" t="str">
        <f>""</f>
        <v/>
      </c>
      <c r="EQ129" t="str">
        <f>""</f>
        <v/>
      </c>
      <c r="ER129" t="str">
        <f>""</f>
        <v/>
      </c>
      <c r="ES129" t="str">
        <f>""</f>
        <v/>
      </c>
      <c r="ET129" t="str">
        <f>""</f>
        <v/>
      </c>
      <c r="EU129" t="str">
        <f>""</f>
        <v/>
      </c>
      <c r="EV129" t="str">
        <f>""</f>
        <v/>
      </c>
      <c r="EW129" t="str">
        <f>""</f>
        <v/>
      </c>
      <c r="EX129" t="str">
        <f>""</f>
        <v/>
      </c>
      <c r="EY129" t="str">
        <f>""</f>
        <v/>
      </c>
      <c r="EZ129" t="str">
        <f>""</f>
        <v/>
      </c>
      <c r="FA129" t="str">
        <f>""</f>
        <v/>
      </c>
      <c r="FB129" t="str">
        <f>""</f>
        <v/>
      </c>
      <c r="FC129" t="str">
        <f>""</f>
        <v/>
      </c>
      <c r="FD129" t="str">
        <f>""</f>
        <v/>
      </c>
      <c r="FE129" t="str">
        <f>""</f>
        <v/>
      </c>
      <c r="FF129" t="str">
        <f>""</f>
        <v/>
      </c>
      <c r="FG129" t="str">
        <f>""</f>
        <v/>
      </c>
      <c r="FH129" t="str">
        <f>""</f>
        <v/>
      </c>
      <c r="FI129" t="str">
        <f>""</f>
        <v/>
      </c>
      <c r="FJ129" t="str">
        <f>""</f>
        <v/>
      </c>
      <c r="FK129" t="str">
        <f>""</f>
        <v/>
      </c>
      <c r="FL129" t="str">
        <f>""</f>
        <v/>
      </c>
      <c r="FM129" t="str">
        <f>""</f>
        <v/>
      </c>
      <c r="FN129" t="str">
        <f>""</f>
        <v/>
      </c>
      <c r="FO129" t="str">
        <f>""</f>
        <v/>
      </c>
      <c r="FP129" t="str">
        <f>""</f>
        <v/>
      </c>
      <c r="FQ129" t="str">
        <f>""</f>
        <v/>
      </c>
    </row>
    <row r="130" spans="1:173" x14ac:dyDescent="0.25">
      <c r="A130" t="str">
        <f>"BDH snapshot header2"</f>
        <v>BDH snapshot header2</v>
      </c>
      <c r="B130">
        <f>IF(OR(ISERROR($C$130),ISBLANK($C$130),ISNUMBER(SEARCH("N/A",$C$130) ),ISERROR($C$131),ISBLANK($C$131)),0,1)</f>
        <v>0</v>
      </c>
      <c r="C130" t="str">
        <f>_xll.BDH($B$8,$C$8,$B$67,$B$124,"PER=CM","Dts=S","DtFmt=FI", "rows=2","Dir=H","Points=84","Sort=R","Days=A","Fill=B","FX=USD" )</f>
        <v>#N/A Invalid Parameter: Invalid override field id specified</v>
      </c>
      <c r="CL130" t="str">
        <f>""</f>
        <v/>
      </c>
      <c r="CM130" t="str">
        <f>""</f>
        <v/>
      </c>
      <c r="CN130" t="str">
        <f>""</f>
        <v/>
      </c>
      <c r="CO130" t="str">
        <f>""</f>
        <v/>
      </c>
      <c r="CP130" t="str">
        <f>""</f>
        <v/>
      </c>
      <c r="CQ130" t="str">
        <f>""</f>
        <v/>
      </c>
      <c r="CR130" t="str">
        <f>""</f>
        <v/>
      </c>
      <c r="CS130" t="str">
        <f>""</f>
        <v/>
      </c>
      <c r="CT130" t="str">
        <f>""</f>
        <v/>
      </c>
      <c r="CU130" t="str">
        <f>""</f>
        <v/>
      </c>
      <c r="CV130" t="str">
        <f>""</f>
        <v/>
      </c>
      <c r="CW130" t="str">
        <f>""</f>
        <v/>
      </c>
      <c r="CX130" t="str">
        <f>""</f>
        <v/>
      </c>
      <c r="CY130" t="str">
        <f>""</f>
        <v/>
      </c>
      <c r="CZ130" t="str">
        <f>""</f>
        <v/>
      </c>
      <c r="DA130" t="str">
        <f>""</f>
        <v/>
      </c>
      <c r="DB130" t="str">
        <f>""</f>
        <v/>
      </c>
      <c r="DC130" t="str">
        <f>""</f>
        <v/>
      </c>
      <c r="DD130" t="str">
        <f>""</f>
        <v/>
      </c>
      <c r="DE130" t="str">
        <f>""</f>
        <v/>
      </c>
      <c r="DF130" t="str">
        <f>""</f>
        <v/>
      </c>
      <c r="DG130" t="str">
        <f>""</f>
        <v/>
      </c>
      <c r="DH130" t="str">
        <f>""</f>
        <v/>
      </c>
      <c r="DI130" t="str">
        <f>""</f>
        <v/>
      </c>
      <c r="DJ130" t="str">
        <f>""</f>
        <v/>
      </c>
      <c r="DK130" t="str">
        <f>""</f>
        <v/>
      </c>
      <c r="DL130" t="str">
        <f>""</f>
        <v/>
      </c>
      <c r="DM130" t="str">
        <f>""</f>
        <v/>
      </c>
      <c r="DN130" t="str">
        <f>""</f>
        <v/>
      </c>
      <c r="DO130" t="str">
        <f>""</f>
        <v/>
      </c>
      <c r="DP130" t="str">
        <f>""</f>
        <v/>
      </c>
      <c r="DQ130" t="str">
        <f>""</f>
        <v/>
      </c>
      <c r="DR130" t="str">
        <f>""</f>
        <v/>
      </c>
      <c r="DS130" t="str">
        <f>""</f>
        <v/>
      </c>
      <c r="DT130" t="str">
        <f>""</f>
        <v/>
      </c>
      <c r="DU130" t="str">
        <f>""</f>
        <v/>
      </c>
      <c r="DV130" t="str">
        <f>""</f>
        <v/>
      </c>
      <c r="DW130" t="str">
        <f>""</f>
        <v/>
      </c>
      <c r="DX130" t="str">
        <f>""</f>
        <v/>
      </c>
      <c r="DY130" t="str">
        <f>""</f>
        <v/>
      </c>
      <c r="DZ130" t="str">
        <f>""</f>
        <v/>
      </c>
      <c r="EA130" t="str">
        <f>""</f>
        <v/>
      </c>
      <c r="EB130" t="str">
        <f>""</f>
        <v/>
      </c>
      <c r="EC130" t="str">
        <f>""</f>
        <v/>
      </c>
      <c r="ED130" t="str">
        <f>""</f>
        <v/>
      </c>
      <c r="EE130" t="str">
        <f>""</f>
        <v/>
      </c>
      <c r="EF130" t="str">
        <f>""</f>
        <v/>
      </c>
      <c r="EG130" t="str">
        <f>""</f>
        <v/>
      </c>
      <c r="EH130" t="str">
        <f>""</f>
        <v/>
      </c>
      <c r="EI130" t="str">
        <f>""</f>
        <v/>
      </c>
      <c r="EJ130" t="str">
        <f>""</f>
        <v/>
      </c>
      <c r="EK130" t="str">
        <f>""</f>
        <v/>
      </c>
      <c r="EL130" t="str">
        <f>""</f>
        <v/>
      </c>
      <c r="EM130" t="str">
        <f>""</f>
        <v/>
      </c>
      <c r="EN130" t="str">
        <f>""</f>
        <v/>
      </c>
      <c r="EO130" t="str">
        <f>""</f>
        <v/>
      </c>
      <c r="EP130" t="str">
        <f>""</f>
        <v/>
      </c>
      <c r="EQ130" t="str">
        <f>""</f>
        <v/>
      </c>
      <c r="ER130" t="str">
        <f>""</f>
        <v/>
      </c>
      <c r="ES130" t="str">
        <f>""</f>
        <v/>
      </c>
      <c r="ET130" t="str">
        <f>""</f>
        <v/>
      </c>
      <c r="EU130" t="str">
        <f>""</f>
        <v/>
      </c>
      <c r="EV130" t="str">
        <f>""</f>
        <v/>
      </c>
      <c r="EW130" t="str">
        <f>""</f>
        <v/>
      </c>
      <c r="EX130" t="str">
        <f>""</f>
        <v/>
      </c>
      <c r="EY130" t="str">
        <f>""</f>
        <v/>
      </c>
      <c r="EZ130" t="str">
        <f>""</f>
        <v/>
      </c>
      <c r="FA130" t="str">
        <f>""</f>
        <v/>
      </c>
      <c r="FB130" t="str">
        <f>""</f>
        <v/>
      </c>
      <c r="FC130" t="str">
        <f>""</f>
        <v/>
      </c>
      <c r="FD130" t="str">
        <f>""</f>
        <v/>
      </c>
      <c r="FE130" t="str">
        <f>""</f>
        <v/>
      </c>
      <c r="FF130" t="str">
        <f>""</f>
        <v/>
      </c>
      <c r="FG130" t="str">
        <f>""</f>
        <v/>
      </c>
      <c r="FH130" t="str">
        <f>""</f>
        <v/>
      </c>
      <c r="FI130" t="str">
        <f>""</f>
        <v/>
      </c>
      <c r="FJ130" t="str">
        <f>""</f>
        <v/>
      </c>
      <c r="FK130" t="str">
        <f>""</f>
        <v/>
      </c>
      <c r="FL130" t="str">
        <f>""</f>
        <v/>
      </c>
      <c r="FM130" t="str">
        <f>""</f>
        <v/>
      </c>
      <c r="FN130" t="str">
        <f>""</f>
        <v/>
      </c>
      <c r="FO130" t="str">
        <f>""</f>
        <v/>
      </c>
      <c r="FP130" t="str">
        <f>""</f>
        <v/>
      </c>
      <c r="FQ130" t="str">
        <f>""</f>
        <v/>
      </c>
    </row>
    <row r="131" spans="1:173" x14ac:dyDescent="0.25">
      <c r="A131" t="str">
        <f>"BDH snapshot result2"</f>
        <v>BDH snapshot result2</v>
      </c>
      <c r="CL131" t="str">
        <f>""</f>
        <v/>
      </c>
      <c r="CM131" t="str">
        <f>""</f>
        <v/>
      </c>
      <c r="CN131" t="str">
        <f>""</f>
        <v/>
      </c>
      <c r="CO131" t="str">
        <f>""</f>
        <v/>
      </c>
      <c r="CP131" t="str">
        <f>""</f>
        <v/>
      </c>
      <c r="CQ131" t="str">
        <f>""</f>
        <v/>
      </c>
      <c r="CR131" t="str">
        <f>""</f>
        <v/>
      </c>
      <c r="CS131" t="str">
        <f>""</f>
        <v/>
      </c>
      <c r="CT131" t="str">
        <f>""</f>
        <v/>
      </c>
      <c r="CU131" t="str">
        <f>""</f>
        <v/>
      </c>
      <c r="CV131" t="str">
        <f>""</f>
        <v/>
      </c>
      <c r="CW131" t="str">
        <f>""</f>
        <v/>
      </c>
      <c r="CX131" t="str">
        <f>""</f>
        <v/>
      </c>
      <c r="CY131" t="str">
        <f>""</f>
        <v/>
      </c>
      <c r="CZ131" t="str">
        <f>""</f>
        <v/>
      </c>
      <c r="DA131" t="str">
        <f>""</f>
        <v/>
      </c>
      <c r="DB131" t="str">
        <f>""</f>
        <v/>
      </c>
      <c r="DC131" t="str">
        <f>""</f>
        <v/>
      </c>
      <c r="DD131" t="str">
        <f>""</f>
        <v/>
      </c>
      <c r="DE131" t="str">
        <f>""</f>
        <v/>
      </c>
      <c r="DF131" t="str">
        <f>""</f>
        <v/>
      </c>
      <c r="DG131" t="str">
        <f>""</f>
        <v/>
      </c>
      <c r="DH131" t="str">
        <f>""</f>
        <v/>
      </c>
      <c r="DI131" t="str">
        <f>""</f>
        <v/>
      </c>
      <c r="DJ131" t="str">
        <f>""</f>
        <v/>
      </c>
      <c r="DK131" t="str">
        <f>""</f>
        <v/>
      </c>
      <c r="DL131" t="str">
        <f>""</f>
        <v/>
      </c>
      <c r="DM131" t="str">
        <f>""</f>
        <v/>
      </c>
      <c r="DN131" t="str">
        <f>""</f>
        <v/>
      </c>
      <c r="DO131" t="str">
        <f>""</f>
        <v/>
      </c>
      <c r="DP131" t="str">
        <f>""</f>
        <v/>
      </c>
      <c r="DQ131" t="str">
        <f>""</f>
        <v/>
      </c>
      <c r="DR131" t="str">
        <f>""</f>
        <v/>
      </c>
      <c r="DS131" t="str">
        <f>""</f>
        <v/>
      </c>
      <c r="DT131" t="str">
        <f>""</f>
        <v/>
      </c>
      <c r="DU131" t="str">
        <f>""</f>
        <v/>
      </c>
      <c r="DV131" t="str">
        <f>""</f>
        <v/>
      </c>
      <c r="DW131" t="str">
        <f>""</f>
        <v/>
      </c>
      <c r="DX131" t="str">
        <f>""</f>
        <v/>
      </c>
      <c r="DY131" t="str">
        <f>""</f>
        <v/>
      </c>
      <c r="DZ131" t="str">
        <f>""</f>
        <v/>
      </c>
      <c r="EA131" t="str">
        <f>""</f>
        <v/>
      </c>
      <c r="EB131" t="str">
        <f>""</f>
        <v/>
      </c>
      <c r="EC131" t="str">
        <f>""</f>
        <v/>
      </c>
      <c r="ED131" t="str">
        <f>""</f>
        <v/>
      </c>
      <c r="EE131" t="str">
        <f>""</f>
        <v/>
      </c>
      <c r="EF131" t="str">
        <f>""</f>
        <v/>
      </c>
      <c r="EG131" t="str">
        <f>""</f>
        <v/>
      </c>
      <c r="EH131" t="str">
        <f>""</f>
        <v/>
      </c>
      <c r="EI131" t="str">
        <f>""</f>
        <v/>
      </c>
      <c r="EJ131" t="str">
        <f>""</f>
        <v/>
      </c>
      <c r="EK131" t="str">
        <f>""</f>
        <v/>
      </c>
      <c r="EL131" t="str">
        <f>""</f>
        <v/>
      </c>
      <c r="EM131" t="str">
        <f>""</f>
        <v/>
      </c>
      <c r="EN131" t="str">
        <f>""</f>
        <v/>
      </c>
      <c r="EO131" t="str">
        <f>""</f>
        <v/>
      </c>
      <c r="EP131" t="str">
        <f>""</f>
        <v/>
      </c>
      <c r="EQ131" t="str">
        <f>""</f>
        <v/>
      </c>
      <c r="ER131" t="str">
        <f>""</f>
        <v/>
      </c>
      <c r="ES131" t="str">
        <f>""</f>
        <v/>
      </c>
      <c r="ET131" t="str">
        <f>""</f>
        <v/>
      </c>
      <c r="EU131" t="str">
        <f>""</f>
        <v/>
      </c>
      <c r="EV131" t="str">
        <f>""</f>
        <v/>
      </c>
      <c r="EW131" t="str">
        <f>""</f>
        <v/>
      </c>
      <c r="EX131" t="str">
        <f>""</f>
        <v/>
      </c>
      <c r="EY131" t="str">
        <f>""</f>
        <v/>
      </c>
      <c r="EZ131" t="str">
        <f>""</f>
        <v/>
      </c>
      <c r="FA131" t="str">
        <f>""</f>
        <v/>
      </c>
      <c r="FB131" t="str">
        <f>""</f>
        <v/>
      </c>
      <c r="FC131" t="str">
        <f>""</f>
        <v/>
      </c>
      <c r="FD131" t="str">
        <f>""</f>
        <v/>
      </c>
      <c r="FE131" t="str">
        <f>""</f>
        <v/>
      </c>
      <c r="FF131" t="str">
        <f>""</f>
        <v/>
      </c>
      <c r="FG131" t="str">
        <f>""</f>
        <v/>
      </c>
      <c r="FH131" t="str">
        <f>""</f>
        <v/>
      </c>
      <c r="FI131" t="str">
        <f>""</f>
        <v/>
      </c>
      <c r="FJ131" t="str">
        <f>""</f>
        <v/>
      </c>
      <c r="FK131" t="str">
        <f>""</f>
        <v/>
      </c>
      <c r="FL131" t="str">
        <f>""</f>
        <v/>
      </c>
      <c r="FM131" t="str">
        <f>""</f>
        <v/>
      </c>
      <c r="FN131" t="str">
        <f>""</f>
        <v/>
      </c>
      <c r="FO131" t="str">
        <f>""</f>
        <v/>
      </c>
      <c r="FP131" t="str">
        <f>""</f>
        <v/>
      </c>
      <c r="FQ131" t="str">
        <f>""</f>
        <v/>
      </c>
    </row>
    <row r="132" spans="1:173" x14ac:dyDescent="0.25">
      <c r="A132" t="str">
        <f>"BDH snapshot"</f>
        <v>BDH snapshot</v>
      </c>
      <c r="B132">
        <f>IF($B$126&gt;=1,$B$126,IF($B$128&gt;=1,$B$128,IF($B$130&gt;=1,$B$130,$B$125)))</f>
        <v>2</v>
      </c>
      <c r="C132" t="str">
        <f>IF($B$126&gt;=1,$C$126,IF($B$128&gt;=1,$C$128,IF($B$130&gt;=1,$C$130,$C$125)))</f>
        <v>10/2023</v>
      </c>
      <c r="D132" t="str">
        <f>IF($B$126&gt;=1,$D$126,IF($B$128&gt;=1,$D$128,IF($B$130&gt;=1,$D$130,$D$125)))</f>
        <v>9/2023</v>
      </c>
      <c r="E132" t="str">
        <f>IF($B$126&gt;=1,$E$126,IF($B$128&gt;=1,$E$128,IF($B$130&gt;=1,$E$130,$E$125)))</f>
        <v>8/2023</v>
      </c>
      <c r="F132" t="str">
        <f>IF($B$126&gt;=1,$F$126,IF($B$128&gt;=1,$F$128,IF($B$130&gt;=1,$F$130,$F$125)))</f>
        <v>7/2023</v>
      </c>
      <c r="G132" t="str">
        <f>IF($B$126&gt;=1,$G$126,IF($B$128&gt;=1,$G$128,IF($B$130&gt;=1,$G$130,$G$125)))</f>
        <v>6/2023</v>
      </c>
      <c r="H132" t="str">
        <f>IF($B$126&gt;=1,$H$126,IF($B$128&gt;=1,$H$128,IF($B$130&gt;=1,$H$130,$H$125)))</f>
        <v>5/2023</v>
      </c>
      <c r="I132" t="str">
        <f>IF($B$126&gt;=1,$I$126,IF($B$128&gt;=1,$I$128,IF($B$130&gt;=1,$I$130,$I$125)))</f>
        <v>4/2023</v>
      </c>
      <c r="J132" t="str">
        <f>IF($B$126&gt;=1,$J$126,IF($B$128&gt;=1,$J$128,IF($B$130&gt;=1,$J$130,$J$125)))</f>
        <v>3/2023</v>
      </c>
      <c r="K132" t="str">
        <f>IF($B$126&gt;=1,$K$126,IF($B$128&gt;=1,$K$128,IF($B$130&gt;=1,$K$130,$K$125)))</f>
        <v>2/2023</v>
      </c>
      <c r="L132" t="str">
        <f>IF($B$126&gt;=1,$L$126,IF($B$128&gt;=1,$L$128,IF($B$130&gt;=1,$L$130,$L$125)))</f>
        <v>1/2023</v>
      </c>
      <c r="M132" t="str">
        <f>IF($B$126&gt;=1,$M$126,IF($B$128&gt;=1,$M$128,IF($B$130&gt;=1,$M$130,$M$125)))</f>
        <v>12/2022</v>
      </c>
      <c r="N132" t="str">
        <f>IF($B$126&gt;=1,$N$126,IF($B$128&gt;=1,$N$128,IF($B$130&gt;=1,$N$130,$N$125)))</f>
        <v>11/2022</v>
      </c>
      <c r="O132" t="str">
        <f>IF($B$126&gt;=1,$O$126,IF($B$128&gt;=1,$O$128,IF($B$130&gt;=1,$O$130,$O$125)))</f>
        <v>10/2022</v>
      </c>
      <c r="P132" t="str">
        <f>IF($B$126&gt;=1,$P$126,IF($B$128&gt;=1,$P$128,IF($B$130&gt;=1,$P$130,$P$125)))</f>
        <v>9/2022</v>
      </c>
      <c r="Q132" t="str">
        <f>IF($B$126&gt;=1,$Q$126,IF($B$128&gt;=1,$Q$128,IF($B$130&gt;=1,$Q$130,$Q$125)))</f>
        <v>8/2022</v>
      </c>
      <c r="R132" t="str">
        <f>IF($B$126&gt;=1,$R$126,IF($B$128&gt;=1,$R$128,IF($B$130&gt;=1,$R$130,$R$125)))</f>
        <v>7/2022</v>
      </c>
      <c r="S132" t="str">
        <f>IF($B$126&gt;=1,$S$126,IF($B$128&gt;=1,$S$128,IF($B$130&gt;=1,$S$130,$S$125)))</f>
        <v>6/2022</v>
      </c>
      <c r="T132" t="str">
        <f>IF($B$126&gt;=1,$T$126,IF($B$128&gt;=1,$T$128,IF($B$130&gt;=1,$T$130,$T$125)))</f>
        <v>5/2022</v>
      </c>
      <c r="U132" t="str">
        <f>IF($B$126&gt;=1,$U$126,IF($B$128&gt;=1,$U$128,IF($B$130&gt;=1,$U$130,$U$125)))</f>
        <v>4/2022</v>
      </c>
      <c r="V132" t="str">
        <f>IF($B$126&gt;=1,$V$126,IF($B$128&gt;=1,$V$128,IF($B$130&gt;=1,$V$130,$V$125)))</f>
        <v>3/2022</v>
      </c>
      <c r="W132" t="str">
        <f>IF($B$126&gt;=1,$W$126,IF($B$128&gt;=1,$W$128,IF($B$130&gt;=1,$W$130,$W$125)))</f>
        <v>2/2022</v>
      </c>
      <c r="X132" t="str">
        <f>IF($B$126&gt;=1,$X$126,IF($B$128&gt;=1,$X$128,IF($B$130&gt;=1,$X$130,$X$125)))</f>
        <v>1/2022</v>
      </c>
      <c r="Y132" t="str">
        <f>IF($B$126&gt;=1,$Y$126,IF($B$128&gt;=1,$Y$128,IF($B$130&gt;=1,$Y$130,$Y$125)))</f>
        <v>12/2021</v>
      </c>
      <c r="Z132" t="str">
        <f>IF($B$126&gt;=1,$Z$126,IF($B$128&gt;=1,$Z$128,IF($B$130&gt;=1,$Z$130,$Z$125)))</f>
        <v>11/2021</v>
      </c>
      <c r="AA132" t="str">
        <f>IF($B$126&gt;=1,$AA$126,IF($B$128&gt;=1,$AA$128,IF($B$130&gt;=1,$AA$130,$AA$125)))</f>
        <v>10/2021</v>
      </c>
      <c r="AB132" t="str">
        <f>IF($B$126&gt;=1,$AB$126,IF($B$128&gt;=1,$AB$128,IF($B$130&gt;=1,$AB$130,$AB$125)))</f>
        <v>9/2021</v>
      </c>
      <c r="AC132" t="str">
        <f>IF($B$126&gt;=1,$AC$126,IF($B$128&gt;=1,$AC$128,IF($B$130&gt;=1,$AC$130,$AC$125)))</f>
        <v>8/2021</v>
      </c>
      <c r="AD132" t="str">
        <f>IF($B$126&gt;=1,$AD$126,IF($B$128&gt;=1,$AD$128,IF($B$130&gt;=1,$AD$130,$AD$125)))</f>
        <v>7/2021</v>
      </c>
      <c r="AE132" t="str">
        <f>IF($B$126&gt;=1,$AE$126,IF($B$128&gt;=1,$AE$128,IF($B$130&gt;=1,$AE$130,$AE$125)))</f>
        <v>6/2021</v>
      </c>
      <c r="AF132" t="str">
        <f>IF($B$126&gt;=1,$AF$126,IF($B$128&gt;=1,$AF$128,IF($B$130&gt;=1,$AF$130,$AF$125)))</f>
        <v>5/2021</v>
      </c>
      <c r="AG132" t="str">
        <f>IF($B$126&gt;=1,$AG$126,IF($B$128&gt;=1,$AG$128,IF($B$130&gt;=1,$AG$130,$AG$125)))</f>
        <v>4/2021</v>
      </c>
      <c r="AH132" t="str">
        <f>IF($B$126&gt;=1,$AH$126,IF($B$128&gt;=1,$AH$128,IF($B$130&gt;=1,$AH$130,$AH$125)))</f>
        <v>3/2021</v>
      </c>
      <c r="AI132" t="str">
        <f>IF($B$126&gt;=1,$AI$126,IF($B$128&gt;=1,$AI$128,IF($B$130&gt;=1,$AI$130,$AI$125)))</f>
        <v>2/2021</v>
      </c>
      <c r="AJ132" t="str">
        <f>IF($B$126&gt;=1,$AJ$126,IF($B$128&gt;=1,$AJ$128,IF($B$130&gt;=1,$AJ$130,$AJ$125)))</f>
        <v>1/2021</v>
      </c>
      <c r="AK132" t="str">
        <f>IF($B$126&gt;=1,$AK$126,IF($B$128&gt;=1,$AK$128,IF($B$130&gt;=1,$AK$130,$AK$125)))</f>
        <v>12/2020</v>
      </c>
      <c r="AL132" t="str">
        <f>IF($B$126&gt;=1,$AL$126,IF($B$128&gt;=1,$AL$128,IF($B$130&gt;=1,$AL$130,$AL$125)))</f>
        <v>11/2020</v>
      </c>
      <c r="AM132" t="str">
        <f>IF($B$126&gt;=1,$AM$126,IF($B$128&gt;=1,$AM$128,IF($B$130&gt;=1,$AM$130,$AM$125)))</f>
        <v>10/2020</v>
      </c>
      <c r="AN132" t="str">
        <f>IF($B$126&gt;=1,$AN$126,IF($B$128&gt;=1,$AN$128,IF($B$130&gt;=1,$AN$130,$AN$125)))</f>
        <v>9/2020</v>
      </c>
      <c r="AO132" t="str">
        <f>IF($B$126&gt;=1,$AO$126,IF($B$128&gt;=1,$AO$128,IF($B$130&gt;=1,$AO$130,$AO$125)))</f>
        <v>8/2020</v>
      </c>
      <c r="AP132" t="str">
        <f>IF($B$126&gt;=1,$AP$126,IF($B$128&gt;=1,$AP$128,IF($B$130&gt;=1,$AP$130,$AP$125)))</f>
        <v>7/2020</v>
      </c>
      <c r="AQ132" t="str">
        <f>IF($B$126&gt;=1,$AQ$126,IF($B$128&gt;=1,$AQ$128,IF($B$130&gt;=1,$AQ$130,$AQ$125)))</f>
        <v>6/2020</v>
      </c>
      <c r="AR132" t="str">
        <f>IF($B$126&gt;=1,$AR$126,IF($B$128&gt;=1,$AR$128,IF($B$130&gt;=1,$AR$130,$AR$125)))</f>
        <v>5/2020</v>
      </c>
      <c r="AS132" t="str">
        <f>IF($B$126&gt;=1,$AS$126,IF($B$128&gt;=1,$AS$128,IF($B$130&gt;=1,$AS$130,$AS$125)))</f>
        <v>4/2020</v>
      </c>
      <c r="AT132" t="str">
        <f>IF($B$126&gt;=1,$AT$126,IF($B$128&gt;=1,$AT$128,IF($B$130&gt;=1,$AT$130,$AT$125)))</f>
        <v>3/2020</v>
      </c>
      <c r="AU132" t="str">
        <f>IF($B$126&gt;=1,$AU$126,IF($B$128&gt;=1,$AU$128,IF($B$130&gt;=1,$AU$130,$AU$125)))</f>
        <v>2/2020</v>
      </c>
      <c r="AV132" t="str">
        <f>IF($B$126&gt;=1,$AV$126,IF($B$128&gt;=1,$AV$128,IF($B$130&gt;=1,$AV$130,$AV$125)))</f>
        <v>1/2020</v>
      </c>
      <c r="AW132" t="str">
        <f>IF($B$126&gt;=1,$AW$126,IF($B$128&gt;=1,$AW$128,IF($B$130&gt;=1,$AW$130,$AW$125)))</f>
        <v>12/2019</v>
      </c>
      <c r="AX132" t="str">
        <f>IF($B$126&gt;=1,$AX$126,IF($B$128&gt;=1,$AX$128,IF($B$130&gt;=1,$AX$130,$AX$125)))</f>
        <v>11/2019</v>
      </c>
      <c r="AY132" t="str">
        <f>IF($B$126&gt;=1,$AY$126,IF($B$128&gt;=1,$AY$128,IF($B$130&gt;=1,$AY$130,$AY$125)))</f>
        <v>10/2019</v>
      </c>
      <c r="AZ132" t="str">
        <f>IF($B$126&gt;=1,$AZ$126,IF($B$128&gt;=1,$AZ$128,IF($B$130&gt;=1,$AZ$130,$AZ$125)))</f>
        <v>9/2019</v>
      </c>
      <c r="BA132" t="str">
        <f>IF($B$126&gt;=1,$BA$126,IF($B$128&gt;=1,$BA$128,IF($B$130&gt;=1,$BA$130,$BA$125)))</f>
        <v>8/2019</v>
      </c>
      <c r="BB132" t="str">
        <f>IF($B$126&gt;=1,$BB$126,IF($B$128&gt;=1,$BB$128,IF($B$130&gt;=1,$BB$130,$BB$125)))</f>
        <v>7/2019</v>
      </c>
      <c r="BC132" t="str">
        <f>IF($B$126&gt;=1,$BC$126,IF($B$128&gt;=1,$BC$128,IF($B$130&gt;=1,$BC$130,$BC$125)))</f>
        <v>6/2019</v>
      </c>
      <c r="BD132" t="str">
        <f>IF($B$126&gt;=1,$BD$126,IF($B$128&gt;=1,$BD$128,IF($B$130&gt;=1,$BD$130,$BD$125)))</f>
        <v>5/2019</v>
      </c>
      <c r="BE132" t="str">
        <f>IF($B$126&gt;=1,$BE$126,IF($B$128&gt;=1,$BE$128,IF($B$130&gt;=1,$BE$130,$BE$125)))</f>
        <v>4/2019</v>
      </c>
      <c r="BF132" t="str">
        <f>IF($B$126&gt;=1,$BF$126,IF($B$128&gt;=1,$BF$128,IF($B$130&gt;=1,$BF$130,$BF$125)))</f>
        <v>3/2019</v>
      </c>
      <c r="BG132" t="str">
        <f>IF($B$126&gt;=1,$BG$126,IF($B$128&gt;=1,$BG$128,IF($B$130&gt;=1,$BG$130,$BG$125)))</f>
        <v>2/2019</v>
      </c>
      <c r="BH132" t="str">
        <f>IF($B$126&gt;=1,$BH$126,IF($B$128&gt;=1,$BH$128,IF($B$130&gt;=1,$BH$130,$BH$125)))</f>
        <v>1/2019</v>
      </c>
      <c r="BI132" t="str">
        <f>IF($B$126&gt;=1,$BI$126,IF($B$128&gt;=1,$BI$128,IF($B$130&gt;=1,$BI$130,$BI$125)))</f>
        <v>12/2018</v>
      </c>
      <c r="BJ132" t="str">
        <f>IF($B$126&gt;=1,$BJ$126,IF($B$128&gt;=1,$BJ$128,IF($B$130&gt;=1,$BJ$130,$BJ$125)))</f>
        <v>11/2018</v>
      </c>
      <c r="BK132" t="str">
        <f>IF($B$126&gt;=1,$BK$126,IF($B$128&gt;=1,$BK$128,IF($B$130&gt;=1,$BK$130,$BK$125)))</f>
        <v>10/2018</v>
      </c>
      <c r="BL132" t="str">
        <f>IF($B$126&gt;=1,$BL$126,IF($B$128&gt;=1,$BL$128,IF($B$130&gt;=1,$BL$130,$BL$125)))</f>
        <v>9/2018</v>
      </c>
      <c r="BM132" t="str">
        <f>IF($B$126&gt;=1,$BM$126,IF($B$128&gt;=1,$BM$128,IF($B$130&gt;=1,$BM$130,$BM$125)))</f>
        <v>8/2018</v>
      </c>
      <c r="BN132" t="str">
        <f>IF($B$126&gt;=1,$BN$126,IF($B$128&gt;=1,$BN$128,IF($B$130&gt;=1,$BN$130,$BN$125)))</f>
        <v>7/2018</v>
      </c>
      <c r="BO132" t="str">
        <f>IF($B$126&gt;=1,$BO$126,IF($B$128&gt;=1,$BO$128,IF($B$130&gt;=1,$BO$130,$BO$125)))</f>
        <v>6/2018</v>
      </c>
      <c r="BP132" t="str">
        <f>IF($B$126&gt;=1,$BP$126,IF($B$128&gt;=1,$BP$128,IF($B$130&gt;=1,$BP$130,$BP$125)))</f>
        <v>5/2018</v>
      </c>
      <c r="BQ132" t="str">
        <f>IF($B$126&gt;=1,$BQ$126,IF($B$128&gt;=1,$BQ$128,IF($B$130&gt;=1,$BQ$130,$BQ$125)))</f>
        <v>4/2018</v>
      </c>
      <c r="BR132" t="str">
        <f>IF($B$126&gt;=1,$BR$126,IF($B$128&gt;=1,$BR$128,IF($B$130&gt;=1,$BR$130,$BR$125)))</f>
        <v>3/2018</v>
      </c>
      <c r="BS132" t="str">
        <f>IF($B$126&gt;=1,$BS$126,IF($B$128&gt;=1,$BS$128,IF($B$130&gt;=1,$BS$130,$BS$125)))</f>
        <v>2/2018</v>
      </c>
      <c r="BT132" t="str">
        <f>IF($B$126&gt;=1,$BT$126,IF($B$128&gt;=1,$BT$128,IF($B$130&gt;=1,$BT$130,$BT$125)))</f>
        <v>1/2018</v>
      </c>
      <c r="BU132" t="str">
        <f>IF($B$126&gt;=1,$BU$126,IF($B$128&gt;=1,$BU$128,IF($B$130&gt;=1,$BU$130,$BU$125)))</f>
        <v>12/2017</v>
      </c>
      <c r="BV132" t="str">
        <f>IF($B$126&gt;=1,$BV$126,IF($B$128&gt;=1,$BV$128,IF($B$130&gt;=1,$BV$130,$BV$125)))</f>
        <v>11/2017</v>
      </c>
      <c r="BW132" t="str">
        <f>IF($B$126&gt;=1,$BW$126,IF($B$128&gt;=1,$BW$128,IF($B$130&gt;=1,$BW$130,$BW$125)))</f>
        <v>10/2017</v>
      </c>
      <c r="BX132" t="str">
        <f>IF($B$126&gt;=1,$BX$126,IF($B$128&gt;=1,$BX$128,IF($B$130&gt;=1,$BX$130,$BX$125)))</f>
        <v>9/2017</v>
      </c>
      <c r="BY132" t="str">
        <f>IF($B$126&gt;=1,$BY$126,IF($B$128&gt;=1,$BY$128,IF($B$130&gt;=1,$BY$130,$BY$125)))</f>
        <v>8/2017</v>
      </c>
      <c r="BZ132" t="str">
        <f>IF($B$126&gt;=1,$BZ$126,IF($B$128&gt;=1,$BZ$128,IF($B$130&gt;=1,$BZ$130,$BZ$125)))</f>
        <v>7/2017</v>
      </c>
      <c r="CA132" t="str">
        <f>IF($B$126&gt;=1,$CA$126,IF($B$128&gt;=1,$CA$128,IF($B$130&gt;=1,$CA$130,$CA$125)))</f>
        <v>6/2017</v>
      </c>
      <c r="CB132" t="str">
        <f>IF($B$126&gt;=1,$CB$126,IF($B$128&gt;=1,$CB$128,IF($B$130&gt;=1,$CB$130,$CB$125)))</f>
        <v>5/2017</v>
      </c>
      <c r="CC132" t="str">
        <f>IF($B$126&gt;=1,$CC$126,IF($B$128&gt;=1,$CC$128,IF($B$130&gt;=1,$CC$130,$CC$125)))</f>
        <v>4/2017</v>
      </c>
      <c r="CD132" t="str">
        <f>IF($B$126&gt;=1,$CD$126,IF($B$128&gt;=1,$CD$128,IF($B$130&gt;=1,$CD$130,$CD$125)))</f>
        <v>3/2017</v>
      </c>
      <c r="CE132" t="str">
        <f>IF($B$126&gt;=1,$CE$126,IF($B$128&gt;=1,$CE$128,IF($B$130&gt;=1,$CE$130,$CE$125)))</f>
        <v>2/2017</v>
      </c>
      <c r="CF132" t="str">
        <f>IF($B$126&gt;=1,$CF$126,IF($B$128&gt;=1,$CF$128,IF($B$130&gt;=1,$CF$130,$CF$125)))</f>
        <v>1/2017</v>
      </c>
      <c r="CG132" t="str">
        <f>IF($B$126&gt;=1,$CG$126,IF($B$128&gt;=1,$CG$128,IF($B$130&gt;=1,$CG$130,$CG$125)))</f>
        <v>12/2016</v>
      </c>
      <c r="CH132" t="str">
        <f>IF($B$126&gt;=1,$CH$126,IF($B$128&gt;=1,$CH$128,IF($B$130&gt;=1,$CH$130,$CH$125)))</f>
        <v>11/2016</v>
      </c>
      <c r="CL132" t="str">
        <f>""</f>
        <v/>
      </c>
      <c r="CM132" t="str">
        <f>""</f>
        <v/>
      </c>
      <c r="CN132" t="str">
        <f>""</f>
        <v/>
      </c>
      <c r="CO132" t="str">
        <f>""</f>
        <v/>
      </c>
      <c r="CP132" t="str">
        <f>""</f>
        <v/>
      </c>
      <c r="CQ132" t="str">
        <f>""</f>
        <v/>
      </c>
      <c r="CR132" t="str">
        <f>""</f>
        <v/>
      </c>
      <c r="CS132" t="str">
        <f>""</f>
        <v/>
      </c>
      <c r="CT132" t="str">
        <f>""</f>
        <v/>
      </c>
      <c r="CU132" t="str">
        <f>""</f>
        <v/>
      </c>
      <c r="CV132" t="str">
        <f>""</f>
        <v/>
      </c>
      <c r="CW132" t="str">
        <f>""</f>
        <v/>
      </c>
      <c r="CX132" t="str">
        <f>""</f>
        <v/>
      </c>
      <c r="CY132" t="str">
        <f>""</f>
        <v/>
      </c>
      <c r="CZ132" t="str">
        <f>""</f>
        <v/>
      </c>
      <c r="DA132" t="str">
        <f>""</f>
        <v/>
      </c>
      <c r="DB132" t="str">
        <f>""</f>
        <v/>
      </c>
      <c r="DC132" t="str">
        <f>""</f>
        <v/>
      </c>
      <c r="DD132" t="str">
        <f>""</f>
        <v/>
      </c>
      <c r="DE132" t="str">
        <f>""</f>
        <v/>
      </c>
      <c r="DF132" t="str">
        <f>""</f>
        <v/>
      </c>
      <c r="DG132" t="str">
        <f>""</f>
        <v/>
      </c>
      <c r="DH132" t="str">
        <f>""</f>
        <v/>
      </c>
      <c r="DI132" t="str">
        <f>""</f>
        <v/>
      </c>
      <c r="DJ132" t="str">
        <f>""</f>
        <v/>
      </c>
      <c r="DK132" t="str">
        <f>""</f>
        <v/>
      </c>
      <c r="DL132" t="str">
        <f>""</f>
        <v/>
      </c>
      <c r="DM132" t="str">
        <f>""</f>
        <v/>
      </c>
      <c r="DN132" t="str">
        <f>""</f>
        <v/>
      </c>
      <c r="DO132" t="str">
        <f>""</f>
        <v/>
      </c>
      <c r="DP132" t="str">
        <f>""</f>
        <v/>
      </c>
      <c r="DQ132" t="str">
        <f>""</f>
        <v/>
      </c>
      <c r="DR132" t="str">
        <f>""</f>
        <v/>
      </c>
      <c r="DS132" t="str">
        <f>""</f>
        <v/>
      </c>
      <c r="DT132" t="str">
        <f>""</f>
        <v/>
      </c>
      <c r="DU132" t="str">
        <f>""</f>
        <v/>
      </c>
      <c r="DV132" t="str">
        <f>""</f>
        <v/>
      </c>
      <c r="DW132" t="str">
        <f>""</f>
        <v/>
      </c>
      <c r="DX132" t="str">
        <f>""</f>
        <v/>
      </c>
      <c r="DY132" t="str">
        <f>""</f>
        <v/>
      </c>
      <c r="DZ132" t="str">
        <f>""</f>
        <v/>
      </c>
      <c r="EA132" t="str">
        <f>""</f>
        <v/>
      </c>
      <c r="EB132" t="str">
        <f>""</f>
        <v/>
      </c>
      <c r="EC132" t="str">
        <f>""</f>
        <v/>
      </c>
      <c r="ED132" t="str">
        <f>""</f>
        <v/>
      </c>
      <c r="EE132" t="str">
        <f>""</f>
        <v/>
      </c>
      <c r="EF132" t="str">
        <f>""</f>
        <v/>
      </c>
      <c r="EG132" t="str">
        <f>""</f>
        <v/>
      </c>
      <c r="EH132" t="str">
        <f>""</f>
        <v/>
      </c>
      <c r="EI132" t="str">
        <f>""</f>
        <v/>
      </c>
      <c r="EJ132" t="str">
        <f>""</f>
        <v/>
      </c>
      <c r="EK132" t="str">
        <f>""</f>
        <v/>
      </c>
      <c r="EL132" t="str">
        <f>""</f>
        <v/>
      </c>
      <c r="EM132" t="str">
        <f>""</f>
        <v/>
      </c>
      <c r="EN132" t="str">
        <f>""</f>
        <v/>
      </c>
      <c r="EO132" t="str">
        <f>""</f>
        <v/>
      </c>
      <c r="EP132" t="str">
        <f>""</f>
        <v/>
      </c>
      <c r="EQ132" t="str">
        <f>""</f>
        <v/>
      </c>
      <c r="ER132" t="str">
        <f>""</f>
        <v/>
      </c>
      <c r="ES132" t="str">
        <f>""</f>
        <v/>
      </c>
      <c r="ET132" t="str">
        <f>""</f>
        <v/>
      </c>
      <c r="EU132" t="str">
        <f>""</f>
        <v/>
      </c>
      <c r="EV132" t="str">
        <f>""</f>
        <v/>
      </c>
      <c r="EW132" t="str">
        <f>""</f>
        <v/>
      </c>
      <c r="EX132" t="str">
        <f>""</f>
        <v/>
      </c>
      <c r="EY132" t="str">
        <f>""</f>
        <v/>
      </c>
      <c r="EZ132" t="str">
        <f>""</f>
        <v/>
      </c>
      <c r="FA132" t="str">
        <f>""</f>
        <v/>
      </c>
      <c r="FB132" t="str">
        <f>""</f>
        <v/>
      </c>
      <c r="FC132" t="str">
        <f>""</f>
        <v/>
      </c>
      <c r="FD132" t="str">
        <f>""</f>
        <v/>
      </c>
      <c r="FE132" t="str">
        <f>""</f>
        <v/>
      </c>
      <c r="FF132" t="str">
        <f>""</f>
        <v/>
      </c>
      <c r="FG132" t="str">
        <f>""</f>
        <v/>
      </c>
      <c r="FH132" t="str">
        <f>""</f>
        <v/>
      </c>
      <c r="FI132" t="str">
        <f>""</f>
        <v/>
      </c>
      <c r="FJ132" t="str">
        <f>""</f>
        <v/>
      </c>
      <c r="FK132" t="str">
        <f>""</f>
        <v/>
      </c>
      <c r="FL132" t="str">
        <f>""</f>
        <v/>
      </c>
      <c r="FM132" t="str">
        <f>""</f>
        <v/>
      </c>
      <c r="FN132" t="str">
        <f>""</f>
        <v/>
      </c>
      <c r="FO132" t="str">
        <f>""</f>
        <v/>
      </c>
      <c r="FP132" t="str">
        <f>""</f>
        <v/>
      </c>
      <c r="FQ132" t="str">
        <f>""</f>
        <v/>
      </c>
    </row>
    <row r="133" spans="1:173" x14ac:dyDescent="0.25">
      <c r="A133" t="str">
        <f>"BDH snapshot title"</f>
        <v>BDH snapshot title</v>
      </c>
      <c r="B133">
        <f>$B$132</f>
        <v>2</v>
      </c>
      <c r="C133" t="str">
        <f>$C$132</f>
        <v>10/2023</v>
      </c>
      <c r="D133" t="str">
        <f>$D$132</f>
        <v>9/2023</v>
      </c>
      <c r="E133" t="str">
        <f>$E$132</f>
        <v>8/2023</v>
      </c>
      <c r="F133" t="str">
        <f>$F$132</f>
        <v>7/2023</v>
      </c>
      <c r="G133" t="str">
        <f>$G$132</f>
        <v>6/2023</v>
      </c>
      <c r="H133" t="str">
        <f>$H$132</f>
        <v>5/2023</v>
      </c>
      <c r="I133" t="str">
        <f>$I$132</f>
        <v>4/2023</v>
      </c>
      <c r="J133" t="str">
        <f>$J$132</f>
        <v>3/2023</v>
      </c>
      <c r="K133" t="str">
        <f>$K$132</f>
        <v>2/2023</v>
      </c>
      <c r="L133" t="str">
        <f>$L$132</f>
        <v>1/2023</v>
      </c>
      <c r="M133" t="str">
        <f>$M$132</f>
        <v>12/2022</v>
      </c>
      <c r="N133" t="str">
        <f>$N$132</f>
        <v>11/2022</v>
      </c>
      <c r="O133" t="str">
        <f>$O$132</f>
        <v>10/2022</v>
      </c>
      <c r="P133" t="str">
        <f>$P$132</f>
        <v>9/2022</v>
      </c>
      <c r="Q133" t="str">
        <f>$Q$132</f>
        <v>8/2022</v>
      </c>
      <c r="R133" t="str">
        <f>$R$132</f>
        <v>7/2022</v>
      </c>
      <c r="S133" t="str">
        <f>$S$132</f>
        <v>6/2022</v>
      </c>
      <c r="T133" t="str">
        <f>$T$132</f>
        <v>5/2022</v>
      </c>
      <c r="U133" t="str">
        <f>$U$132</f>
        <v>4/2022</v>
      </c>
      <c r="V133" t="str">
        <f>$V$132</f>
        <v>3/2022</v>
      </c>
      <c r="W133" t="str">
        <f>$W$132</f>
        <v>2/2022</v>
      </c>
      <c r="X133" t="str">
        <f>$X$132</f>
        <v>1/2022</v>
      </c>
      <c r="Y133" t="str">
        <f>$Y$132</f>
        <v>12/2021</v>
      </c>
      <c r="Z133" t="str">
        <f>$Z$132</f>
        <v>11/2021</v>
      </c>
      <c r="AA133" t="str">
        <f>$AA$132</f>
        <v>10/2021</v>
      </c>
      <c r="AB133" t="str">
        <f>$AB$132</f>
        <v>9/2021</v>
      </c>
      <c r="AC133" t="str">
        <f>$AC$132</f>
        <v>8/2021</v>
      </c>
      <c r="AD133" t="str">
        <f>$AD$132</f>
        <v>7/2021</v>
      </c>
      <c r="AE133" t="str">
        <f>$AE$132</f>
        <v>6/2021</v>
      </c>
      <c r="AF133" t="str">
        <f>$AF$132</f>
        <v>5/2021</v>
      </c>
      <c r="AG133" t="str">
        <f>$AG$132</f>
        <v>4/2021</v>
      </c>
      <c r="AH133" t="str">
        <f>$AH$132</f>
        <v>3/2021</v>
      </c>
      <c r="AI133" t="str">
        <f>$AI$132</f>
        <v>2/2021</v>
      </c>
      <c r="AJ133" t="str">
        <f>$AJ$132</f>
        <v>1/2021</v>
      </c>
      <c r="AK133" t="str">
        <f>$AK$132</f>
        <v>12/2020</v>
      </c>
      <c r="AL133" t="str">
        <f>$AL$132</f>
        <v>11/2020</v>
      </c>
      <c r="AM133" t="str">
        <f>$AM$132</f>
        <v>10/2020</v>
      </c>
      <c r="AN133" t="str">
        <f>$AN$132</f>
        <v>9/2020</v>
      </c>
      <c r="AO133" t="str">
        <f>$AO$132</f>
        <v>8/2020</v>
      </c>
      <c r="AP133" t="str">
        <f>$AP$132</f>
        <v>7/2020</v>
      </c>
      <c r="AQ133" t="str">
        <f>$AQ$132</f>
        <v>6/2020</v>
      </c>
      <c r="AR133" t="str">
        <f>$AR$132</f>
        <v>5/2020</v>
      </c>
      <c r="AS133" t="str">
        <f>$AS$132</f>
        <v>4/2020</v>
      </c>
      <c r="AT133" t="str">
        <f>$AT$132</f>
        <v>3/2020</v>
      </c>
      <c r="AU133" t="str">
        <f>$AU$132</f>
        <v>2/2020</v>
      </c>
      <c r="AV133" t="str">
        <f>$AV$132</f>
        <v>1/2020</v>
      </c>
      <c r="AW133" t="str">
        <f>$AW$132</f>
        <v>12/2019</v>
      </c>
      <c r="AX133" t="str">
        <f>$AX$132</f>
        <v>11/2019</v>
      </c>
      <c r="AY133" t="str">
        <f>$AY$132</f>
        <v>10/2019</v>
      </c>
      <c r="AZ133" t="str">
        <f>$AZ$132</f>
        <v>9/2019</v>
      </c>
      <c r="BA133" t="str">
        <f>$BA$132</f>
        <v>8/2019</v>
      </c>
      <c r="BB133" t="str">
        <f>$BB$132</f>
        <v>7/2019</v>
      </c>
      <c r="BC133" t="str">
        <f>$BC$132</f>
        <v>6/2019</v>
      </c>
      <c r="BD133" t="str">
        <f>$BD$132</f>
        <v>5/2019</v>
      </c>
      <c r="BE133" t="str">
        <f>$BE$132</f>
        <v>4/2019</v>
      </c>
      <c r="BF133" t="str">
        <f>$BF$132</f>
        <v>3/2019</v>
      </c>
      <c r="BG133" t="str">
        <f>$BG$132</f>
        <v>2/2019</v>
      </c>
      <c r="BH133" t="str">
        <f>$BH$132</f>
        <v>1/2019</v>
      </c>
      <c r="BI133" t="str">
        <f>$BI$132</f>
        <v>12/2018</v>
      </c>
      <c r="BJ133" t="str">
        <f>$BJ$132</f>
        <v>11/2018</v>
      </c>
      <c r="BK133" t="str">
        <f>$BK$132</f>
        <v>10/2018</v>
      </c>
      <c r="BL133" t="str">
        <f>$BL$132</f>
        <v>9/2018</v>
      </c>
      <c r="BM133" t="str">
        <f>$BM$132</f>
        <v>8/2018</v>
      </c>
      <c r="BN133" t="str">
        <f>$BN$132</f>
        <v>7/2018</v>
      </c>
      <c r="BO133" t="str">
        <f>$BO$132</f>
        <v>6/2018</v>
      </c>
      <c r="BP133" t="str">
        <f>$BP$132</f>
        <v>5/2018</v>
      </c>
      <c r="BQ133" t="str">
        <f>$BQ$132</f>
        <v>4/2018</v>
      </c>
      <c r="BR133" t="str">
        <f>$BR$132</f>
        <v>3/2018</v>
      </c>
      <c r="BS133" t="str">
        <f>$BS$132</f>
        <v>2/2018</v>
      </c>
      <c r="BT133" t="str">
        <f>$BT$132</f>
        <v>1/2018</v>
      </c>
      <c r="BU133" t="str">
        <f>$BU$132</f>
        <v>12/2017</v>
      </c>
      <c r="BV133" t="str">
        <f>$BV$132</f>
        <v>11/2017</v>
      </c>
      <c r="BW133" t="str">
        <f>$BW$132</f>
        <v>10/2017</v>
      </c>
      <c r="BX133" t="str">
        <f>$BX$132</f>
        <v>9/2017</v>
      </c>
      <c r="BY133" t="str">
        <f>$BY$132</f>
        <v>8/2017</v>
      </c>
      <c r="BZ133" t="str">
        <f>$BZ$132</f>
        <v>7/2017</v>
      </c>
      <c r="CA133" t="str">
        <f>$CA$132</f>
        <v>6/2017</v>
      </c>
      <c r="CB133" t="str">
        <f>$CB$132</f>
        <v>5/2017</v>
      </c>
      <c r="CC133" t="str">
        <f>$CC$132</f>
        <v>4/2017</v>
      </c>
      <c r="CD133" t="str">
        <f>$CD$132</f>
        <v>3/2017</v>
      </c>
      <c r="CE133" t="str">
        <f>$CE$132</f>
        <v>2/2017</v>
      </c>
      <c r="CF133" t="str">
        <f>$CF$132</f>
        <v>1/2017</v>
      </c>
      <c r="CG133" t="str">
        <f>$CG$132</f>
        <v>12/2016</v>
      </c>
      <c r="CH133" t="str">
        <f>$CH$132</f>
        <v>11/2016</v>
      </c>
      <c r="CL133" t="str">
        <f>""</f>
        <v/>
      </c>
      <c r="CM133" t="str">
        <f>""</f>
        <v/>
      </c>
      <c r="CN133" t="str">
        <f>""</f>
        <v/>
      </c>
      <c r="CO133" t="str">
        <f>""</f>
        <v/>
      </c>
      <c r="CP133" t="str">
        <f>""</f>
        <v/>
      </c>
      <c r="CQ133" t="str">
        <f>""</f>
        <v/>
      </c>
      <c r="CR133" t="str">
        <f>""</f>
        <v/>
      </c>
      <c r="CS133" t="str">
        <f>""</f>
        <v/>
      </c>
      <c r="CT133" t="str">
        <f>""</f>
        <v/>
      </c>
      <c r="CU133" t="str">
        <f>""</f>
        <v/>
      </c>
      <c r="CV133" t="str">
        <f>""</f>
        <v/>
      </c>
      <c r="CW133" t="str">
        <f>""</f>
        <v/>
      </c>
      <c r="CX133" t="str">
        <f>""</f>
        <v/>
      </c>
      <c r="CY133" t="str">
        <f>""</f>
        <v/>
      </c>
      <c r="CZ133" t="str">
        <f>""</f>
        <v/>
      </c>
      <c r="DA133" t="str">
        <f>""</f>
        <v/>
      </c>
      <c r="DB133" t="str">
        <f>""</f>
        <v/>
      </c>
      <c r="DC133" t="str">
        <f>""</f>
        <v/>
      </c>
      <c r="DD133" t="str">
        <f>""</f>
        <v/>
      </c>
      <c r="DE133" t="str">
        <f>""</f>
        <v/>
      </c>
      <c r="DF133" t="str">
        <f>""</f>
        <v/>
      </c>
      <c r="DG133" t="str">
        <f>""</f>
        <v/>
      </c>
      <c r="DH133" t="str">
        <f>""</f>
        <v/>
      </c>
      <c r="DI133" t="str">
        <f>""</f>
        <v/>
      </c>
      <c r="DJ133" t="str">
        <f>""</f>
        <v/>
      </c>
      <c r="DK133" t="str">
        <f>""</f>
        <v/>
      </c>
      <c r="DL133" t="str">
        <f>""</f>
        <v/>
      </c>
      <c r="DM133" t="str">
        <f>""</f>
        <v/>
      </c>
      <c r="DN133" t="str">
        <f>""</f>
        <v/>
      </c>
      <c r="DO133" t="str">
        <f>""</f>
        <v/>
      </c>
      <c r="DP133" t="str">
        <f>""</f>
        <v/>
      </c>
      <c r="DQ133" t="str">
        <f>""</f>
        <v/>
      </c>
      <c r="DR133" t="str">
        <f>""</f>
        <v/>
      </c>
      <c r="DS133" t="str">
        <f>""</f>
        <v/>
      </c>
      <c r="DT133" t="str">
        <f>""</f>
        <v/>
      </c>
      <c r="DU133" t="str">
        <f>""</f>
        <v/>
      </c>
      <c r="DV133" t="str">
        <f>""</f>
        <v/>
      </c>
      <c r="DW133" t="str">
        <f>""</f>
        <v/>
      </c>
      <c r="DX133" t="str">
        <f>""</f>
        <v/>
      </c>
      <c r="DY133" t="str">
        <f>""</f>
        <v/>
      </c>
      <c r="DZ133" t="str">
        <f>""</f>
        <v/>
      </c>
      <c r="EA133" t="str">
        <f>""</f>
        <v/>
      </c>
      <c r="EB133" t="str">
        <f>""</f>
        <v/>
      </c>
      <c r="EC133" t="str">
        <f>""</f>
        <v/>
      </c>
      <c r="ED133" t="str">
        <f>""</f>
        <v/>
      </c>
      <c r="EE133" t="str">
        <f>""</f>
        <v/>
      </c>
      <c r="EF133" t="str">
        <f>""</f>
        <v/>
      </c>
      <c r="EG133" t="str">
        <f>""</f>
        <v/>
      </c>
      <c r="EH133" t="str">
        <f>""</f>
        <v/>
      </c>
      <c r="EI133" t="str">
        <f>""</f>
        <v/>
      </c>
      <c r="EJ133" t="str">
        <f>""</f>
        <v/>
      </c>
      <c r="EK133" t="str">
        <f>""</f>
        <v/>
      </c>
      <c r="EL133" t="str">
        <f>""</f>
        <v/>
      </c>
      <c r="EM133" t="str">
        <f>""</f>
        <v/>
      </c>
      <c r="EN133" t="str">
        <f>""</f>
        <v/>
      </c>
      <c r="EO133" t="str">
        <f>""</f>
        <v/>
      </c>
      <c r="EP133" t="str">
        <f>""</f>
        <v/>
      </c>
      <c r="EQ133" t="str">
        <f>""</f>
        <v/>
      </c>
      <c r="ER133" t="str">
        <f>""</f>
        <v/>
      </c>
      <c r="ES133" t="str">
        <f>""</f>
        <v/>
      </c>
      <c r="ET133" t="str">
        <f>""</f>
        <v/>
      </c>
      <c r="EU133" t="str">
        <f>""</f>
        <v/>
      </c>
      <c r="EV133" t="str">
        <f>""</f>
        <v/>
      </c>
      <c r="EW133" t="str">
        <f>""</f>
        <v/>
      </c>
      <c r="EX133" t="str">
        <f>""</f>
        <v/>
      </c>
      <c r="EY133" t="str">
        <f>""</f>
        <v/>
      </c>
      <c r="EZ133" t="str">
        <f>""</f>
        <v/>
      </c>
      <c r="FA133" t="str">
        <f>""</f>
        <v/>
      </c>
      <c r="FB133" t="str">
        <f>""</f>
        <v/>
      </c>
      <c r="FC133" t="str">
        <f>""</f>
        <v/>
      </c>
      <c r="FD133" t="str">
        <f>""</f>
        <v/>
      </c>
      <c r="FE133" t="str">
        <f>""</f>
        <v/>
      </c>
      <c r="FF133" t="str">
        <f>""</f>
        <v/>
      </c>
      <c r="FG133" t="str">
        <f>""</f>
        <v/>
      </c>
      <c r="FH133" t="str">
        <f>""</f>
        <v/>
      </c>
      <c r="FI133" t="str">
        <f>""</f>
        <v/>
      </c>
      <c r="FJ133" t="str">
        <f>""</f>
        <v/>
      </c>
      <c r="FK133" t="str">
        <f>""</f>
        <v/>
      </c>
      <c r="FL133" t="str">
        <f>""</f>
        <v/>
      </c>
      <c r="FM133" t="str">
        <f>""</f>
        <v/>
      </c>
      <c r="FN133" t="str">
        <f>""</f>
        <v/>
      </c>
      <c r="FO133" t="str">
        <f>""</f>
        <v/>
      </c>
      <c r="FP133" t="str">
        <f>""</f>
        <v/>
      </c>
      <c r="FQ133" t="str">
        <f>""</f>
        <v/>
      </c>
    </row>
    <row r="134" spans="1:173" x14ac:dyDescent="0.25">
      <c r="A134" t="str">
        <f>"BDH dynamic header0"</f>
        <v>BDH dynamic header0</v>
      </c>
      <c r="B134">
        <f ca="1">IF(OR(ISERROR($C$134),ISBLANK($C$134),ISNUMBER(SEARCH("N/A",$C$134) ),ISERROR($C$135),ISBLANK($C$135)),0,1)</f>
        <v>0</v>
      </c>
      <c r="C134" t="str">
        <f ca="1">_xll.BDH($B$5,$C$5,$B$67,$B$68,"PER=CM","Dts=S","DtFmt=FI", "rows=2","Dir=H","Points=84","Sort=R","Days=A","Fill=B","FX=USD" )</f>
        <v>#N/A Invalid Parameter: Invalid override field id specified</v>
      </c>
      <c r="CL134" t="str">
        <f>""</f>
        <v/>
      </c>
      <c r="CM134" t="str">
        <f>""</f>
        <v/>
      </c>
      <c r="CN134" t="str">
        <f>""</f>
        <v/>
      </c>
      <c r="CO134" t="str">
        <f>""</f>
        <v/>
      </c>
      <c r="CP134" t="str">
        <f>""</f>
        <v/>
      </c>
      <c r="CQ134" t="str">
        <f>""</f>
        <v/>
      </c>
      <c r="CR134" t="str">
        <f>""</f>
        <v/>
      </c>
      <c r="CS134" t="str">
        <f>""</f>
        <v/>
      </c>
      <c r="CT134" t="str">
        <f>""</f>
        <v/>
      </c>
      <c r="CU134" t="str">
        <f>""</f>
        <v/>
      </c>
      <c r="CV134" t="str">
        <f>""</f>
        <v/>
      </c>
      <c r="CW134" t="str">
        <f>""</f>
        <v/>
      </c>
      <c r="CX134" t="str">
        <f>""</f>
        <v/>
      </c>
      <c r="CY134" t="str">
        <f>""</f>
        <v/>
      </c>
      <c r="CZ134" t="str">
        <f>""</f>
        <v/>
      </c>
      <c r="DA134" t="str">
        <f>""</f>
        <v/>
      </c>
      <c r="DB134" t="str">
        <f>""</f>
        <v/>
      </c>
      <c r="DC134" t="str">
        <f>""</f>
        <v/>
      </c>
      <c r="DD134" t="str">
        <f>""</f>
        <v/>
      </c>
      <c r="DE134" t="str">
        <f>""</f>
        <v/>
      </c>
      <c r="DF134" t="str">
        <f>""</f>
        <v/>
      </c>
      <c r="DG134" t="str">
        <f>""</f>
        <v/>
      </c>
      <c r="DH134" t="str">
        <f>""</f>
        <v/>
      </c>
      <c r="DI134" t="str">
        <f>""</f>
        <v/>
      </c>
      <c r="DJ134" t="str">
        <f>""</f>
        <v/>
      </c>
      <c r="DK134" t="str">
        <f>""</f>
        <v/>
      </c>
      <c r="DL134" t="str">
        <f>""</f>
        <v/>
      </c>
      <c r="DM134" t="str">
        <f>""</f>
        <v/>
      </c>
      <c r="DN134" t="str">
        <f>""</f>
        <v/>
      </c>
      <c r="DO134" t="str">
        <f>""</f>
        <v/>
      </c>
      <c r="DP134" t="str">
        <f>""</f>
        <v/>
      </c>
      <c r="DQ134" t="str">
        <f>""</f>
        <v/>
      </c>
      <c r="DR134" t="str">
        <f>""</f>
        <v/>
      </c>
      <c r="DS134" t="str">
        <f>""</f>
        <v/>
      </c>
      <c r="DT134" t="str">
        <f>""</f>
        <v/>
      </c>
      <c r="DU134" t="str">
        <f>""</f>
        <v/>
      </c>
      <c r="DV134" t="str">
        <f>""</f>
        <v/>
      </c>
      <c r="DW134" t="str">
        <f>""</f>
        <v/>
      </c>
      <c r="DX134" t="str">
        <f>""</f>
        <v/>
      </c>
      <c r="DY134" t="str">
        <f>""</f>
        <v/>
      </c>
      <c r="DZ134" t="str">
        <f>""</f>
        <v/>
      </c>
      <c r="EA134" t="str">
        <f>""</f>
        <v/>
      </c>
      <c r="EB134" t="str">
        <f>""</f>
        <v/>
      </c>
      <c r="EC134" t="str">
        <f>""</f>
        <v/>
      </c>
      <c r="ED134" t="str">
        <f>""</f>
        <v/>
      </c>
      <c r="EE134" t="str">
        <f>""</f>
        <v/>
      </c>
      <c r="EF134" t="str">
        <f>""</f>
        <v/>
      </c>
      <c r="EG134" t="str">
        <f>""</f>
        <v/>
      </c>
      <c r="EH134" t="str">
        <f>""</f>
        <v/>
      </c>
      <c r="EI134" t="str">
        <f>""</f>
        <v/>
      </c>
      <c r="EJ134" t="str">
        <f>""</f>
        <v/>
      </c>
      <c r="EK134" t="str">
        <f>""</f>
        <v/>
      </c>
      <c r="EL134" t="str">
        <f>""</f>
        <v/>
      </c>
      <c r="EM134" t="str">
        <f>""</f>
        <v/>
      </c>
      <c r="EN134" t="str">
        <f>""</f>
        <v/>
      </c>
      <c r="EO134" t="str">
        <f>""</f>
        <v/>
      </c>
      <c r="EP134" t="str">
        <f>""</f>
        <v/>
      </c>
      <c r="EQ134" t="str">
        <f>""</f>
        <v/>
      </c>
      <c r="ER134" t="str">
        <f>""</f>
        <v/>
      </c>
      <c r="ES134" t="str">
        <f>""</f>
        <v/>
      </c>
      <c r="ET134" t="str">
        <f>""</f>
        <v/>
      </c>
      <c r="EU134" t="str">
        <f>""</f>
        <v/>
      </c>
      <c r="EV134" t="str">
        <f>""</f>
        <v/>
      </c>
      <c r="EW134" t="str">
        <f>""</f>
        <v/>
      </c>
      <c r="EX134" t="str">
        <f>""</f>
        <v/>
      </c>
      <c r="EY134" t="str">
        <f>""</f>
        <v/>
      </c>
      <c r="EZ134" t="str">
        <f>""</f>
        <v/>
      </c>
      <c r="FA134" t="str">
        <f>""</f>
        <v/>
      </c>
      <c r="FB134" t="str">
        <f>""</f>
        <v/>
      </c>
      <c r="FC134" t="str">
        <f>""</f>
        <v/>
      </c>
      <c r="FD134" t="str">
        <f>""</f>
        <v/>
      </c>
      <c r="FE134" t="str">
        <f>""</f>
        <v/>
      </c>
      <c r="FF134" t="str">
        <f>""</f>
        <v/>
      </c>
      <c r="FG134" t="str">
        <f>""</f>
        <v/>
      </c>
      <c r="FH134" t="str">
        <f>""</f>
        <v/>
      </c>
      <c r="FI134" t="str">
        <f>""</f>
        <v/>
      </c>
      <c r="FJ134" t="str">
        <f>""</f>
        <v/>
      </c>
      <c r="FK134" t="str">
        <f>""</f>
        <v/>
      </c>
      <c r="FL134" t="str">
        <f>""</f>
        <v/>
      </c>
      <c r="FM134" t="str">
        <f>""</f>
        <v/>
      </c>
      <c r="FN134" t="str">
        <f>""</f>
        <v/>
      </c>
      <c r="FO134" t="str">
        <f>""</f>
        <v/>
      </c>
      <c r="FP134" t="str">
        <f>""</f>
        <v/>
      </c>
      <c r="FQ134" t="str">
        <f>""</f>
        <v/>
      </c>
    </row>
    <row r="135" spans="1:173" x14ac:dyDescent="0.25">
      <c r="A135" t="str">
        <f>"BDH dynamic result0"</f>
        <v>BDH dynamic result0</v>
      </c>
      <c r="CL135" t="str">
        <f>""</f>
        <v/>
      </c>
      <c r="CM135" t="str">
        <f>""</f>
        <v/>
      </c>
      <c r="CN135" t="str">
        <f>""</f>
        <v/>
      </c>
      <c r="CO135" t="str">
        <f>""</f>
        <v/>
      </c>
      <c r="CP135" t="str">
        <f>""</f>
        <v/>
      </c>
      <c r="CQ135" t="str">
        <f>""</f>
        <v/>
      </c>
      <c r="CR135" t="str">
        <f>""</f>
        <v/>
      </c>
      <c r="CS135" t="str">
        <f>""</f>
        <v/>
      </c>
      <c r="CT135" t="str">
        <f>""</f>
        <v/>
      </c>
      <c r="CU135" t="str">
        <f>""</f>
        <v/>
      </c>
      <c r="CV135" t="str">
        <f>""</f>
        <v/>
      </c>
      <c r="CW135" t="str">
        <f>""</f>
        <v/>
      </c>
      <c r="CX135" t="str">
        <f>""</f>
        <v/>
      </c>
      <c r="CY135" t="str">
        <f>""</f>
        <v/>
      </c>
      <c r="CZ135" t="str">
        <f>""</f>
        <v/>
      </c>
      <c r="DA135" t="str">
        <f>""</f>
        <v/>
      </c>
      <c r="DB135" t="str">
        <f>""</f>
        <v/>
      </c>
      <c r="DC135" t="str">
        <f>""</f>
        <v/>
      </c>
      <c r="DD135" t="str">
        <f>""</f>
        <v/>
      </c>
      <c r="DE135" t="str">
        <f>""</f>
        <v/>
      </c>
      <c r="DF135" t="str">
        <f>""</f>
        <v/>
      </c>
      <c r="DG135" t="str">
        <f>""</f>
        <v/>
      </c>
      <c r="DH135" t="str">
        <f>""</f>
        <v/>
      </c>
      <c r="DI135" t="str">
        <f>""</f>
        <v/>
      </c>
      <c r="DJ135" t="str">
        <f>""</f>
        <v/>
      </c>
      <c r="DK135" t="str">
        <f>""</f>
        <v/>
      </c>
      <c r="DL135" t="str">
        <f>""</f>
        <v/>
      </c>
      <c r="DM135" t="str">
        <f>""</f>
        <v/>
      </c>
      <c r="DN135" t="str">
        <f>""</f>
        <v/>
      </c>
      <c r="DO135" t="str">
        <f>""</f>
        <v/>
      </c>
      <c r="DP135" t="str">
        <f>""</f>
        <v/>
      </c>
      <c r="DQ135" t="str">
        <f>""</f>
        <v/>
      </c>
      <c r="DR135" t="str">
        <f>""</f>
        <v/>
      </c>
      <c r="DS135" t="str">
        <f>""</f>
        <v/>
      </c>
      <c r="DT135" t="str">
        <f>""</f>
        <v/>
      </c>
      <c r="DU135" t="str">
        <f>""</f>
        <v/>
      </c>
      <c r="DV135" t="str">
        <f>""</f>
        <v/>
      </c>
      <c r="DW135" t="str">
        <f>""</f>
        <v/>
      </c>
      <c r="DX135" t="str">
        <f>""</f>
        <v/>
      </c>
      <c r="DY135" t="str">
        <f>""</f>
        <v/>
      </c>
      <c r="DZ135" t="str">
        <f>""</f>
        <v/>
      </c>
      <c r="EA135" t="str">
        <f>""</f>
        <v/>
      </c>
      <c r="EB135" t="str">
        <f>""</f>
        <v/>
      </c>
      <c r="EC135" t="str">
        <f>""</f>
        <v/>
      </c>
      <c r="ED135" t="str">
        <f>""</f>
        <v/>
      </c>
      <c r="EE135" t="str">
        <f>""</f>
        <v/>
      </c>
      <c r="EF135" t="str">
        <f>""</f>
        <v/>
      </c>
      <c r="EG135" t="str">
        <f>""</f>
        <v/>
      </c>
      <c r="EH135" t="str">
        <f>""</f>
        <v/>
      </c>
      <c r="EI135" t="str">
        <f>""</f>
        <v/>
      </c>
      <c r="EJ135" t="str">
        <f>""</f>
        <v/>
      </c>
      <c r="EK135" t="str">
        <f>""</f>
        <v/>
      </c>
      <c r="EL135" t="str">
        <f>""</f>
        <v/>
      </c>
      <c r="EM135" t="str">
        <f>""</f>
        <v/>
      </c>
      <c r="EN135" t="str">
        <f>""</f>
        <v/>
      </c>
      <c r="EO135" t="str">
        <f>""</f>
        <v/>
      </c>
      <c r="EP135" t="str">
        <f>""</f>
        <v/>
      </c>
      <c r="EQ135" t="str">
        <f>""</f>
        <v/>
      </c>
      <c r="ER135" t="str">
        <f>""</f>
        <v/>
      </c>
      <c r="ES135" t="str">
        <f>""</f>
        <v/>
      </c>
      <c r="ET135" t="str">
        <f>""</f>
        <v/>
      </c>
      <c r="EU135" t="str">
        <f>""</f>
        <v/>
      </c>
      <c r="EV135" t="str">
        <f>""</f>
        <v/>
      </c>
      <c r="EW135" t="str">
        <f>""</f>
        <v/>
      </c>
      <c r="EX135" t="str">
        <f>""</f>
        <v/>
      </c>
      <c r="EY135" t="str">
        <f>""</f>
        <v/>
      </c>
      <c r="EZ135" t="str">
        <f>""</f>
        <v/>
      </c>
      <c r="FA135" t="str">
        <f>""</f>
        <v/>
      </c>
      <c r="FB135" t="str">
        <f>""</f>
        <v/>
      </c>
      <c r="FC135" t="str">
        <f>""</f>
        <v/>
      </c>
      <c r="FD135" t="str">
        <f>""</f>
        <v/>
      </c>
      <c r="FE135" t="str">
        <f>""</f>
        <v/>
      </c>
      <c r="FF135" t="str">
        <f>""</f>
        <v/>
      </c>
      <c r="FG135" t="str">
        <f>""</f>
        <v/>
      </c>
      <c r="FH135" t="str">
        <f>""</f>
        <v/>
      </c>
      <c r="FI135" t="str">
        <f>""</f>
        <v/>
      </c>
      <c r="FJ135" t="str">
        <f>""</f>
        <v/>
      </c>
      <c r="FK135" t="str">
        <f>""</f>
        <v/>
      </c>
      <c r="FL135" t="str">
        <f>""</f>
        <v/>
      </c>
      <c r="FM135" t="str">
        <f>""</f>
        <v/>
      </c>
      <c r="FN135" t="str">
        <f>""</f>
        <v/>
      </c>
      <c r="FO135" t="str">
        <f>""</f>
        <v/>
      </c>
      <c r="FP135" t="str">
        <f>""</f>
        <v/>
      </c>
      <c r="FQ135" t="str">
        <f>""</f>
        <v/>
      </c>
    </row>
    <row r="136" spans="1:173" x14ac:dyDescent="0.25">
      <c r="A136" t="str">
        <f>"BDH dynamic header1"</f>
        <v>BDH dynamic header1</v>
      </c>
      <c r="B136">
        <f ca="1">IF(OR(ISERROR($C$136),ISBLANK($C$136),ISNUMBER(SEARCH("N/A",$C$136) ),ISERROR($C$137),ISBLANK($C$137)),0,1)</f>
        <v>0</v>
      </c>
      <c r="C136" t="str">
        <f ca="1">_xll.BDH($B$7,$C$7,$B$67,$B$68,"PER=CM","Dts=S","DtFmt=FI", "rows=2","Dir=H","Points=84","Sort=R","Days=A","Fill=B","FX=USD" )</f>
        <v>#N/A Invalid Parameter: Invalid override field id specified</v>
      </c>
      <c r="CL136" t="str">
        <f>""</f>
        <v/>
      </c>
      <c r="CM136" t="str">
        <f>""</f>
        <v/>
      </c>
      <c r="CN136" t="str">
        <f>""</f>
        <v/>
      </c>
      <c r="CO136" t="str">
        <f>""</f>
        <v/>
      </c>
      <c r="CP136" t="str">
        <f>""</f>
        <v/>
      </c>
      <c r="CQ136" t="str">
        <f>""</f>
        <v/>
      </c>
      <c r="CR136" t="str">
        <f>""</f>
        <v/>
      </c>
      <c r="CS136" t="str">
        <f>""</f>
        <v/>
      </c>
      <c r="CT136" t="str">
        <f>""</f>
        <v/>
      </c>
      <c r="CU136" t="str">
        <f>""</f>
        <v/>
      </c>
      <c r="CV136" t="str">
        <f>""</f>
        <v/>
      </c>
      <c r="CW136" t="str">
        <f>""</f>
        <v/>
      </c>
      <c r="CX136" t="str">
        <f>""</f>
        <v/>
      </c>
      <c r="CY136" t="str">
        <f>""</f>
        <v/>
      </c>
      <c r="CZ136" t="str">
        <f>""</f>
        <v/>
      </c>
      <c r="DA136" t="str">
        <f>""</f>
        <v/>
      </c>
      <c r="DB136" t="str">
        <f>""</f>
        <v/>
      </c>
      <c r="DC136" t="str">
        <f>""</f>
        <v/>
      </c>
      <c r="DD136" t="str">
        <f>""</f>
        <v/>
      </c>
      <c r="DE136" t="str">
        <f>""</f>
        <v/>
      </c>
      <c r="DF136" t="str">
        <f>""</f>
        <v/>
      </c>
      <c r="DG136" t="str">
        <f>""</f>
        <v/>
      </c>
      <c r="DH136" t="str">
        <f>""</f>
        <v/>
      </c>
      <c r="DI136" t="str">
        <f>""</f>
        <v/>
      </c>
      <c r="DJ136" t="str">
        <f>""</f>
        <v/>
      </c>
      <c r="DK136" t="str">
        <f>""</f>
        <v/>
      </c>
      <c r="DL136" t="str">
        <f>""</f>
        <v/>
      </c>
      <c r="DM136" t="str">
        <f>""</f>
        <v/>
      </c>
      <c r="DN136" t="str">
        <f>""</f>
        <v/>
      </c>
      <c r="DO136" t="str">
        <f>""</f>
        <v/>
      </c>
      <c r="DP136" t="str">
        <f>""</f>
        <v/>
      </c>
      <c r="DQ136" t="str">
        <f>""</f>
        <v/>
      </c>
      <c r="DR136" t="str">
        <f>""</f>
        <v/>
      </c>
      <c r="DS136" t="str">
        <f>""</f>
        <v/>
      </c>
      <c r="DT136" t="str">
        <f>""</f>
        <v/>
      </c>
      <c r="DU136" t="str">
        <f>""</f>
        <v/>
      </c>
      <c r="DV136" t="str">
        <f>""</f>
        <v/>
      </c>
      <c r="DW136" t="str">
        <f>""</f>
        <v/>
      </c>
      <c r="DX136" t="str">
        <f>""</f>
        <v/>
      </c>
      <c r="DY136" t="str">
        <f>""</f>
        <v/>
      </c>
      <c r="DZ136" t="str">
        <f>""</f>
        <v/>
      </c>
      <c r="EA136" t="str">
        <f>""</f>
        <v/>
      </c>
      <c r="EB136" t="str">
        <f>""</f>
        <v/>
      </c>
      <c r="EC136" t="str">
        <f>""</f>
        <v/>
      </c>
      <c r="ED136" t="str">
        <f>""</f>
        <v/>
      </c>
      <c r="EE136" t="str">
        <f>""</f>
        <v/>
      </c>
      <c r="EF136" t="str">
        <f>""</f>
        <v/>
      </c>
      <c r="EG136" t="str">
        <f>""</f>
        <v/>
      </c>
      <c r="EH136" t="str">
        <f>""</f>
        <v/>
      </c>
      <c r="EI136" t="str">
        <f>""</f>
        <v/>
      </c>
      <c r="EJ136" t="str">
        <f>""</f>
        <v/>
      </c>
      <c r="EK136" t="str">
        <f>""</f>
        <v/>
      </c>
      <c r="EL136" t="str">
        <f>""</f>
        <v/>
      </c>
      <c r="EM136" t="str">
        <f>""</f>
        <v/>
      </c>
      <c r="EN136" t="str">
        <f>""</f>
        <v/>
      </c>
      <c r="EO136" t="str">
        <f>""</f>
        <v/>
      </c>
      <c r="EP136" t="str">
        <f>""</f>
        <v/>
      </c>
      <c r="EQ136" t="str">
        <f>""</f>
        <v/>
      </c>
      <c r="ER136" t="str">
        <f>""</f>
        <v/>
      </c>
      <c r="ES136" t="str">
        <f>""</f>
        <v/>
      </c>
      <c r="ET136" t="str">
        <f>""</f>
        <v/>
      </c>
      <c r="EU136" t="str">
        <f>""</f>
        <v/>
      </c>
      <c r="EV136" t="str">
        <f>""</f>
        <v/>
      </c>
      <c r="EW136" t="str">
        <f>""</f>
        <v/>
      </c>
      <c r="EX136" t="str">
        <f>""</f>
        <v/>
      </c>
      <c r="EY136" t="str">
        <f>""</f>
        <v/>
      </c>
      <c r="EZ136" t="str">
        <f>""</f>
        <v/>
      </c>
      <c r="FA136" t="str">
        <f>""</f>
        <v/>
      </c>
      <c r="FB136" t="str">
        <f>""</f>
        <v/>
      </c>
      <c r="FC136" t="str">
        <f>""</f>
        <v/>
      </c>
      <c r="FD136" t="str">
        <f>""</f>
        <v/>
      </c>
      <c r="FE136" t="str">
        <f>""</f>
        <v/>
      </c>
      <c r="FF136" t="str">
        <f>""</f>
        <v/>
      </c>
      <c r="FG136" t="str">
        <f>""</f>
        <v/>
      </c>
      <c r="FH136" t="str">
        <f>""</f>
        <v/>
      </c>
      <c r="FI136" t="str">
        <f>""</f>
        <v/>
      </c>
      <c r="FJ136" t="str">
        <f>""</f>
        <v/>
      </c>
      <c r="FK136" t="str">
        <f>""</f>
        <v/>
      </c>
      <c r="FL136" t="str">
        <f>""</f>
        <v/>
      </c>
      <c r="FM136" t="str">
        <f>""</f>
        <v/>
      </c>
      <c r="FN136" t="str">
        <f>""</f>
        <v/>
      </c>
      <c r="FO136" t="str">
        <f>""</f>
        <v/>
      </c>
      <c r="FP136" t="str">
        <f>""</f>
        <v/>
      </c>
      <c r="FQ136" t="str">
        <f>""</f>
        <v/>
      </c>
    </row>
    <row r="137" spans="1:173" x14ac:dyDescent="0.25">
      <c r="A137" t="str">
        <f>"BDH dynamic result1"</f>
        <v>BDH dynamic result1</v>
      </c>
      <c r="CL137" t="str">
        <f>""</f>
        <v/>
      </c>
      <c r="CM137" t="str">
        <f>""</f>
        <v/>
      </c>
      <c r="CN137" t="str">
        <f>""</f>
        <v/>
      </c>
      <c r="CO137" t="str">
        <f>""</f>
        <v/>
      </c>
      <c r="CP137" t="str">
        <f>""</f>
        <v/>
      </c>
      <c r="CQ137" t="str">
        <f>""</f>
        <v/>
      </c>
      <c r="CR137" t="str">
        <f>""</f>
        <v/>
      </c>
      <c r="CS137" t="str">
        <f>""</f>
        <v/>
      </c>
      <c r="CT137" t="str">
        <f>""</f>
        <v/>
      </c>
      <c r="CU137" t="str">
        <f>""</f>
        <v/>
      </c>
      <c r="CV137" t="str">
        <f>""</f>
        <v/>
      </c>
      <c r="CW137" t="str">
        <f>""</f>
        <v/>
      </c>
      <c r="CX137" t="str">
        <f>""</f>
        <v/>
      </c>
      <c r="CY137" t="str">
        <f>""</f>
        <v/>
      </c>
      <c r="CZ137" t="str">
        <f>""</f>
        <v/>
      </c>
      <c r="DA137" t="str">
        <f>""</f>
        <v/>
      </c>
      <c r="DB137" t="str">
        <f>""</f>
        <v/>
      </c>
      <c r="DC137" t="str">
        <f>""</f>
        <v/>
      </c>
      <c r="DD137" t="str">
        <f>""</f>
        <v/>
      </c>
      <c r="DE137" t="str">
        <f>""</f>
        <v/>
      </c>
      <c r="DF137" t="str">
        <f>""</f>
        <v/>
      </c>
      <c r="DG137" t="str">
        <f>""</f>
        <v/>
      </c>
      <c r="DH137" t="str">
        <f>""</f>
        <v/>
      </c>
      <c r="DI137" t="str">
        <f>""</f>
        <v/>
      </c>
      <c r="DJ137" t="str">
        <f>""</f>
        <v/>
      </c>
      <c r="DK137" t="str">
        <f>""</f>
        <v/>
      </c>
      <c r="DL137" t="str">
        <f>""</f>
        <v/>
      </c>
      <c r="DM137" t="str">
        <f>""</f>
        <v/>
      </c>
      <c r="DN137" t="str">
        <f>""</f>
        <v/>
      </c>
      <c r="DO137" t="str">
        <f>""</f>
        <v/>
      </c>
      <c r="DP137" t="str">
        <f>""</f>
        <v/>
      </c>
      <c r="DQ137" t="str">
        <f>""</f>
        <v/>
      </c>
      <c r="DR137" t="str">
        <f>""</f>
        <v/>
      </c>
      <c r="DS137" t="str">
        <f>""</f>
        <v/>
      </c>
      <c r="DT137" t="str">
        <f>""</f>
        <v/>
      </c>
      <c r="DU137" t="str">
        <f>""</f>
        <v/>
      </c>
      <c r="DV137" t="str">
        <f>""</f>
        <v/>
      </c>
      <c r="DW137" t="str">
        <f>""</f>
        <v/>
      </c>
      <c r="DX137" t="str">
        <f>""</f>
        <v/>
      </c>
      <c r="DY137" t="str">
        <f>""</f>
        <v/>
      </c>
      <c r="DZ137" t="str">
        <f>""</f>
        <v/>
      </c>
      <c r="EA137" t="str">
        <f>""</f>
        <v/>
      </c>
      <c r="EB137" t="str">
        <f>""</f>
        <v/>
      </c>
      <c r="EC137" t="str">
        <f>""</f>
        <v/>
      </c>
      <c r="ED137" t="str">
        <f>""</f>
        <v/>
      </c>
      <c r="EE137" t="str">
        <f>""</f>
        <v/>
      </c>
      <c r="EF137" t="str">
        <f>""</f>
        <v/>
      </c>
      <c r="EG137" t="str">
        <f>""</f>
        <v/>
      </c>
      <c r="EH137" t="str">
        <f>""</f>
        <v/>
      </c>
      <c r="EI137" t="str">
        <f>""</f>
        <v/>
      </c>
      <c r="EJ137" t="str">
        <f>""</f>
        <v/>
      </c>
      <c r="EK137" t="str">
        <f>""</f>
        <v/>
      </c>
      <c r="EL137" t="str">
        <f>""</f>
        <v/>
      </c>
      <c r="EM137" t="str">
        <f>""</f>
        <v/>
      </c>
      <c r="EN137" t="str">
        <f>""</f>
        <v/>
      </c>
      <c r="EO137" t="str">
        <f>""</f>
        <v/>
      </c>
      <c r="EP137" t="str">
        <f>""</f>
        <v/>
      </c>
      <c r="EQ137" t="str">
        <f>""</f>
        <v/>
      </c>
      <c r="ER137" t="str">
        <f>""</f>
        <v/>
      </c>
      <c r="ES137" t="str">
        <f>""</f>
        <v/>
      </c>
      <c r="ET137" t="str">
        <f>""</f>
        <v/>
      </c>
      <c r="EU137" t="str">
        <f>""</f>
        <v/>
      </c>
      <c r="EV137" t="str">
        <f>""</f>
        <v/>
      </c>
      <c r="EW137" t="str">
        <f>""</f>
        <v/>
      </c>
      <c r="EX137" t="str">
        <f>""</f>
        <v/>
      </c>
      <c r="EY137" t="str">
        <f>""</f>
        <v/>
      </c>
      <c r="EZ137" t="str">
        <f>""</f>
        <v/>
      </c>
      <c r="FA137" t="str">
        <f>""</f>
        <v/>
      </c>
      <c r="FB137" t="str">
        <f>""</f>
        <v/>
      </c>
      <c r="FC137" t="str">
        <f>""</f>
        <v/>
      </c>
      <c r="FD137" t="str">
        <f>""</f>
        <v/>
      </c>
      <c r="FE137" t="str">
        <f>""</f>
        <v/>
      </c>
      <c r="FF137" t="str">
        <f>""</f>
        <v/>
      </c>
      <c r="FG137" t="str">
        <f>""</f>
        <v/>
      </c>
      <c r="FH137" t="str">
        <f>""</f>
        <v/>
      </c>
      <c r="FI137" t="str">
        <f>""</f>
        <v/>
      </c>
      <c r="FJ137" t="str">
        <f>""</f>
        <v/>
      </c>
      <c r="FK137" t="str">
        <f>""</f>
        <v/>
      </c>
      <c r="FL137" t="str">
        <f>""</f>
        <v/>
      </c>
      <c r="FM137" t="str">
        <f>""</f>
        <v/>
      </c>
      <c r="FN137" t="str">
        <f>""</f>
        <v/>
      </c>
      <c r="FO137" t="str">
        <f>""</f>
        <v/>
      </c>
      <c r="FP137" t="str">
        <f>""</f>
        <v/>
      </c>
      <c r="FQ137" t="str">
        <f>""</f>
        <v/>
      </c>
    </row>
    <row r="138" spans="1:173" x14ac:dyDescent="0.25">
      <c r="A138" t="str">
        <f>"BDH dynamic header2"</f>
        <v>BDH dynamic header2</v>
      </c>
      <c r="B138">
        <f ca="1">IF(OR(ISERROR($C$138),ISBLANK($C$138),ISNUMBER(SEARCH("N/A",$C$138) ),ISERROR($C$139),ISBLANK($C$139)),0,1)</f>
        <v>0</v>
      </c>
      <c r="C138" t="str">
        <f ca="1">_xll.BDH($B$8,$C$8,$B$67,$B$68,"PER=CM","Dts=S","DtFmt=FI", "rows=2","Dir=H","Points=84","Sort=R","Days=A","Fill=B","FX=USD" )</f>
        <v>#N/A Invalid Parameter: Invalid override field id specified</v>
      </c>
      <c r="CL138" t="str">
        <f>""</f>
        <v/>
      </c>
      <c r="CM138" t="str">
        <f>""</f>
        <v/>
      </c>
      <c r="CN138" t="str">
        <f>""</f>
        <v/>
      </c>
      <c r="CO138" t="str">
        <f>""</f>
        <v/>
      </c>
      <c r="CP138" t="str">
        <f>""</f>
        <v/>
      </c>
      <c r="CQ138" t="str">
        <f>""</f>
        <v/>
      </c>
      <c r="CR138" t="str">
        <f>""</f>
        <v/>
      </c>
      <c r="CS138" t="str">
        <f>""</f>
        <v/>
      </c>
      <c r="CT138" t="str">
        <f>""</f>
        <v/>
      </c>
      <c r="CU138" t="str">
        <f>""</f>
        <v/>
      </c>
      <c r="CV138" t="str">
        <f>""</f>
        <v/>
      </c>
      <c r="CW138" t="str">
        <f>""</f>
        <v/>
      </c>
      <c r="CX138" t="str">
        <f>""</f>
        <v/>
      </c>
      <c r="CY138" t="str">
        <f>""</f>
        <v/>
      </c>
      <c r="CZ138" t="str">
        <f>""</f>
        <v/>
      </c>
      <c r="DA138" t="str">
        <f>""</f>
        <v/>
      </c>
      <c r="DB138" t="str">
        <f>""</f>
        <v/>
      </c>
      <c r="DC138" t="str">
        <f>""</f>
        <v/>
      </c>
      <c r="DD138" t="str">
        <f>""</f>
        <v/>
      </c>
      <c r="DE138" t="str">
        <f>""</f>
        <v/>
      </c>
      <c r="DF138" t="str">
        <f>""</f>
        <v/>
      </c>
      <c r="DG138" t="str">
        <f>""</f>
        <v/>
      </c>
      <c r="DH138" t="str">
        <f>""</f>
        <v/>
      </c>
      <c r="DI138" t="str">
        <f>""</f>
        <v/>
      </c>
      <c r="DJ138" t="str">
        <f>""</f>
        <v/>
      </c>
      <c r="DK138" t="str">
        <f>""</f>
        <v/>
      </c>
      <c r="DL138" t="str">
        <f>""</f>
        <v/>
      </c>
      <c r="DM138" t="str">
        <f>""</f>
        <v/>
      </c>
      <c r="DN138" t="str">
        <f>""</f>
        <v/>
      </c>
      <c r="DO138" t="str">
        <f>""</f>
        <v/>
      </c>
      <c r="DP138" t="str">
        <f>""</f>
        <v/>
      </c>
      <c r="DQ138" t="str">
        <f>""</f>
        <v/>
      </c>
      <c r="DR138" t="str">
        <f>""</f>
        <v/>
      </c>
      <c r="DS138" t="str">
        <f>""</f>
        <v/>
      </c>
      <c r="DT138" t="str">
        <f>""</f>
        <v/>
      </c>
      <c r="DU138" t="str">
        <f>""</f>
        <v/>
      </c>
      <c r="DV138" t="str">
        <f>""</f>
        <v/>
      </c>
      <c r="DW138" t="str">
        <f>""</f>
        <v/>
      </c>
      <c r="DX138" t="str">
        <f>""</f>
        <v/>
      </c>
      <c r="DY138" t="str">
        <f>""</f>
        <v/>
      </c>
      <c r="DZ138" t="str">
        <f>""</f>
        <v/>
      </c>
      <c r="EA138" t="str">
        <f>""</f>
        <v/>
      </c>
      <c r="EB138" t="str">
        <f>""</f>
        <v/>
      </c>
      <c r="EC138" t="str">
        <f>""</f>
        <v/>
      </c>
      <c r="ED138" t="str">
        <f>""</f>
        <v/>
      </c>
      <c r="EE138" t="str">
        <f>""</f>
        <v/>
      </c>
      <c r="EF138" t="str">
        <f>""</f>
        <v/>
      </c>
      <c r="EG138" t="str">
        <f>""</f>
        <v/>
      </c>
      <c r="EH138" t="str">
        <f>""</f>
        <v/>
      </c>
      <c r="EI138" t="str">
        <f>""</f>
        <v/>
      </c>
      <c r="EJ138" t="str">
        <f>""</f>
        <v/>
      </c>
      <c r="EK138" t="str">
        <f>""</f>
        <v/>
      </c>
      <c r="EL138" t="str">
        <f>""</f>
        <v/>
      </c>
      <c r="EM138" t="str">
        <f>""</f>
        <v/>
      </c>
      <c r="EN138" t="str">
        <f>""</f>
        <v/>
      </c>
      <c r="EO138" t="str">
        <f>""</f>
        <v/>
      </c>
      <c r="EP138" t="str">
        <f>""</f>
        <v/>
      </c>
      <c r="EQ138" t="str">
        <f>""</f>
        <v/>
      </c>
      <c r="ER138" t="str">
        <f>""</f>
        <v/>
      </c>
      <c r="ES138" t="str">
        <f>""</f>
        <v/>
      </c>
      <c r="ET138" t="str">
        <f>""</f>
        <v/>
      </c>
      <c r="EU138" t="str">
        <f>""</f>
        <v/>
      </c>
      <c r="EV138" t="str">
        <f>""</f>
        <v/>
      </c>
      <c r="EW138" t="str">
        <f>""</f>
        <v/>
      </c>
      <c r="EX138" t="str">
        <f>""</f>
        <v/>
      </c>
      <c r="EY138" t="str">
        <f>""</f>
        <v/>
      </c>
      <c r="EZ138" t="str">
        <f>""</f>
        <v/>
      </c>
      <c r="FA138" t="str">
        <f>""</f>
        <v/>
      </c>
      <c r="FB138" t="str">
        <f>""</f>
        <v/>
      </c>
      <c r="FC138" t="str">
        <f>""</f>
        <v/>
      </c>
      <c r="FD138" t="str">
        <f>""</f>
        <v/>
      </c>
      <c r="FE138" t="str">
        <f>""</f>
        <v/>
      </c>
      <c r="FF138" t="str">
        <f>""</f>
        <v/>
      </c>
      <c r="FG138" t="str">
        <f>""</f>
        <v/>
      </c>
      <c r="FH138" t="str">
        <f>""</f>
        <v/>
      </c>
      <c r="FI138" t="str">
        <f>""</f>
        <v/>
      </c>
      <c r="FJ138" t="str">
        <f>""</f>
        <v/>
      </c>
      <c r="FK138" t="str">
        <f>""</f>
        <v/>
      </c>
      <c r="FL138" t="str">
        <f>""</f>
        <v/>
      </c>
      <c r="FM138" t="str">
        <f>""</f>
        <v/>
      </c>
      <c r="FN138" t="str">
        <f>""</f>
        <v/>
      </c>
      <c r="FO138" t="str">
        <f>""</f>
        <v/>
      </c>
      <c r="FP138" t="str">
        <f>""</f>
        <v/>
      </c>
      <c r="FQ138" t="str">
        <f>""</f>
        <v/>
      </c>
    </row>
    <row r="139" spans="1:173" x14ac:dyDescent="0.25">
      <c r="A139" t="str">
        <f>"BDH dynamic result2"</f>
        <v>BDH dynamic result2</v>
      </c>
      <c r="CL139" t="str">
        <f>""</f>
        <v/>
      </c>
      <c r="CM139" t="str">
        <f>""</f>
        <v/>
      </c>
      <c r="CN139" t="str">
        <f>""</f>
        <v/>
      </c>
      <c r="CO139" t="str">
        <f>""</f>
        <v/>
      </c>
      <c r="CP139" t="str">
        <f>""</f>
        <v/>
      </c>
      <c r="CQ139" t="str">
        <f>""</f>
        <v/>
      </c>
      <c r="CR139" t="str">
        <f>""</f>
        <v/>
      </c>
      <c r="CS139" t="str">
        <f>""</f>
        <v/>
      </c>
      <c r="CT139" t="str">
        <f>""</f>
        <v/>
      </c>
      <c r="CU139" t="str">
        <f>""</f>
        <v/>
      </c>
      <c r="CV139" t="str">
        <f>""</f>
        <v/>
      </c>
      <c r="CW139" t="str">
        <f>""</f>
        <v/>
      </c>
      <c r="CX139" t="str">
        <f>""</f>
        <v/>
      </c>
      <c r="CY139" t="str">
        <f>""</f>
        <v/>
      </c>
      <c r="CZ139" t="str">
        <f>""</f>
        <v/>
      </c>
      <c r="DA139" t="str">
        <f>""</f>
        <v/>
      </c>
      <c r="DB139" t="str">
        <f>""</f>
        <v/>
      </c>
      <c r="DC139" t="str">
        <f>""</f>
        <v/>
      </c>
      <c r="DD139" t="str">
        <f>""</f>
        <v/>
      </c>
      <c r="DE139" t="str">
        <f>""</f>
        <v/>
      </c>
      <c r="DF139" t="str">
        <f>""</f>
        <v/>
      </c>
      <c r="DG139" t="str">
        <f>""</f>
        <v/>
      </c>
      <c r="DH139" t="str">
        <f>""</f>
        <v/>
      </c>
      <c r="DI139" t="str">
        <f>""</f>
        <v/>
      </c>
      <c r="DJ139" t="str">
        <f>""</f>
        <v/>
      </c>
      <c r="DK139" t="str">
        <f>""</f>
        <v/>
      </c>
      <c r="DL139" t="str">
        <f>""</f>
        <v/>
      </c>
      <c r="DM139" t="str">
        <f>""</f>
        <v/>
      </c>
      <c r="DN139" t="str">
        <f>""</f>
        <v/>
      </c>
      <c r="DO139" t="str">
        <f>""</f>
        <v/>
      </c>
      <c r="DP139" t="str">
        <f>""</f>
        <v/>
      </c>
      <c r="DQ139" t="str">
        <f>""</f>
        <v/>
      </c>
      <c r="DR139" t="str">
        <f>""</f>
        <v/>
      </c>
      <c r="DS139" t="str">
        <f>""</f>
        <v/>
      </c>
      <c r="DT139" t="str">
        <f>""</f>
        <v/>
      </c>
      <c r="DU139" t="str">
        <f>""</f>
        <v/>
      </c>
      <c r="DV139" t="str">
        <f>""</f>
        <v/>
      </c>
      <c r="DW139" t="str">
        <f>""</f>
        <v/>
      </c>
      <c r="DX139" t="str">
        <f>""</f>
        <v/>
      </c>
      <c r="DY139" t="str">
        <f>""</f>
        <v/>
      </c>
      <c r="DZ139" t="str">
        <f>""</f>
        <v/>
      </c>
      <c r="EA139" t="str">
        <f>""</f>
        <v/>
      </c>
      <c r="EB139" t="str">
        <f>""</f>
        <v/>
      </c>
      <c r="EC139" t="str">
        <f>""</f>
        <v/>
      </c>
      <c r="ED139" t="str">
        <f>""</f>
        <v/>
      </c>
      <c r="EE139" t="str">
        <f>""</f>
        <v/>
      </c>
      <c r="EF139" t="str">
        <f>""</f>
        <v/>
      </c>
      <c r="EG139" t="str">
        <f>""</f>
        <v/>
      </c>
      <c r="EH139" t="str">
        <f>""</f>
        <v/>
      </c>
      <c r="EI139" t="str">
        <f>""</f>
        <v/>
      </c>
      <c r="EJ139" t="str">
        <f>""</f>
        <v/>
      </c>
      <c r="EK139" t="str">
        <f>""</f>
        <v/>
      </c>
      <c r="EL139" t="str">
        <f>""</f>
        <v/>
      </c>
      <c r="EM139" t="str">
        <f>""</f>
        <v/>
      </c>
      <c r="EN139" t="str">
        <f>""</f>
        <v/>
      </c>
      <c r="EO139" t="str">
        <f>""</f>
        <v/>
      </c>
      <c r="EP139" t="str">
        <f>""</f>
        <v/>
      </c>
      <c r="EQ139" t="str">
        <f>""</f>
        <v/>
      </c>
      <c r="ER139" t="str">
        <f>""</f>
        <v/>
      </c>
      <c r="ES139" t="str">
        <f>""</f>
        <v/>
      </c>
      <c r="ET139" t="str">
        <f>""</f>
        <v/>
      </c>
      <c r="EU139" t="str">
        <f>""</f>
        <v/>
      </c>
      <c r="EV139" t="str">
        <f>""</f>
        <v/>
      </c>
      <c r="EW139" t="str">
        <f>""</f>
        <v/>
      </c>
      <c r="EX139" t="str">
        <f>""</f>
        <v/>
      </c>
      <c r="EY139" t="str">
        <f>""</f>
        <v/>
      </c>
      <c r="EZ139" t="str">
        <f>""</f>
        <v/>
      </c>
      <c r="FA139" t="str">
        <f>""</f>
        <v/>
      </c>
      <c r="FB139" t="str">
        <f>""</f>
        <v/>
      </c>
      <c r="FC139" t="str">
        <f>""</f>
        <v/>
      </c>
      <c r="FD139" t="str">
        <f>""</f>
        <v/>
      </c>
      <c r="FE139" t="str">
        <f>""</f>
        <v/>
      </c>
      <c r="FF139" t="str">
        <f>""</f>
        <v/>
      </c>
      <c r="FG139" t="str">
        <f>""</f>
        <v/>
      </c>
      <c r="FH139" t="str">
        <f>""</f>
        <v/>
      </c>
      <c r="FI139" t="str">
        <f>""</f>
        <v/>
      </c>
      <c r="FJ139" t="str">
        <f>""</f>
        <v/>
      </c>
      <c r="FK139" t="str">
        <f>""</f>
        <v/>
      </c>
      <c r="FL139" t="str">
        <f>""</f>
        <v/>
      </c>
      <c r="FM139" t="str">
        <f>""</f>
        <v/>
      </c>
      <c r="FN139" t="str">
        <f>""</f>
        <v/>
      </c>
      <c r="FO139" t="str">
        <f>""</f>
        <v/>
      </c>
      <c r="FP139" t="str">
        <f>""</f>
        <v/>
      </c>
      <c r="FQ139" t="str">
        <f>""</f>
        <v/>
      </c>
    </row>
    <row r="140" spans="1:173" x14ac:dyDescent="0.25">
      <c r="A140" t="str">
        <f>"BDH dynamic"</f>
        <v>BDH dynamic</v>
      </c>
      <c r="B140">
        <f ca="1">IF($B$134&gt;=1,$B$134,IF($B$136&gt;=1,$B$136,IF($B$138&gt;=1,$B$138,$B$125)))</f>
        <v>2</v>
      </c>
      <c r="C140" t="str">
        <f ca="1">IF($B$134&gt;=1,$C$134,IF($B$136&gt;=1,$C$136,IF($B$138&gt;=1,$C$138,$C$125)))</f>
        <v>10/2023</v>
      </c>
      <c r="D140" t="str">
        <f ca="1">IF($B$134&gt;=1,$D$134,IF($B$136&gt;=1,$D$136,IF($B$138&gt;=1,$D$138,$D$125)))</f>
        <v>9/2023</v>
      </c>
      <c r="E140" t="str">
        <f ca="1">IF($B$134&gt;=1,$E$134,IF($B$136&gt;=1,$E$136,IF($B$138&gt;=1,$E$138,$E$125)))</f>
        <v>8/2023</v>
      </c>
      <c r="F140" t="str">
        <f ca="1">IF($B$134&gt;=1,$F$134,IF($B$136&gt;=1,$F$136,IF($B$138&gt;=1,$F$138,$F$125)))</f>
        <v>7/2023</v>
      </c>
      <c r="G140" t="str">
        <f ca="1">IF($B$134&gt;=1,$G$134,IF($B$136&gt;=1,$G$136,IF($B$138&gt;=1,$G$138,$G$125)))</f>
        <v>6/2023</v>
      </c>
      <c r="H140" t="str">
        <f ca="1">IF($B$134&gt;=1,$H$134,IF($B$136&gt;=1,$H$136,IF($B$138&gt;=1,$H$138,$H$125)))</f>
        <v>5/2023</v>
      </c>
      <c r="I140" t="str">
        <f ca="1">IF($B$134&gt;=1,$I$134,IF($B$136&gt;=1,$I$136,IF($B$138&gt;=1,$I$138,$I$125)))</f>
        <v>4/2023</v>
      </c>
      <c r="J140" t="str">
        <f ca="1">IF($B$134&gt;=1,$J$134,IF($B$136&gt;=1,$J$136,IF($B$138&gt;=1,$J$138,$J$125)))</f>
        <v>3/2023</v>
      </c>
      <c r="K140" t="str">
        <f ca="1">IF($B$134&gt;=1,$K$134,IF($B$136&gt;=1,$K$136,IF($B$138&gt;=1,$K$138,$K$125)))</f>
        <v>2/2023</v>
      </c>
      <c r="L140" t="str">
        <f ca="1">IF($B$134&gt;=1,$L$134,IF($B$136&gt;=1,$L$136,IF($B$138&gt;=1,$L$138,$L$125)))</f>
        <v>1/2023</v>
      </c>
      <c r="M140" t="str">
        <f ca="1">IF($B$134&gt;=1,$M$134,IF($B$136&gt;=1,$M$136,IF($B$138&gt;=1,$M$138,$M$125)))</f>
        <v>12/2022</v>
      </c>
      <c r="N140" t="str">
        <f ca="1">IF($B$134&gt;=1,$N$134,IF($B$136&gt;=1,$N$136,IF($B$138&gt;=1,$N$138,$N$125)))</f>
        <v>11/2022</v>
      </c>
      <c r="O140" t="str">
        <f ca="1">IF($B$134&gt;=1,$O$134,IF($B$136&gt;=1,$O$136,IF($B$138&gt;=1,$O$138,$O$125)))</f>
        <v>10/2022</v>
      </c>
      <c r="P140" t="str">
        <f ca="1">IF($B$134&gt;=1,$P$134,IF($B$136&gt;=1,$P$136,IF($B$138&gt;=1,$P$138,$P$125)))</f>
        <v>9/2022</v>
      </c>
      <c r="Q140" t="str">
        <f ca="1">IF($B$134&gt;=1,$Q$134,IF($B$136&gt;=1,$Q$136,IF($B$138&gt;=1,$Q$138,$Q$125)))</f>
        <v>8/2022</v>
      </c>
      <c r="R140" t="str">
        <f ca="1">IF($B$134&gt;=1,$R$134,IF($B$136&gt;=1,$R$136,IF($B$138&gt;=1,$R$138,$R$125)))</f>
        <v>7/2022</v>
      </c>
      <c r="S140" t="str">
        <f ca="1">IF($B$134&gt;=1,$S$134,IF($B$136&gt;=1,$S$136,IF($B$138&gt;=1,$S$138,$S$125)))</f>
        <v>6/2022</v>
      </c>
      <c r="T140" t="str">
        <f ca="1">IF($B$134&gt;=1,$T$134,IF($B$136&gt;=1,$T$136,IF($B$138&gt;=1,$T$138,$T$125)))</f>
        <v>5/2022</v>
      </c>
      <c r="U140" t="str">
        <f ca="1">IF($B$134&gt;=1,$U$134,IF($B$136&gt;=1,$U$136,IF($B$138&gt;=1,$U$138,$U$125)))</f>
        <v>4/2022</v>
      </c>
      <c r="V140" t="str">
        <f ca="1">IF($B$134&gt;=1,$V$134,IF($B$136&gt;=1,$V$136,IF($B$138&gt;=1,$V$138,$V$125)))</f>
        <v>3/2022</v>
      </c>
      <c r="W140" t="str">
        <f ca="1">IF($B$134&gt;=1,$W$134,IF($B$136&gt;=1,$W$136,IF($B$138&gt;=1,$W$138,$W$125)))</f>
        <v>2/2022</v>
      </c>
      <c r="X140" t="str">
        <f ca="1">IF($B$134&gt;=1,$X$134,IF($B$136&gt;=1,$X$136,IF($B$138&gt;=1,$X$138,$X$125)))</f>
        <v>1/2022</v>
      </c>
      <c r="Y140" t="str">
        <f ca="1">IF($B$134&gt;=1,$Y$134,IF($B$136&gt;=1,$Y$136,IF($B$138&gt;=1,$Y$138,$Y$125)))</f>
        <v>12/2021</v>
      </c>
      <c r="Z140" t="str">
        <f ca="1">IF($B$134&gt;=1,$Z$134,IF($B$136&gt;=1,$Z$136,IF($B$138&gt;=1,$Z$138,$Z$125)))</f>
        <v>11/2021</v>
      </c>
      <c r="AA140" t="str">
        <f ca="1">IF($B$134&gt;=1,$AA$134,IF($B$136&gt;=1,$AA$136,IF($B$138&gt;=1,$AA$138,$AA$125)))</f>
        <v>10/2021</v>
      </c>
      <c r="AB140" t="str">
        <f ca="1">IF($B$134&gt;=1,$AB$134,IF($B$136&gt;=1,$AB$136,IF($B$138&gt;=1,$AB$138,$AB$125)))</f>
        <v>9/2021</v>
      </c>
      <c r="AC140" t="str">
        <f ca="1">IF($B$134&gt;=1,$AC$134,IF($B$136&gt;=1,$AC$136,IF($B$138&gt;=1,$AC$138,$AC$125)))</f>
        <v>8/2021</v>
      </c>
      <c r="AD140" t="str">
        <f ca="1">IF($B$134&gt;=1,$AD$134,IF($B$136&gt;=1,$AD$136,IF($B$138&gt;=1,$AD$138,$AD$125)))</f>
        <v>7/2021</v>
      </c>
      <c r="AE140" t="str">
        <f ca="1">IF($B$134&gt;=1,$AE$134,IF($B$136&gt;=1,$AE$136,IF($B$138&gt;=1,$AE$138,$AE$125)))</f>
        <v>6/2021</v>
      </c>
      <c r="AF140" t="str">
        <f ca="1">IF($B$134&gt;=1,$AF$134,IF($B$136&gt;=1,$AF$136,IF($B$138&gt;=1,$AF$138,$AF$125)))</f>
        <v>5/2021</v>
      </c>
      <c r="AG140" t="str">
        <f ca="1">IF($B$134&gt;=1,$AG$134,IF($B$136&gt;=1,$AG$136,IF($B$138&gt;=1,$AG$138,$AG$125)))</f>
        <v>4/2021</v>
      </c>
      <c r="AH140" t="str">
        <f ca="1">IF($B$134&gt;=1,$AH$134,IF($B$136&gt;=1,$AH$136,IF($B$138&gt;=1,$AH$138,$AH$125)))</f>
        <v>3/2021</v>
      </c>
      <c r="AI140" t="str">
        <f ca="1">IF($B$134&gt;=1,$AI$134,IF($B$136&gt;=1,$AI$136,IF($B$138&gt;=1,$AI$138,$AI$125)))</f>
        <v>2/2021</v>
      </c>
      <c r="AJ140" t="str">
        <f ca="1">IF($B$134&gt;=1,$AJ$134,IF($B$136&gt;=1,$AJ$136,IF($B$138&gt;=1,$AJ$138,$AJ$125)))</f>
        <v>1/2021</v>
      </c>
      <c r="AK140" t="str">
        <f ca="1">IF($B$134&gt;=1,$AK$134,IF($B$136&gt;=1,$AK$136,IF($B$138&gt;=1,$AK$138,$AK$125)))</f>
        <v>12/2020</v>
      </c>
      <c r="AL140" t="str">
        <f ca="1">IF($B$134&gt;=1,$AL$134,IF($B$136&gt;=1,$AL$136,IF($B$138&gt;=1,$AL$138,$AL$125)))</f>
        <v>11/2020</v>
      </c>
      <c r="AM140" t="str">
        <f ca="1">IF($B$134&gt;=1,$AM$134,IF($B$136&gt;=1,$AM$136,IF($B$138&gt;=1,$AM$138,$AM$125)))</f>
        <v>10/2020</v>
      </c>
      <c r="AN140" t="str">
        <f ca="1">IF($B$134&gt;=1,$AN$134,IF($B$136&gt;=1,$AN$136,IF($B$138&gt;=1,$AN$138,$AN$125)))</f>
        <v>9/2020</v>
      </c>
      <c r="AO140" t="str">
        <f ca="1">IF($B$134&gt;=1,$AO$134,IF($B$136&gt;=1,$AO$136,IF($B$138&gt;=1,$AO$138,$AO$125)))</f>
        <v>8/2020</v>
      </c>
      <c r="AP140" t="str">
        <f ca="1">IF($B$134&gt;=1,$AP$134,IF($B$136&gt;=1,$AP$136,IF($B$138&gt;=1,$AP$138,$AP$125)))</f>
        <v>7/2020</v>
      </c>
      <c r="AQ140" t="str">
        <f ca="1">IF($B$134&gt;=1,$AQ$134,IF($B$136&gt;=1,$AQ$136,IF($B$138&gt;=1,$AQ$138,$AQ$125)))</f>
        <v>6/2020</v>
      </c>
      <c r="AR140" t="str">
        <f ca="1">IF($B$134&gt;=1,$AR$134,IF($B$136&gt;=1,$AR$136,IF($B$138&gt;=1,$AR$138,$AR$125)))</f>
        <v>5/2020</v>
      </c>
      <c r="AS140" t="str">
        <f ca="1">IF($B$134&gt;=1,$AS$134,IF($B$136&gt;=1,$AS$136,IF($B$138&gt;=1,$AS$138,$AS$125)))</f>
        <v>4/2020</v>
      </c>
      <c r="AT140" t="str">
        <f ca="1">IF($B$134&gt;=1,$AT$134,IF($B$136&gt;=1,$AT$136,IF($B$138&gt;=1,$AT$138,$AT$125)))</f>
        <v>3/2020</v>
      </c>
      <c r="AU140" t="str">
        <f ca="1">IF($B$134&gt;=1,$AU$134,IF($B$136&gt;=1,$AU$136,IF($B$138&gt;=1,$AU$138,$AU$125)))</f>
        <v>2/2020</v>
      </c>
      <c r="AV140" t="str">
        <f ca="1">IF($B$134&gt;=1,$AV$134,IF($B$136&gt;=1,$AV$136,IF($B$138&gt;=1,$AV$138,$AV$125)))</f>
        <v>1/2020</v>
      </c>
      <c r="AW140" t="str">
        <f ca="1">IF($B$134&gt;=1,$AW$134,IF($B$136&gt;=1,$AW$136,IF($B$138&gt;=1,$AW$138,$AW$125)))</f>
        <v>12/2019</v>
      </c>
      <c r="AX140" t="str">
        <f ca="1">IF($B$134&gt;=1,$AX$134,IF($B$136&gt;=1,$AX$136,IF($B$138&gt;=1,$AX$138,$AX$125)))</f>
        <v>11/2019</v>
      </c>
      <c r="AY140" t="str">
        <f ca="1">IF($B$134&gt;=1,$AY$134,IF($B$136&gt;=1,$AY$136,IF($B$138&gt;=1,$AY$138,$AY$125)))</f>
        <v>10/2019</v>
      </c>
      <c r="AZ140" t="str">
        <f ca="1">IF($B$134&gt;=1,$AZ$134,IF($B$136&gt;=1,$AZ$136,IF($B$138&gt;=1,$AZ$138,$AZ$125)))</f>
        <v>9/2019</v>
      </c>
      <c r="BA140" t="str">
        <f ca="1">IF($B$134&gt;=1,$BA$134,IF($B$136&gt;=1,$BA$136,IF($B$138&gt;=1,$BA$138,$BA$125)))</f>
        <v>8/2019</v>
      </c>
      <c r="BB140" t="str">
        <f ca="1">IF($B$134&gt;=1,$BB$134,IF($B$136&gt;=1,$BB$136,IF($B$138&gt;=1,$BB$138,$BB$125)))</f>
        <v>7/2019</v>
      </c>
      <c r="BC140" t="str">
        <f ca="1">IF($B$134&gt;=1,$BC$134,IF($B$136&gt;=1,$BC$136,IF($B$138&gt;=1,$BC$138,$BC$125)))</f>
        <v>6/2019</v>
      </c>
      <c r="BD140" t="str">
        <f ca="1">IF($B$134&gt;=1,$BD$134,IF($B$136&gt;=1,$BD$136,IF($B$138&gt;=1,$BD$138,$BD$125)))</f>
        <v>5/2019</v>
      </c>
      <c r="BE140" t="str">
        <f ca="1">IF($B$134&gt;=1,$BE$134,IF($B$136&gt;=1,$BE$136,IF($B$138&gt;=1,$BE$138,$BE$125)))</f>
        <v>4/2019</v>
      </c>
      <c r="BF140" t="str">
        <f ca="1">IF($B$134&gt;=1,$BF$134,IF($B$136&gt;=1,$BF$136,IF($B$138&gt;=1,$BF$138,$BF$125)))</f>
        <v>3/2019</v>
      </c>
      <c r="BG140" t="str">
        <f ca="1">IF($B$134&gt;=1,$BG$134,IF($B$136&gt;=1,$BG$136,IF($B$138&gt;=1,$BG$138,$BG$125)))</f>
        <v>2/2019</v>
      </c>
      <c r="BH140" t="str">
        <f ca="1">IF($B$134&gt;=1,$BH$134,IF($B$136&gt;=1,$BH$136,IF($B$138&gt;=1,$BH$138,$BH$125)))</f>
        <v>1/2019</v>
      </c>
      <c r="BI140" t="str">
        <f ca="1">IF($B$134&gt;=1,$BI$134,IF($B$136&gt;=1,$BI$136,IF($B$138&gt;=1,$BI$138,$BI$125)))</f>
        <v>12/2018</v>
      </c>
      <c r="BJ140" t="str">
        <f ca="1">IF($B$134&gt;=1,$BJ$134,IF($B$136&gt;=1,$BJ$136,IF($B$138&gt;=1,$BJ$138,$BJ$125)))</f>
        <v>11/2018</v>
      </c>
      <c r="BK140" t="str">
        <f ca="1">IF($B$134&gt;=1,$BK$134,IF($B$136&gt;=1,$BK$136,IF($B$138&gt;=1,$BK$138,$BK$125)))</f>
        <v>10/2018</v>
      </c>
      <c r="BL140" t="str">
        <f ca="1">IF($B$134&gt;=1,$BL$134,IF($B$136&gt;=1,$BL$136,IF($B$138&gt;=1,$BL$138,$BL$125)))</f>
        <v>9/2018</v>
      </c>
      <c r="BM140" t="str">
        <f ca="1">IF($B$134&gt;=1,$BM$134,IF($B$136&gt;=1,$BM$136,IF($B$138&gt;=1,$BM$138,$BM$125)))</f>
        <v>8/2018</v>
      </c>
      <c r="BN140" t="str">
        <f ca="1">IF($B$134&gt;=1,$BN$134,IF($B$136&gt;=1,$BN$136,IF($B$138&gt;=1,$BN$138,$BN$125)))</f>
        <v>7/2018</v>
      </c>
      <c r="BO140" t="str">
        <f ca="1">IF($B$134&gt;=1,$BO$134,IF($B$136&gt;=1,$BO$136,IF($B$138&gt;=1,$BO$138,$BO$125)))</f>
        <v>6/2018</v>
      </c>
      <c r="BP140" t="str">
        <f ca="1">IF($B$134&gt;=1,$BP$134,IF($B$136&gt;=1,$BP$136,IF($B$138&gt;=1,$BP$138,$BP$125)))</f>
        <v>5/2018</v>
      </c>
      <c r="BQ140" t="str">
        <f ca="1">IF($B$134&gt;=1,$BQ$134,IF($B$136&gt;=1,$BQ$136,IF($B$138&gt;=1,$BQ$138,$BQ$125)))</f>
        <v>4/2018</v>
      </c>
      <c r="BR140" t="str">
        <f ca="1">IF($B$134&gt;=1,$BR$134,IF($B$136&gt;=1,$BR$136,IF($B$138&gt;=1,$BR$138,$BR$125)))</f>
        <v>3/2018</v>
      </c>
      <c r="BS140" t="str">
        <f ca="1">IF($B$134&gt;=1,$BS$134,IF($B$136&gt;=1,$BS$136,IF($B$138&gt;=1,$BS$138,$BS$125)))</f>
        <v>2/2018</v>
      </c>
      <c r="BT140" t="str">
        <f ca="1">IF($B$134&gt;=1,$BT$134,IF($B$136&gt;=1,$BT$136,IF($B$138&gt;=1,$BT$138,$BT$125)))</f>
        <v>1/2018</v>
      </c>
      <c r="BU140" t="str">
        <f ca="1">IF($B$134&gt;=1,$BU$134,IF($B$136&gt;=1,$BU$136,IF($B$138&gt;=1,$BU$138,$BU$125)))</f>
        <v>12/2017</v>
      </c>
      <c r="BV140" t="str">
        <f ca="1">IF($B$134&gt;=1,$BV$134,IF($B$136&gt;=1,$BV$136,IF($B$138&gt;=1,$BV$138,$BV$125)))</f>
        <v>11/2017</v>
      </c>
      <c r="BW140" t="str">
        <f ca="1">IF($B$134&gt;=1,$BW$134,IF($B$136&gt;=1,$BW$136,IF($B$138&gt;=1,$BW$138,$BW$125)))</f>
        <v>10/2017</v>
      </c>
      <c r="BX140" t="str">
        <f ca="1">IF($B$134&gt;=1,$BX$134,IF($B$136&gt;=1,$BX$136,IF($B$138&gt;=1,$BX$138,$BX$125)))</f>
        <v>9/2017</v>
      </c>
      <c r="BY140" t="str">
        <f ca="1">IF($B$134&gt;=1,$BY$134,IF($B$136&gt;=1,$BY$136,IF($B$138&gt;=1,$BY$138,$BY$125)))</f>
        <v>8/2017</v>
      </c>
      <c r="BZ140" t="str">
        <f ca="1">IF($B$134&gt;=1,$BZ$134,IF($B$136&gt;=1,$BZ$136,IF($B$138&gt;=1,$BZ$138,$BZ$125)))</f>
        <v>7/2017</v>
      </c>
      <c r="CA140" t="str">
        <f ca="1">IF($B$134&gt;=1,$CA$134,IF($B$136&gt;=1,$CA$136,IF($B$138&gt;=1,$CA$138,$CA$125)))</f>
        <v>6/2017</v>
      </c>
      <c r="CB140" t="str">
        <f ca="1">IF($B$134&gt;=1,$CB$134,IF($B$136&gt;=1,$CB$136,IF($B$138&gt;=1,$CB$138,$CB$125)))</f>
        <v>5/2017</v>
      </c>
      <c r="CC140" t="str">
        <f ca="1">IF($B$134&gt;=1,$CC$134,IF($B$136&gt;=1,$CC$136,IF($B$138&gt;=1,$CC$138,$CC$125)))</f>
        <v>4/2017</v>
      </c>
      <c r="CD140" t="str">
        <f ca="1">IF($B$134&gt;=1,$CD$134,IF($B$136&gt;=1,$CD$136,IF($B$138&gt;=1,$CD$138,$CD$125)))</f>
        <v>3/2017</v>
      </c>
      <c r="CE140" t="str">
        <f ca="1">IF($B$134&gt;=1,$CE$134,IF($B$136&gt;=1,$CE$136,IF($B$138&gt;=1,$CE$138,$CE$125)))</f>
        <v>2/2017</v>
      </c>
      <c r="CF140" t="str">
        <f ca="1">IF($B$134&gt;=1,$CF$134,IF($B$136&gt;=1,$CF$136,IF($B$138&gt;=1,$CF$138,$CF$125)))</f>
        <v>1/2017</v>
      </c>
      <c r="CG140" t="str">
        <f ca="1">IF($B$134&gt;=1,$CG$134,IF($B$136&gt;=1,$CG$136,IF($B$138&gt;=1,$CG$138,$CG$125)))</f>
        <v>12/2016</v>
      </c>
      <c r="CH140" t="str">
        <f ca="1">IF($B$134&gt;=1,$CH$134,IF($B$136&gt;=1,$CH$136,IF($B$138&gt;=1,$CH$138,$CH$125)))</f>
        <v>11/2016</v>
      </c>
      <c r="CL140" t="str">
        <f>""</f>
        <v/>
      </c>
      <c r="CM140" t="str">
        <f>""</f>
        <v/>
      </c>
      <c r="CN140" t="str">
        <f>""</f>
        <v/>
      </c>
      <c r="CO140" t="str">
        <f>""</f>
        <v/>
      </c>
      <c r="CP140" t="str">
        <f>""</f>
        <v/>
      </c>
      <c r="CQ140" t="str">
        <f>""</f>
        <v/>
      </c>
      <c r="CR140" t="str">
        <f>""</f>
        <v/>
      </c>
      <c r="CS140" t="str">
        <f>""</f>
        <v/>
      </c>
      <c r="CT140" t="str">
        <f>""</f>
        <v/>
      </c>
      <c r="CU140" t="str">
        <f>""</f>
        <v/>
      </c>
      <c r="CV140" t="str">
        <f>""</f>
        <v/>
      </c>
      <c r="CW140" t="str">
        <f>""</f>
        <v/>
      </c>
      <c r="CX140" t="str">
        <f>""</f>
        <v/>
      </c>
      <c r="CY140" t="str">
        <f>""</f>
        <v/>
      </c>
      <c r="CZ140" t="str">
        <f>""</f>
        <v/>
      </c>
      <c r="DA140" t="str">
        <f>""</f>
        <v/>
      </c>
      <c r="DB140" t="str">
        <f>""</f>
        <v/>
      </c>
      <c r="DC140" t="str">
        <f>""</f>
        <v/>
      </c>
      <c r="DD140" t="str">
        <f>""</f>
        <v/>
      </c>
      <c r="DE140" t="str">
        <f>""</f>
        <v/>
      </c>
      <c r="DF140" t="str">
        <f>""</f>
        <v/>
      </c>
      <c r="DG140" t="str">
        <f>""</f>
        <v/>
      </c>
      <c r="DH140" t="str">
        <f>""</f>
        <v/>
      </c>
      <c r="DI140" t="str">
        <f>""</f>
        <v/>
      </c>
      <c r="DJ140" t="str">
        <f>""</f>
        <v/>
      </c>
      <c r="DK140" t="str">
        <f>""</f>
        <v/>
      </c>
      <c r="DL140" t="str">
        <f>""</f>
        <v/>
      </c>
      <c r="DM140" t="str">
        <f>""</f>
        <v/>
      </c>
      <c r="DN140" t="str">
        <f>""</f>
        <v/>
      </c>
      <c r="DO140" t="str">
        <f>""</f>
        <v/>
      </c>
      <c r="DP140" t="str">
        <f>""</f>
        <v/>
      </c>
      <c r="DQ140" t="str">
        <f>""</f>
        <v/>
      </c>
      <c r="DR140" t="str">
        <f>""</f>
        <v/>
      </c>
      <c r="DS140" t="str">
        <f>""</f>
        <v/>
      </c>
      <c r="DT140" t="str">
        <f>""</f>
        <v/>
      </c>
      <c r="DU140" t="str">
        <f>""</f>
        <v/>
      </c>
      <c r="DV140" t="str">
        <f>""</f>
        <v/>
      </c>
      <c r="DW140" t="str">
        <f>""</f>
        <v/>
      </c>
      <c r="DX140" t="str">
        <f>""</f>
        <v/>
      </c>
      <c r="DY140" t="str">
        <f>""</f>
        <v/>
      </c>
      <c r="DZ140" t="str">
        <f>""</f>
        <v/>
      </c>
      <c r="EA140" t="str">
        <f>""</f>
        <v/>
      </c>
      <c r="EB140" t="str">
        <f>""</f>
        <v/>
      </c>
      <c r="EC140" t="str">
        <f>""</f>
        <v/>
      </c>
      <c r="ED140" t="str">
        <f>""</f>
        <v/>
      </c>
      <c r="EE140" t="str">
        <f>""</f>
        <v/>
      </c>
      <c r="EF140" t="str">
        <f>""</f>
        <v/>
      </c>
      <c r="EG140" t="str">
        <f>""</f>
        <v/>
      </c>
      <c r="EH140" t="str">
        <f>""</f>
        <v/>
      </c>
      <c r="EI140" t="str">
        <f>""</f>
        <v/>
      </c>
      <c r="EJ140" t="str">
        <f>""</f>
        <v/>
      </c>
      <c r="EK140" t="str">
        <f>""</f>
        <v/>
      </c>
      <c r="EL140" t="str">
        <f>""</f>
        <v/>
      </c>
      <c r="EM140" t="str">
        <f>""</f>
        <v/>
      </c>
      <c r="EN140" t="str">
        <f>""</f>
        <v/>
      </c>
      <c r="EO140" t="str">
        <f>""</f>
        <v/>
      </c>
      <c r="EP140" t="str">
        <f>""</f>
        <v/>
      </c>
      <c r="EQ140" t="str">
        <f>""</f>
        <v/>
      </c>
      <c r="ER140" t="str">
        <f>""</f>
        <v/>
      </c>
      <c r="ES140" t="str">
        <f>""</f>
        <v/>
      </c>
      <c r="ET140" t="str">
        <f>""</f>
        <v/>
      </c>
      <c r="EU140" t="str">
        <f>""</f>
        <v/>
      </c>
      <c r="EV140" t="str">
        <f>""</f>
        <v/>
      </c>
      <c r="EW140" t="str">
        <f>""</f>
        <v/>
      </c>
      <c r="EX140" t="str">
        <f>""</f>
        <v/>
      </c>
      <c r="EY140" t="str">
        <f>""</f>
        <v/>
      </c>
      <c r="EZ140" t="str">
        <f>""</f>
        <v/>
      </c>
      <c r="FA140" t="str">
        <f>""</f>
        <v/>
      </c>
      <c r="FB140" t="str">
        <f>""</f>
        <v/>
      </c>
      <c r="FC140" t="str">
        <f>""</f>
        <v/>
      </c>
      <c r="FD140" t="str">
        <f>""</f>
        <v/>
      </c>
      <c r="FE140" t="str">
        <f>""</f>
        <v/>
      </c>
      <c r="FF140" t="str">
        <f>""</f>
        <v/>
      </c>
      <c r="FG140" t="str">
        <f>""</f>
        <v/>
      </c>
      <c r="FH140" t="str">
        <f>""</f>
        <v/>
      </c>
      <c r="FI140" t="str">
        <f>""</f>
        <v/>
      </c>
      <c r="FJ140" t="str">
        <f>""</f>
        <v/>
      </c>
      <c r="FK140" t="str">
        <f>""</f>
        <v/>
      </c>
      <c r="FL140" t="str">
        <f>""</f>
        <v/>
      </c>
      <c r="FM140" t="str">
        <f>""</f>
        <v/>
      </c>
      <c r="FN140" t="str">
        <f>""</f>
        <v/>
      </c>
      <c r="FO140" t="str">
        <f>""</f>
        <v/>
      </c>
      <c r="FP140" t="str">
        <f>""</f>
        <v/>
      </c>
      <c r="FQ140" t="str">
        <f>""</f>
        <v/>
      </c>
    </row>
    <row r="141" spans="1:173" x14ac:dyDescent="0.25">
      <c r="A141" t="str">
        <f>"BDH dynamic title"</f>
        <v>BDH dynamic title</v>
      </c>
      <c r="B141">
        <f ca="1">$B$140</f>
        <v>2</v>
      </c>
      <c r="C141" t="str">
        <f ca="1">$C$140</f>
        <v>10/2023</v>
      </c>
      <c r="D141" t="str">
        <f ca="1">$D$140</f>
        <v>9/2023</v>
      </c>
      <c r="E141" t="str">
        <f ca="1">$E$140</f>
        <v>8/2023</v>
      </c>
      <c r="F141" t="str">
        <f ca="1">$F$140</f>
        <v>7/2023</v>
      </c>
      <c r="G141" t="str">
        <f ca="1">$G$140</f>
        <v>6/2023</v>
      </c>
      <c r="H141" t="str">
        <f ca="1">$H$140</f>
        <v>5/2023</v>
      </c>
      <c r="I141" t="str">
        <f ca="1">$I$140</f>
        <v>4/2023</v>
      </c>
      <c r="J141" t="str">
        <f ca="1">$J$140</f>
        <v>3/2023</v>
      </c>
      <c r="K141" t="str">
        <f ca="1">$K$140</f>
        <v>2/2023</v>
      </c>
      <c r="L141" t="str">
        <f ca="1">$L$140</f>
        <v>1/2023</v>
      </c>
      <c r="M141" t="str">
        <f ca="1">$M$140</f>
        <v>12/2022</v>
      </c>
      <c r="N141" t="str">
        <f ca="1">$N$140</f>
        <v>11/2022</v>
      </c>
      <c r="O141" t="str">
        <f ca="1">$O$140</f>
        <v>10/2022</v>
      </c>
      <c r="P141" t="str">
        <f ca="1">$P$140</f>
        <v>9/2022</v>
      </c>
      <c r="Q141" t="str">
        <f ca="1">$Q$140</f>
        <v>8/2022</v>
      </c>
      <c r="R141" t="str">
        <f ca="1">$R$140</f>
        <v>7/2022</v>
      </c>
      <c r="S141" t="str">
        <f ca="1">$S$140</f>
        <v>6/2022</v>
      </c>
      <c r="T141" t="str">
        <f ca="1">$T$140</f>
        <v>5/2022</v>
      </c>
      <c r="U141" t="str">
        <f ca="1">$U$140</f>
        <v>4/2022</v>
      </c>
      <c r="V141" t="str">
        <f ca="1">$V$140</f>
        <v>3/2022</v>
      </c>
      <c r="W141" t="str">
        <f ca="1">$W$140</f>
        <v>2/2022</v>
      </c>
      <c r="X141" t="str">
        <f ca="1">$X$140</f>
        <v>1/2022</v>
      </c>
      <c r="Y141" t="str">
        <f ca="1">$Y$140</f>
        <v>12/2021</v>
      </c>
      <c r="Z141" t="str">
        <f ca="1">$Z$140</f>
        <v>11/2021</v>
      </c>
      <c r="AA141" t="str">
        <f ca="1">$AA$140</f>
        <v>10/2021</v>
      </c>
      <c r="AB141" t="str">
        <f ca="1">$AB$140</f>
        <v>9/2021</v>
      </c>
      <c r="AC141" t="str">
        <f ca="1">$AC$140</f>
        <v>8/2021</v>
      </c>
      <c r="AD141" t="str">
        <f ca="1">$AD$140</f>
        <v>7/2021</v>
      </c>
      <c r="AE141" t="str">
        <f ca="1">$AE$140</f>
        <v>6/2021</v>
      </c>
      <c r="AF141" t="str">
        <f ca="1">$AF$140</f>
        <v>5/2021</v>
      </c>
      <c r="AG141" t="str">
        <f ca="1">$AG$140</f>
        <v>4/2021</v>
      </c>
      <c r="AH141" t="str">
        <f ca="1">$AH$140</f>
        <v>3/2021</v>
      </c>
      <c r="AI141" t="str">
        <f ca="1">$AI$140</f>
        <v>2/2021</v>
      </c>
      <c r="AJ141" t="str">
        <f ca="1">$AJ$140</f>
        <v>1/2021</v>
      </c>
      <c r="AK141" t="str">
        <f ca="1">$AK$140</f>
        <v>12/2020</v>
      </c>
      <c r="AL141" t="str">
        <f ca="1">$AL$140</f>
        <v>11/2020</v>
      </c>
      <c r="AM141" t="str">
        <f ca="1">$AM$140</f>
        <v>10/2020</v>
      </c>
      <c r="AN141" t="str">
        <f ca="1">$AN$140</f>
        <v>9/2020</v>
      </c>
      <c r="AO141" t="str">
        <f ca="1">$AO$140</f>
        <v>8/2020</v>
      </c>
      <c r="AP141" t="str">
        <f ca="1">$AP$140</f>
        <v>7/2020</v>
      </c>
      <c r="AQ141" t="str">
        <f ca="1">$AQ$140</f>
        <v>6/2020</v>
      </c>
      <c r="AR141" t="str">
        <f ca="1">$AR$140</f>
        <v>5/2020</v>
      </c>
      <c r="AS141" t="str">
        <f ca="1">$AS$140</f>
        <v>4/2020</v>
      </c>
      <c r="AT141" t="str">
        <f ca="1">$AT$140</f>
        <v>3/2020</v>
      </c>
      <c r="AU141" t="str">
        <f ca="1">$AU$140</f>
        <v>2/2020</v>
      </c>
      <c r="AV141" t="str">
        <f ca="1">$AV$140</f>
        <v>1/2020</v>
      </c>
      <c r="AW141" t="str">
        <f ca="1">$AW$140</f>
        <v>12/2019</v>
      </c>
      <c r="AX141" t="str">
        <f ca="1">$AX$140</f>
        <v>11/2019</v>
      </c>
      <c r="AY141" t="str">
        <f ca="1">$AY$140</f>
        <v>10/2019</v>
      </c>
      <c r="AZ141" t="str">
        <f ca="1">$AZ$140</f>
        <v>9/2019</v>
      </c>
      <c r="BA141" t="str">
        <f ca="1">$BA$140</f>
        <v>8/2019</v>
      </c>
      <c r="BB141" t="str">
        <f ca="1">$BB$140</f>
        <v>7/2019</v>
      </c>
      <c r="BC141" t="str">
        <f ca="1">$BC$140</f>
        <v>6/2019</v>
      </c>
      <c r="BD141" t="str">
        <f ca="1">$BD$140</f>
        <v>5/2019</v>
      </c>
      <c r="BE141" t="str">
        <f ca="1">$BE$140</f>
        <v>4/2019</v>
      </c>
      <c r="BF141" t="str">
        <f ca="1">$BF$140</f>
        <v>3/2019</v>
      </c>
      <c r="BG141" t="str">
        <f ca="1">$BG$140</f>
        <v>2/2019</v>
      </c>
      <c r="BH141" t="str">
        <f ca="1">$BH$140</f>
        <v>1/2019</v>
      </c>
      <c r="BI141" t="str">
        <f ca="1">$BI$140</f>
        <v>12/2018</v>
      </c>
      <c r="BJ141" t="str">
        <f ca="1">$BJ$140</f>
        <v>11/2018</v>
      </c>
      <c r="BK141" t="str">
        <f ca="1">$BK$140</f>
        <v>10/2018</v>
      </c>
      <c r="BL141" t="str">
        <f ca="1">$BL$140</f>
        <v>9/2018</v>
      </c>
      <c r="BM141" t="str">
        <f ca="1">$BM$140</f>
        <v>8/2018</v>
      </c>
      <c r="BN141" t="str">
        <f ca="1">$BN$140</f>
        <v>7/2018</v>
      </c>
      <c r="BO141" t="str">
        <f ca="1">$BO$140</f>
        <v>6/2018</v>
      </c>
      <c r="BP141" t="str">
        <f ca="1">$BP$140</f>
        <v>5/2018</v>
      </c>
      <c r="BQ141" t="str">
        <f ca="1">$BQ$140</f>
        <v>4/2018</v>
      </c>
      <c r="BR141" t="str">
        <f ca="1">$BR$140</f>
        <v>3/2018</v>
      </c>
      <c r="BS141" t="str">
        <f ca="1">$BS$140</f>
        <v>2/2018</v>
      </c>
      <c r="BT141" t="str">
        <f ca="1">$BT$140</f>
        <v>1/2018</v>
      </c>
      <c r="BU141" t="str">
        <f ca="1">$BU$140</f>
        <v>12/2017</v>
      </c>
      <c r="BV141" t="str">
        <f ca="1">$BV$140</f>
        <v>11/2017</v>
      </c>
      <c r="BW141" t="str">
        <f ca="1">$BW$140</f>
        <v>10/2017</v>
      </c>
      <c r="BX141" t="str">
        <f ca="1">$BX$140</f>
        <v>9/2017</v>
      </c>
      <c r="BY141" t="str">
        <f ca="1">$BY$140</f>
        <v>8/2017</v>
      </c>
      <c r="BZ141" t="str">
        <f ca="1">$BZ$140</f>
        <v>7/2017</v>
      </c>
      <c r="CA141" t="str">
        <f ca="1">$CA$140</f>
        <v>6/2017</v>
      </c>
      <c r="CB141" t="str">
        <f ca="1">$CB$140</f>
        <v>5/2017</v>
      </c>
      <c r="CC141" t="str">
        <f ca="1">$CC$140</f>
        <v>4/2017</v>
      </c>
      <c r="CD141" t="str">
        <f ca="1">$CD$140</f>
        <v>3/2017</v>
      </c>
      <c r="CE141" t="str">
        <f ca="1">$CE$140</f>
        <v>2/2017</v>
      </c>
      <c r="CF141" t="str">
        <f ca="1">$CF$140</f>
        <v>1/2017</v>
      </c>
      <c r="CG141" t="str">
        <f ca="1">$CG$140</f>
        <v>12/2016</v>
      </c>
      <c r="CH141" t="str">
        <f ca="1">$CH$140</f>
        <v>11/2016</v>
      </c>
      <c r="CL141" t="str">
        <f>""</f>
        <v/>
      </c>
      <c r="CM141" t="str">
        <f>""</f>
        <v/>
      </c>
      <c r="CN141" t="str">
        <f>""</f>
        <v/>
      </c>
      <c r="CO141" t="str">
        <f>""</f>
        <v/>
      </c>
      <c r="CP141" t="str">
        <f>""</f>
        <v/>
      </c>
      <c r="CQ141" t="str">
        <f>""</f>
        <v/>
      </c>
      <c r="CR141" t="str">
        <f>""</f>
        <v/>
      </c>
      <c r="CS141" t="str">
        <f>""</f>
        <v/>
      </c>
      <c r="CT141" t="str">
        <f>""</f>
        <v/>
      </c>
      <c r="CU141" t="str">
        <f>""</f>
        <v/>
      </c>
      <c r="CV141" t="str">
        <f>""</f>
        <v/>
      </c>
      <c r="CW141" t="str">
        <f>""</f>
        <v/>
      </c>
      <c r="CX141" t="str">
        <f>""</f>
        <v/>
      </c>
      <c r="CY141" t="str">
        <f>""</f>
        <v/>
      </c>
      <c r="CZ141" t="str">
        <f>""</f>
        <v/>
      </c>
      <c r="DA141" t="str">
        <f>""</f>
        <v/>
      </c>
      <c r="DB141" t="str">
        <f>""</f>
        <v/>
      </c>
      <c r="DC141" t="str">
        <f>""</f>
        <v/>
      </c>
      <c r="DD141" t="str">
        <f>""</f>
        <v/>
      </c>
      <c r="DE141" t="str">
        <f>""</f>
        <v/>
      </c>
      <c r="DF141" t="str">
        <f>""</f>
        <v/>
      </c>
      <c r="DG141" t="str">
        <f>""</f>
        <v/>
      </c>
      <c r="DH141" t="str">
        <f>""</f>
        <v/>
      </c>
      <c r="DI141" t="str">
        <f>""</f>
        <v/>
      </c>
      <c r="DJ141" t="str">
        <f>""</f>
        <v/>
      </c>
      <c r="DK141" t="str">
        <f>""</f>
        <v/>
      </c>
      <c r="DL141" t="str">
        <f>""</f>
        <v/>
      </c>
      <c r="DM141" t="str">
        <f>""</f>
        <v/>
      </c>
      <c r="DN141" t="str">
        <f>""</f>
        <v/>
      </c>
      <c r="DO141" t="str">
        <f>""</f>
        <v/>
      </c>
      <c r="DP141" t="str">
        <f>""</f>
        <v/>
      </c>
      <c r="DQ141" t="str">
        <f>""</f>
        <v/>
      </c>
      <c r="DR141" t="str">
        <f>""</f>
        <v/>
      </c>
      <c r="DS141" t="str">
        <f>""</f>
        <v/>
      </c>
      <c r="DT141" t="str">
        <f>""</f>
        <v/>
      </c>
      <c r="DU141" t="str">
        <f>""</f>
        <v/>
      </c>
      <c r="DV141" t="str">
        <f>""</f>
        <v/>
      </c>
      <c r="DW141" t="str">
        <f>""</f>
        <v/>
      </c>
      <c r="DX141" t="str">
        <f>""</f>
        <v/>
      </c>
      <c r="DY141" t="str">
        <f>""</f>
        <v/>
      </c>
      <c r="DZ141" t="str">
        <f>""</f>
        <v/>
      </c>
      <c r="EA141" t="str">
        <f>""</f>
        <v/>
      </c>
      <c r="EB141" t="str">
        <f>""</f>
        <v/>
      </c>
      <c r="EC141" t="str">
        <f>""</f>
        <v/>
      </c>
      <c r="ED141" t="str">
        <f>""</f>
        <v/>
      </c>
      <c r="EE141" t="str">
        <f>""</f>
        <v/>
      </c>
      <c r="EF141" t="str">
        <f>""</f>
        <v/>
      </c>
      <c r="EG141" t="str">
        <f>""</f>
        <v/>
      </c>
      <c r="EH141" t="str">
        <f>""</f>
        <v/>
      </c>
      <c r="EI141" t="str">
        <f>""</f>
        <v/>
      </c>
      <c r="EJ141" t="str">
        <f>""</f>
        <v/>
      </c>
      <c r="EK141" t="str">
        <f>""</f>
        <v/>
      </c>
      <c r="EL141" t="str">
        <f>""</f>
        <v/>
      </c>
      <c r="EM141" t="str">
        <f>""</f>
        <v/>
      </c>
      <c r="EN141" t="str">
        <f>""</f>
        <v/>
      </c>
      <c r="EO141" t="str">
        <f>""</f>
        <v/>
      </c>
      <c r="EP141" t="str">
        <f>""</f>
        <v/>
      </c>
      <c r="EQ141" t="str">
        <f>""</f>
        <v/>
      </c>
      <c r="ER141" t="str">
        <f>""</f>
        <v/>
      </c>
      <c r="ES141" t="str">
        <f>""</f>
        <v/>
      </c>
      <c r="ET141" t="str">
        <f>""</f>
        <v/>
      </c>
      <c r="EU141" t="str">
        <f>""</f>
        <v/>
      </c>
      <c r="EV141" t="str">
        <f>""</f>
        <v/>
      </c>
      <c r="EW141" t="str">
        <f>""</f>
        <v/>
      </c>
      <c r="EX141" t="str">
        <f>""</f>
        <v/>
      </c>
      <c r="EY141" t="str">
        <f>""</f>
        <v/>
      </c>
      <c r="EZ141" t="str">
        <f>""</f>
        <v/>
      </c>
      <c r="FA141" t="str">
        <f>""</f>
        <v/>
      </c>
      <c r="FB141" t="str">
        <f>""</f>
        <v/>
      </c>
      <c r="FC141" t="str">
        <f>""</f>
        <v/>
      </c>
      <c r="FD141" t="str">
        <f>""</f>
        <v/>
      </c>
      <c r="FE141" t="str">
        <f>""</f>
        <v/>
      </c>
      <c r="FF141" t="str">
        <f>""</f>
        <v/>
      </c>
      <c r="FG141" t="str">
        <f>""</f>
        <v/>
      </c>
      <c r="FH141" t="str">
        <f>""</f>
        <v/>
      </c>
      <c r="FI141" t="str">
        <f>""</f>
        <v/>
      </c>
      <c r="FJ141" t="str">
        <f>""</f>
        <v/>
      </c>
      <c r="FK141" t="str">
        <f>""</f>
        <v/>
      </c>
      <c r="FL141" t="str">
        <f>""</f>
        <v/>
      </c>
      <c r="FM141" t="str">
        <f>""</f>
        <v/>
      </c>
      <c r="FN141" t="str">
        <f>""</f>
        <v/>
      </c>
      <c r="FO141" t="str">
        <f>""</f>
        <v/>
      </c>
      <c r="FP141" t="str">
        <f>""</f>
        <v/>
      </c>
      <c r="FQ141" t="str">
        <f>""</f>
        <v/>
      </c>
    </row>
    <row r="142" spans="1:173" x14ac:dyDescent="0.25">
      <c r="A142" t="str">
        <f>"No error found"</f>
        <v>No error found</v>
      </c>
      <c r="B142" t="str">
        <f>""</f>
        <v/>
      </c>
      <c r="C142" t="str">
        <f>""</f>
        <v/>
      </c>
      <c r="D142" t="str">
        <f>""</f>
        <v/>
      </c>
      <c r="E142" t="str">
        <f>""</f>
        <v/>
      </c>
      <c r="CL142" t="str">
        <f>""</f>
        <v/>
      </c>
      <c r="CM142" t="str">
        <f>""</f>
        <v/>
      </c>
      <c r="CN142" t="str">
        <f>""</f>
        <v/>
      </c>
      <c r="CO142" t="str">
        <f>""</f>
        <v/>
      </c>
      <c r="CP142" t="str">
        <f>""</f>
        <v/>
      </c>
      <c r="CQ142" t="str">
        <f>""</f>
        <v/>
      </c>
      <c r="CR142" t="str">
        <f>""</f>
        <v/>
      </c>
      <c r="CS142" t="str">
        <f>""</f>
        <v/>
      </c>
      <c r="CT142" t="str">
        <f>""</f>
        <v/>
      </c>
      <c r="CU142" t="str">
        <f>""</f>
        <v/>
      </c>
      <c r="CV142" t="str">
        <f>""</f>
        <v/>
      </c>
      <c r="CW142" t="str">
        <f>""</f>
        <v/>
      </c>
      <c r="CX142" t="str">
        <f>""</f>
        <v/>
      </c>
      <c r="CY142" t="str">
        <f>""</f>
        <v/>
      </c>
      <c r="CZ142" t="str">
        <f>""</f>
        <v/>
      </c>
      <c r="DA142" t="str">
        <f>""</f>
        <v/>
      </c>
      <c r="DB142" t="str">
        <f>""</f>
        <v/>
      </c>
      <c r="DC142" t="str">
        <f>""</f>
        <v/>
      </c>
      <c r="DD142" t="str">
        <f>""</f>
        <v/>
      </c>
      <c r="DE142" t="str">
        <f>""</f>
        <v/>
      </c>
      <c r="DF142" t="str">
        <f>""</f>
        <v/>
      </c>
      <c r="DG142" t="str">
        <f>""</f>
        <v/>
      </c>
      <c r="DH142" t="str">
        <f>""</f>
        <v/>
      </c>
      <c r="DI142" t="str">
        <f>""</f>
        <v/>
      </c>
      <c r="DJ142" t="str">
        <f>""</f>
        <v/>
      </c>
      <c r="DK142" t="str">
        <f>""</f>
        <v/>
      </c>
      <c r="DL142" t="str">
        <f>""</f>
        <v/>
      </c>
      <c r="DM142" t="str">
        <f>""</f>
        <v/>
      </c>
      <c r="DN142" t="str">
        <f>""</f>
        <v/>
      </c>
      <c r="DO142" t="str">
        <f>""</f>
        <v/>
      </c>
      <c r="DP142" t="str">
        <f>""</f>
        <v/>
      </c>
      <c r="DQ142" t="str">
        <f>""</f>
        <v/>
      </c>
      <c r="DR142" t="str">
        <f>""</f>
        <v/>
      </c>
      <c r="DS142" t="str">
        <f>""</f>
        <v/>
      </c>
      <c r="DT142" t="str">
        <f>""</f>
        <v/>
      </c>
      <c r="DU142" t="str">
        <f>""</f>
        <v/>
      </c>
      <c r="DV142" t="str">
        <f>""</f>
        <v/>
      </c>
      <c r="DW142" t="str">
        <f>""</f>
        <v/>
      </c>
      <c r="DX142" t="str">
        <f>""</f>
        <v/>
      </c>
      <c r="DY142" t="str">
        <f>""</f>
        <v/>
      </c>
      <c r="DZ142" t="str">
        <f>""</f>
        <v/>
      </c>
      <c r="EA142" t="str">
        <f>""</f>
        <v/>
      </c>
      <c r="EB142" t="str">
        <f>""</f>
        <v/>
      </c>
      <c r="EC142" t="str">
        <f>""</f>
        <v/>
      </c>
      <c r="ED142" t="str">
        <f>""</f>
        <v/>
      </c>
      <c r="EE142" t="str">
        <f>""</f>
        <v/>
      </c>
      <c r="EF142" t="str">
        <f>""</f>
        <v/>
      </c>
      <c r="EG142" t="str">
        <f>""</f>
        <v/>
      </c>
      <c r="EH142" t="str">
        <f>""</f>
        <v/>
      </c>
      <c r="EI142" t="str">
        <f>""</f>
        <v/>
      </c>
      <c r="EJ142" t="str">
        <f>""</f>
        <v/>
      </c>
      <c r="EK142" t="str">
        <f>""</f>
        <v/>
      </c>
      <c r="EL142" t="str">
        <f>""</f>
        <v/>
      </c>
      <c r="EM142" t="str">
        <f>""</f>
        <v/>
      </c>
      <c r="EN142" t="str">
        <f>""</f>
        <v/>
      </c>
      <c r="EO142" t="str">
        <f>""</f>
        <v/>
      </c>
      <c r="EP142" t="str">
        <f>""</f>
        <v/>
      </c>
      <c r="EQ142" t="str">
        <f>""</f>
        <v/>
      </c>
      <c r="ER142" t="str">
        <f>""</f>
        <v/>
      </c>
      <c r="ES142" t="str">
        <f>""</f>
        <v/>
      </c>
      <c r="ET142" t="str">
        <f>""</f>
        <v/>
      </c>
      <c r="EU142" t="str">
        <f>""</f>
        <v/>
      </c>
      <c r="EV142" t="str">
        <f>""</f>
        <v/>
      </c>
      <c r="EW142" t="str">
        <f>""</f>
        <v/>
      </c>
      <c r="EX142" t="str">
        <f>""</f>
        <v/>
      </c>
      <c r="EY142" t="str">
        <f>""</f>
        <v/>
      </c>
      <c r="EZ142" t="str">
        <f>""</f>
        <v/>
      </c>
      <c r="FA142" t="str">
        <f>""</f>
        <v/>
      </c>
      <c r="FB142" t="str">
        <f>""</f>
        <v/>
      </c>
      <c r="FC142" t="str">
        <f>""</f>
        <v/>
      </c>
      <c r="FD142" t="str">
        <f>""</f>
        <v/>
      </c>
      <c r="FE142" t="str">
        <f>""</f>
        <v/>
      </c>
      <c r="FF142" t="str">
        <f>""</f>
        <v/>
      </c>
      <c r="FG142" t="str">
        <f>""</f>
        <v/>
      </c>
      <c r="FH142" t="str">
        <f>""</f>
        <v/>
      </c>
      <c r="FI142" t="str">
        <f>""</f>
        <v/>
      </c>
      <c r="FJ142" t="str">
        <f>""</f>
        <v/>
      </c>
      <c r="FK142" t="str">
        <f>""</f>
        <v/>
      </c>
      <c r="FL142" t="str">
        <f>""</f>
        <v/>
      </c>
      <c r="FM142" t="str">
        <f>""</f>
        <v/>
      </c>
      <c r="FN142" t="str">
        <f>""</f>
        <v/>
      </c>
      <c r="FO142" t="str">
        <f>""</f>
        <v/>
      </c>
      <c r="FP142" t="str">
        <f>""</f>
        <v/>
      </c>
      <c r="FQ142" t="str">
        <f>""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3"/>
  <sheetViews>
    <sheetView workbookViewId="0"/>
  </sheetViews>
  <sheetFormatPr defaultRowHeight="15" x14ac:dyDescent="0.25"/>
  <cols>
    <col min="1" max="1" width="9.140625" bestFit="1" customWidth="1"/>
  </cols>
  <sheetData>
    <row r="1" spans="1:1" x14ac:dyDescent="0.25">
      <c r="A1" s="2"/>
    </row>
    <row r="2" spans="1:1" x14ac:dyDescent="0.25">
      <c r="A2" t="s">
        <v>0</v>
      </c>
    </row>
    <row r="3" spans="1:1" x14ac:dyDescent="0.25">
      <c r="A3" t="s">
        <v>1</v>
      </c>
    </row>
    <row r="5" spans="1:1" x14ac:dyDescent="0.25">
      <c r="A5" t="s">
        <v>2</v>
      </c>
    </row>
    <row r="6" spans="1:1" x14ac:dyDescent="0.25">
      <c r="A6" t="s">
        <v>3</v>
      </c>
    </row>
    <row r="7" spans="1:1" x14ac:dyDescent="0.25">
      <c r="A7" t="s">
        <v>4</v>
      </c>
    </row>
    <row r="8" spans="1:1" x14ac:dyDescent="0.25">
      <c r="A8" t="s">
        <v>5</v>
      </c>
    </row>
    <row r="9" spans="1:1" x14ac:dyDescent="0.25">
      <c r="A9" t="s">
        <v>6</v>
      </c>
    </row>
    <row r="11" spans="1:1" x14ac:dyDescent="0.25">
      <c r="A11" t="s">
        <v>7</v>
      </c>
    </row>
    <row r="12" spans="1:1" x14ac:dyDescent="0.25">
      <c r="A12" t="s">
        <v>8</v>
      </c>
    </row>
    <row r="13" spans="1:1" x14ac:dyDescent="0.25">
      <c r="A13" t="s">
        <v>9</v>
      </c>
    </row>
    <row r="14" spans="1:1" x14ac:dyDescent="0.25">
      <c r="A14" t="s">
        <v>10</v>
      </c>
    </row>
    <row r="15" spans="1:1" x14ac:dyDescent="0.25">
      <c r="A15" t="s">
        <v>11</v>
      </c>
    </row>
    <row r="16" spans="1:1" x14ac:dyDescent="0.25">
      <c r="A16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20" spans="1:1" x14ac:dyDescent="0.25">
      <c r="A20" t="s">
        <v>15</v>
      </c>
    </row>
    <row r="21" spans="1:1" x14ac:dyDescent="0.25">
      <c r="A21" t="s">
        <v>16</v>
      </c>
    </row>
    <row r="22" spans="1:1" x14ac:dyDescent="0.25">
      <c r="A22" t="s">
        <v>17</v>
      </c>
    </row>
    <row r="23" spans="1:1" x14ac:dyDescent="0.25">
      <c r="A23" t="s">
        <v>18</v>
      </c>
    </row>
    <row r="24" spans="1:1" x14ac:dyDescent="0.25">
      <c r="A24" t="s">
        <v>19</v>
      </c>
    </row>
    <row r="25" spans="1:1" x14ac:dyDescent="0.25">
      <c r="A25" t="s">
        <v>20</v>
      </c>
    </row>
    <row r="26" spans="1:1" x14ac:dyDescent="0.25">
      <c r="A26" t="s">
        <v>21</v>
      </c>
    </row>
    <row r="27" spans="1:1" x14ac:dyDescent="0.25">
      <c r="A27" t="s">
        <v>22</v>
      </c>
    </row>
    <row r="28" spans="1:1" x14ac:dyDescent="0.25">
      <c r="A28" t="s">
        <v>23</v>
      </c>
    </row>
    <row r="29" spans="1:1" x14ac:dyDescent="0.25">
      <c r="A29" t="s">
        <v>24</v>
      </c>
    </row>
    <row r="30" spans="1:1" x14ac:dyDescent="0.25">
      <c r="A30" t="s">
        <v>25</v>
      </c>
    </row>
    <row r="31" spans="1:1" x14ac:dyDescent="0.25">
      <c r="A31" t="s">
        <v>2</v>
      </c>
    </row>
    <row r="32" spans="1:1" x14ac:dyDescent="0.25">
      <c r="A32" t="s">
        <v>26</v>
      </c>
    </row>
    <row r="33" spans="1:1" x14ac:dyDescent="0.25">
      <c r="A33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BIData</vt:lpstr>
      <vt:lpstr>ReferenceData</vt:lpstr>
      <vt:lpstr>Help-Reference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Fredrik Lindau</cp:lastModifiedBy>
  <dcterms:created xsi:type="dcterms:W3CDTF">2013-04-03T15:49:21Z</dcterms:created>
  <dcterms:modified xsi:type="dcterms:W3CDTF">2023-11-12T14:13:05Z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{17CAC434-75BD-411E-B721-A006E3561567}</vt:lpwstr>
  </property>
</Properties>
</file>