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redrikLindau/Desktop/am10.mam2023-main/Final-Project/"/>
    </mc:Choice>
  </mc:AlternateContent>
  <xr:revisionPtr revIDLastSave="0" documentId="13_ncr:1_{87A8CF77-0045-C245-9661-592893BCC054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BIData" sheetId="2" r:id="rId1"/>
    <sheet name="ReferenceData" sheetId="3" r:id="rId2"/>
    <sheet name="Help-Reference" sheetId="4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B3" i="3"/>
  <c r="E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E123" i="3"/>
  <c r="AD123" i="3"/>
  <c r="AC123" i="3"/>
  <c r="AB123" i="3"/>
  <c r="AA123" i="3"/>
  <c r="Z123" i="3"/>
  <c r="Y123" i="3"/>
  <c r="X123" i="3"/>
  <c r="W123" i="3"/>
  <c r="V123" i="3"/>
  <c r="U123" i="3"/>
  <c r="T123" i="3"/>
  <c r="S123" i="3"/>
  <c r="E123" i="3"/>
  <c r="D123" i="3"/>
  <c r="C123" i="3"/>
  <c r="B123" i="3"/>
  <c r="A123" i="3"/>
  <c r="AE122" i="3"/>
  <c r="AD122" i="3"/>
  <c r="AC122" i="3"/>
  <c r="AB122" i="3"/>
  <c r="AA122" i="3"/>
  <c r="Z122" i="3"/>
  <c r="Y122" i="3"/>
  <c r="X122" i="3"/>
  <c r="W122" i="3"/>
  <c r="V122" i="3"/>
  <c r="U122" i="3"/>
  <c r="T122" i="3"/>
  <c r="S122" i="3"/>
  <c r="O122" i="3"/>
  <c r="AE2" i="3" s="1"/>
  <c r="N122" i="3"/>
  <c r="M122" i="3"/>
  <c r="L122" i="3"/>
  <c r="K122" i="3"/>
  <c r="AA2" i="3" s="1"/>
  <c r="J122" i="3"/>
  <c r="I122" i="3"/>
  <c r="Y2" i="3" s="1"/>
  <c r="H122" i="3"/>
  <c r="G122" i="3"/>
  <c r="W2" i="3" s="1"/>
  <c r="F122" i="3"/>
  <c r="E122" i="3"/>
  <c r="D122" i="3"/>
  <c r="C122" i="3"/>
  <c r="S2" i="3" s="1"/>
  <c r="B122" i="3"/>
  <c r="A122" i="3"/>
  <c r="AE121" i="3"/>
  <c r="AD121" i="3"/>
  <c r="AC121" i="3"/>
  <c r="AB121" i="3"/>
  <c r="AA121" i="3"/>
  <c r="Z121" i="3"/>
  <c r="Y121" i="3"/>
  <c r="X121" i="3"/>
  <c r="W121" i="3"/>
  <c r="V121" i="3"/>
  <c r="U121" i="3"/>
  <c r="T121" i="3"/>
  <c r="S121" i="3"/>
  <c r="AE120" i="3"/>
  <c r="AD120" i="3"/>
  <c r="AC120" i="3"/>
  <c r="AB120" i="3"/>
  <c r="AA120" i="3"/>
  <c r="Z120" i="3"/>
  <c r="Y120" i="3"/>
  <c r="X120" i="3"/>
  <c r="W120" i="3"/>
  <c r="V120" i="3"/>
  <c r="U120" i="3"/>
  <c r="T120" i="3"/>
  <c r="S120" i="3"/>
  <c r="AE119" i="3"/>
  <c r="AD119" i="3"/>
  <c r="AC119" i="3"/>
  <c r="AB119" i="3"/>
  <c r="AA119" i="3"/>
  <c r="Z119" i="3"/>
  <c r="Y119" i="3"/>
  <c r="X119" i="3"/>
  <c r="W119" i="3"/>
  <c r="V119" i="3"/>
  <c r="U119" i="3"/>
  <c r="T119" i="3"/>
  <c r="S119" i="3"/>
  <c r="AE118" i="3"/>
  <c r="AD118" i="3"/>
  <c r="AC118" i="3"/>
  <c r="AB118" i="3"/>
  <c r="AA118" i="3"/>
  <c r="Z118" i="3"/>
  <c r="Y118" i="3"/>
  <c r="X118" i="3"/>
  <c r="W118" i="3"/>
  <c r="V118" i="3"/>
  <c r="U118" i="3"/>
  <c r="T118" i="3"/>
  <c r="S118" i="3"/>
  <c r="AE117" i="3"/>
  <c r="AD117" i="3"/>
  <c r="AC117" i="3"/>
  <c r="AB117" i="3"/>
  <c r="AA117" i="3"/>
  <c r="Z117" i="3"/>
  <c r="Y117" i="3"/>
  <c r="X117" i="3"/>
  <c r="W117" i="3"/>
  <c r="V117" i="3"/>
  <c r="U117" i="3"/>
  <c r="T117" i="3"/>
  <c r="S117" i="3"/>
  <c r="AE116" i="3"/>
  <c r="AD116" i="3"/>
  <c r="AC116" i="3"/>
  <c r="AB116" i="3"/>
  <c r="AA116" i="3"/>
  <c r="Z116" i="3"/>
  <c r="Y116" i="3"/>
  <c r="X116" i="3"/>
  <c r="W116" i="3"/>
  <c r="V116" i="3"/>
  <c r="U116" i="3"/>
  <c r="T116" i="3"/>
  <c r="S116" i="3"/>
  <c r="AE115" i="3"/>
  <c r="AD115" i="3"/>
  <c r="AC115" i="3"/>
  <c r="AB115" i="3"/>
  <c r="AA115" i="3"/>
  <c r="Z115" i="3"/>
  <c r="Y115" i="3"/>
  <c r="X115" i="3"/>
  <c r="W115" i="3"/>
  <c r="V115" i="3"/>
  <c r="U115" i="3"/>
  <c r="T115" i="3"/>
  <c r="S115" i="3"/>
  <c r="AE114" i="3"/>
  <c r="AD114" i="3"/>
  <c r="AC114" i="3"/>
  <c r="AB114" i="3"/>
  <c r="AA114" i="3"/>
  <c r="Z114" i="3"/>
  <c r="Y114" i="3"/>
  <c r="X114" i="3"/>
  <c r="W114" i="3"/>
  <c r="V114" i="3"/>
  <c r="U114" i="3"/>
  <c r="T114" i="3"/>
  <c r="S114" i="3"/>
  <c r="AE113" i="3"/>
  <c r="AD113" i="3"/>
  <c r="AC113" i="3"/>
  <c r="AB113" i="3"/>
  <c r="AA113" i="3"/>
  <c r="Z113" i="3"/>
  <c r="Y113" i="3"/>
  <c r="X113" i="3"/>
  <c r="W113" i="3"/>
  <c r="V113" i="3"/>
  <c r="U113" i="3"/>
  <c r="T113" i="3"/>
  <c r="S113" i="3"/>
  <c r="AE112" i="3"/>
  <c r="AD112" i="3"/>
  <c r="AC112" i="3"/>
  <c r="AB112" i="3"/>
  <c r="AA112" i="3"/>
  <c r="Z112" i="3"/>
  <c r="Y112" i="3"/>
  <c r="X112" i="3"/>
  <c r="W112" i="3"/>
  <c r="V112" i="3"/>
  <c r="U112" i="3"/>
  <c r="T112" i="3"/>
  <c r="S112" i="3"/>
  <c r="AE111" i="3"/>
  <c r="AD111" i="3"/>
  <c r="AC111" i="3"/>
  <c r="AB111" i="3"/>
  <c r="AA111" i="3"/>
  <c r="Z111" i="3"/>
  <c r="Y111" i="3"/>
  <c r="X111" i="3"/>
  <c r="W111" i="3"/>
  <c r="V111" i="3"/>
  <c r="U111" i="3"/>
  <c r="T111" i="3"/>
  <c r="S111" i="3"/>
  <c r="AE110" i="3"/>
  <c r="AD110" i="3"/>
  <c r="AC110" i="3"/>
  <c r="AB110" i="3"/>
  <c r="AA110" i="3"/>
  <c r="Z110" i="3"/>
  <c r="Y110" i="3"/>
  <c r="X110" i="3"/>
  <c r="W110" i="3"/>
  <c r="V110" i="3"/>
  <c r="U110" i="3"/>
  <c r="T110" i="3"/>
  <c r="S110" i="3"/>
  <c r="AE109" i="3"/>
  <c r="AD109" i="3"/>
  <c r="AC109" i="3"/>
  <c r="AB109" i="3"/>
  <c r="AA109" i="3"/>
  <c r="Z109" i="3"/>
  <c r="Y109" i="3"/>
  <c r="X109" i="3"/>
  <c r="W109" i="3"/>
  <c r="V109" i="3"/>
  <c r="U109" i="3"/>
  <c r="T109" i="3"/>
  <c r="S109" i="3"/>
  <c r="AE108" i="3"/>
  <c r="AD108" i="3"/>
  <c r="AC108" i="3"/>
  <c r="AB108" i="3"/>
  <c r="AA108" i="3"/>
  <c r="Z108" i="3"/>
  <c r="Y108" i="3"/>
  <c r="X108" i="3"/>
  <c r="W108" i="3"/>
  <c r="V108" i="3"/>
  <c r="U108" i="3"/>
  <c r="T108" i="3"/>
  <c r="S108" i="3"/>
  <c r="AE107" i="3"/>
  <c r="AD107" i="3"/>
  <c r="AC107" i="3"/>
  <c r="AB107" i="3"/>
  <c r="AA107" i="3"/>
  <c r="Z107" i="3"/>
  <c r="Y107" i="3"/>
  <c r="X107" i="3"/>
  <c r="W107" i="3"/>
  <c r="V107" i="3"/>
  <c r="U107" i="3"/>
  <c r="T107" i="3"/>
  <c r="S107" i="3"/>
  <c r="AE106" i="3"/>
  <c r="AD106" i="3"/>
  <c r="AC106" i="3"/>
  <c r="AB106" i="3"/>
  <c r="AA106" i="3"/>
  <c r="Z106" i="3"/>
  <c r="Y106" i="3"/>
  <c r="X106" i="3"/>
  <c r="W106" i="3"/>
  <c r="V106" i="3"/>
  <c r="U106" i="3"/>
  <c r="T106" i="3"/>
  <c r="S106" i="3"/>
  <c r="AE105" i="3"/>
  <c r="AD105" i="3"/>
  <c r="AC105" i="3"/>
  <c r="AB105" i="3"/>
  <c r="AA105" i="3"/>
  <c r="Z105" i="3"/>
  <c r="Y105" i="3"/>
  <c r="X105" i="3"/>
  <c r="W105" i="3"/>
  <c r="V105" i="3"/>
  <c r="U105" i="3"/>
  <c r="T105" i="3"/>
  <c r="S105" i="3"/>
  <c r="AE104" i="3"/>
  <c r="AD104" i="3"/>
  <c r="AC104" i="3"/>
  <c r="AB104" i="3"/>
  <c r="AA104" i="3"/>
  <c r="Z104" i="3"/>
  <c r="Y104" i="3"/>
  <c r="X104" i="3"/>
  <c r="W104" i="3"/>
  <c r="V104" i="3"/>
  <c r="U104" i="3"/>
  <c r="T104" i="3"/>
  <c r="S104" i="3"/>
  <c r="AE103" i="3"/>
  <c r="AD103" i="3"/>
  <c r="AC103" i="3"/>
  <c r="AB103" i="3"/>
  <c r="AA103" i="3"/>
  <c r="Z103" i="3"/>
  <c r="Y103" i="3"/>
  <c r="X103" i="3"/>
  <c r="W103" i="3"/>
  <c r="V103" i="3"/>
  <c r="U103" i="3"/>
  <c r="T103" i="3"/>
  <c r="S103" i="3"/>
  <c r="AE102" i="3"/>
  <c r="AD102" i="3"/>
  <c r="AC102" i="3"/>
  <c r="AB102" i="3"/>
  <c r="AA102" i="3"/>
  <c r="Z102" i="3"/>
  <c r="Y102" i="3"/>
  <c r="X102" i="3"/>
  <c r="W102" i="3"/>
  <c r="V102" i="3"/>
  <c r="U102" i="3"/>
  <c r="T102" i="3"/>
  <c r="S102" i="3"/>
  <c r="AE101" i="3"/>
  <c r="AD101" i="3"/>
  <c r="AC101" i="3"/>
  <c r="AB101" i="3"/>
  <c r="AA101" i="3"/>
  <c r="Z101" i="3"/>
  <c r="Y101" i="3"/>
  <c r="X101" i="3"/>
  <c r="W101" i="3"/>
  <c r="V101" i="3"/>
  <c r="U101" i="3"/>
  <c r="T101" i="3"/>
  <c r="S101" i="3"/>
  <c r="AE100" i="3"/>
  <c r="AD100" i="3"/>
  <c r="AC100" i="3"/>
  <c r="AB100" i="3"/>
  <c r="AA100" i="3"/>
  <c r="Z100" i="3"/>
  <c r="Y100" i="3"/>
  <c r="X100" i="3"/>
  <c r="W100" i="3"/>
  <c r="V100" i="3"/>
  <c r="U100" i="3"/>
  <c r="T100" i="3"/>
  <c r="S100" i="3"/>
  <c r="AE99" i="3"/>
  <c r="AD99" i="3"/>
  <c r="AC99" i="3"/>
  <c r="AB99" i="3"/>
  <c r="AA99" i="3"/>
  <c r="Z99" i="3"/>
  <c r="Y99" i="3"/>
  <c r="X99" i="3"/>
  <c r="W99" i="3"/>
  <c r="V99" i="3"/>
  <c r="U99" i="3"/>
  <c r="T99" i="3"/>
  <c r="S99" i="3"/>
  <c r="AE98" i="3"/>
  <c r="AD98" i="3"/>
  <c r="AC98" i="3"/>
  <c r="AB98" i="3"/>
  <c r="AA98" i="3"/>
  <c r="Z98" i="3"/>
  <c r="Y98" i="3"/>
  <c r="X98" i="3"/>
  <c r="W98" i="3"/>
  <c r="V98" i="3"/>
  <c r="U98" i="3"/>
  <c r="T98" i="3"/>
  <c r="S98" i="3"/>
  <c r="AE97" i="3"/>
  <c r="AD97" i="3"/>
  <c r="AC97" i="3"/>
  <c r="AB97" i="3"/>
  <c r="AA97" i="3"/>
  <c r="Z97" i="3"/>
  <c r="Y97" i="3"/>
  <c r="X97" i="3"/>
  <c r="W97" i="3"/>
  <c r="V97" i="3"/>
  <c r="U97" i="3"/>
  <c r="T97" i="3"/>
  <c r="S97" i="3"/>
  <c r="AE96" i="3"/>
  <c r="AD96" i="3"/>
  <c r="AC96" i="3"/>
  <c r="AB96" i="3"/>
  <c r="AA96" i="3"/>
  <c r="Z96" i="3"/>
  <c r="Y96" i="3"/>
  <c r="X96" i="3"/>
  <c r="W96" i="3"/>
  <c r="V96" i="3"/>
  <c r="U96" i="3"/>
  <c r="T96" i="3"/>
  <c r="S96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AE94" i="3"/>
  <c r="AD94" i="3"/>
  <c r="AC94" i="3"/>
  <c r="AB94" i="3"/>
  <c r="AA94" i="3"/>
  <c r="Z94" i="3"/>
  <c r="Y94" i="3"/>
  <c r="X94" i="3"/>
  <c r="W94" i="3"/>
  <c r="V94" i="3"/>
  <c r="U94" i="3"/>
  <c r="T94" i="3"/>
  <c r="S94" i="3"/>
  <c r="AE93" i="3"/>
  <c r="AD93" i="3"/>
  <c r="AC93" i="3"/>
  <c r="AB93" i="3"/>
  <c r="AA93" i="3"/>
  <c r="Z93" i="3"/>
  <c r="Y93" i="3"/>
  <c r="X93" i="3"/>
  <c r="W93" i="3"/>
  <c r="V93" i="3"/>
  <c r="U93" i="3"/>
  <c r="T93" i="3"/>
  <c r="S93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AE91" i="3"/>
  <c r="AD91" i="3"/>
  <c r="AC91" i="3"/>
  <c r="AB91" i="3"/>
  <c r="AA91" i="3"/>
  <c r="Z91" i="3"/>
  <c r="Y91" i="3"/>
  <c r="X91" i="3"/>
  <c r="W91" i="3"/>
  <c r="V91" i="3"/>
  <c r="U91" i="3"/>
  <c r="T91" i="3"/>
  <c r="S91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E72" i="3"/>
  <c r="D72" i="3"/>
  <c r="C72" i="3"/>
  <c r="A72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E71" i="3"/>
  <c r="D71" i="3"/>
  <c r="C71" i="3"/>
  <c r="A71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A69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B68" i="3"/>
  <c r="O72" i="3" s="1"/>
  <c r="A68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A67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B66" i="3"/>
  <c r="A66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C65" i="3"/>
  <c r="B65" i="3"/>
  <c r="A65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B64" i="3"/>
  <c r="A64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A62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A61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E53" i="3"/>
  <c r="B53" i="3"/>
  <c r="A53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E52" i="3"/>
  <c r="E121" i="3" s="1"/>
  <c r="D52" i="3"/>
  <c r="D121" i="3" s="1"/>
  <c r="C52" i="3"/>
  <c r="C121" i="3" s="1"/>
  <c r="B52" i="3"/>
  <c r="B121" i="3" s="1"/>
  <c r="A52" i="3"/>
  <c r="A121" i="3" s="1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E51" i="3"/>
  <c r="E120" i="3" s="1"/>
  <c r="D51" i="3"/>
  <c r="D120" i="3" s="1"/>
  <c r="C51" i="3"/>
  <c r="C120" i="3" s="1"/>
  <c r="B51" i="3"/>
  <c r="B120" i="3" s="1"/>
  <c r="A51" i="3"/>
  <c r="A120" i="3" s="1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E50" i="3"/>
  <c r="E119" i="3" s="1"/>
  <c r="D50" i="3"/>
  <c r="D119" i="3" s="1"/>
  <c r="C50" i="3"/>
  <c r="C119" i="3" s="1"/>
  <c r="B50" i="3"/>
  <c r="B119" i="3" s="1"/>
  <c r="A50" i="3"/>
  <c r="A119" i="3" s="1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E49" i="3"/>
  <c r="E118" i="3" s="1"/>
  <c r="D49" i="3"/>
  <c r="D118" i="3" s="1"/>
  <c r="C49" i="3"/>
  <c r="C118" i="3" s="1"/>
  <c r="B49" i="3"/>
  <c r="B118" i="3" s="1"/>
  <c r="A49" i="3"/>
  <c r="A118" i="3" s="1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E48" i="3"/>
  <c r="E117" i="3" s="1"/>
  <c r="D48" i="3"/>
  <c r="C48" i="3"/>
  <c r="C117" i="3" s="1"/>
  <c r="B48" i="3"/>
  <c r="B117" i="3" s="1"/>
  <c r="A48" i="3"/>
  <c r="A117" i="3" s="1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E47" i="3"/>
  <c r="E116" i="3" s="1"/>
  <c r="D47" i="3"/>
  <c r="D116" i="3" s="1"/>
  <c r="C47" i="3"/>
  <c r="C116" i="3" s="1"/>
  <c r="B47" i="3"/>
  <c r="B116" i="3" s="1"/>
  <c r="A47" i="3"/>
  <c r="A116" i="3" s="1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E46" i="3"/>
  <c r="E115" i="3" s="1"/>
  <c r="D46" i="3"/>
  <c r="D115" i="3" s="1"/>
  <c r="C46" i="3"/>
  <c r="C115" i="3" s="1"/>
  <c r="B46" i="3"/>
  <c r="B115" i="3" s="1"/>
  <c r="A46" i="3"/>
  <c r="A115" i="3" s="1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E45" i="3"/>
  <c r="E114" i="3" s="1"/>
  <c r="D45" i="3"/>
  <c r="D114" i="3" s="1"/>
  <c r="C45" i="3"/>
  <c r="C114" i="3" s="1"/>
  <c r="B45" i="3"/>
  <c r="B114" i="3" s="1"/>
  <c r="A45" i="3"/>
  <c r="A114" i="3" s="1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E44" i="3"/>
  <c r="E113" i="3" s="1"/>
  <c r="D44" i="3"/>
  <c r="D113" i="3" s="1"/>
  <c r="C44" i="3"/>
  <c r="C113" i="3" s="1"/>
  <c r="B44" i="3"/>
  <c r="B113" i="3" s="1"/>
  <c r="A44" i="3"/>
  <c r="A113" i="3" s="1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E43" i="3"/>
  <c r="E112" i="3" s="1"/>
  <c r="D43" i="3"/>
  <c r="D112" i="3" s="1"/>
  <c r="C43" i="3"/>
  <c r="C112" i="3" s="1"/>
  <c r="B43" i="3"/>
  <c r="B112" i="3" s="1"/>
  <c r="A43" i="3"/>
  <c r="A112" i="3" s="1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E42" i="3"/>
  <c r="E111" i="3" s="1"/>
  <c r="D42" i="3"/>
  <c r="D111" i="3" s="1"/>
  <c r="C42" i="3"/>
  <c r="C111" i="3" s="1"/>
  <c r="B42" i="3"/>
  <c r="B111" i="3" s="1"/>
  <c r="A42" i="3"/>
  <c r="A111" i="3" s="1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E41" i="3"/>
  <c r="E110" i="3" s="1"/>
  <c r="D41" i="3"/>
  <c r="D110" i="3" s="1"/>
  <c r="C41" i="3"/>
  <c r="C110" i="3" s="1"/>
  <c r="B41" i="3"/>
  <c r="B110" i="3" s="1"/>
  <c r="A41" i="3"/>
  <c r="A110" i="3" s="1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E40" i="3"/>
  <c r="E109" i="3" s="1"/>
  <c r="D40" i="3"/>
  <c r="C40" i="3"/>
  <c r="C109" i="3" s="1"/>
  <c r="B40" i="3"/>
  <c r="B109" i="3" s="1"/>
  <c r="A40" i="3"/>
  <c r="A109" i="3" s="1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E39" i="3"/>
  <c r="E108" i="3" s="1"/>
  <c r="D39" i="3"/>
  <c r="D108" i="3" s="1"/>
  <c r="C39" i="3"/>
  <c r="C108" i="3" s="1"/>
  <c r="B39" i="3"/>
  <c r="B108" i="3" s="1"/>
  <c r="A39" i="3"/>
  <c r="A108" i="3" s="1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E38" i="3"/>
  <c r="E107" i="3" s="1"/>
  <c r="D38" i="3"/>
  <c r="D107" i="3" s="1"/>
  <c r="C38" i="3"/>
  <c r="C107" i="3" s="1"/>
  <c r="B38" i="3"/>
  <c r="B107" i="3" s="1"/>
  <c r="A38" i="3"/>
  <c r="A107" i="3" s="1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E37" i="3"/>
  <c r="E106" i="3" s="1"/>
  <c r="D37" i="3"/>
  <c r="D106" i="3" s="1"/>
  <c r="C37" i="3"/>
  <c r="C106" i="3" s="1"/>
  <c r="B37" i="3"/>
  <c r="B106" i="3" s="1"/>
  <c r="A37" i="3"/>
  <c r="A106" i="3" s="1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E36" i="3"/>
  <c r="E105" i="3" s="1"/>
  <c r="D36" i="3"/>
  <c r="D105" i="3" s="1"/>
  <c r="C36" i="3"/>
  <c r="C105" i="3" s="1"/>
  <c r="B36" i="3"/>
  <c r="B105" i="3" s="1"/>
  <c r="A36" i="3"/>
  <c r="A105" i="3" s="1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E35" i="3"/>
  <c r="E104" i="3" s="1"/>
  <c r="D35" i="3"/>
  <c r="D104" i="3" s="1"/>
  <c r="C35" i="3"/>
  <c r="C104" i="3" s="1"/>
  <c r="B35" i="3"/>
  <c r="B104" i="3" s="1"/>
  <c r="A35" i="3"/>
  <c r="A104" i="3" s="1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E34" i="3"/>
  <c r="E103" i="3" s="1"/>
  <c r="D34" i="3"/>
  <c r="D103" i="3" s="1"/>
  <c r="C34" i="3"/>
  <c r="C103" i="3" s="1"/>
  <c r="B34" i="3"/>
  <c r="B103" i="3" s="1"/>
  <c r="A34" i="3"/>
  <c r="A103" i="3" s="1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E33" i="3"/>
  <c r="E102" i="3" s="1"/>
  <c r="D33" i="3"/>
  <c r="D102" i="3" s="1"/>
  <c r="C33" i="3"/>
  <c r="C102" i="3" s="1"/>
  <c r="B33" i="3"/>
  <c r="B102" i="3" s="1"/>
  <c r="A33" i="3"/>
  <c r="A102" i="3" s="1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E32" i="3"/>
  <c r="E101" i="3" s="1"/>
  <c r="D32" i="3"/>
  <c r="C32" i="3"/>
  <c r="C101" i="3" s="1"/>
  <c r="B32" i="3"/>
  <c r="B101" i="3" s="1"/>
  <c r="A32" i="3"/>
  <c r="A101" i="3" s="1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E31" i="3"/>
  <c r="E100" i="3" s="1"/>
  <c r="D31" i="3"/>
  <c r="D100" i="3" s="1"/>
  <c r="C31" i="3"/>
  <c r="C100" i="3" s="1"/>
  <c r="B31" i="3"/>
  <c r="B100" i="3" s="1"/>
  <c r="A31" i="3"/>
  <c r="A100" i="3" s="1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E30" i="3"/>
  <c r="E99" i="3" s="1"/>
  <c r="D30" i="3"/>
  <c r="D99" i="3" s="1"/>
  <c r="C30" i="3"/>
  <c r="C99" i="3" s="1"/>
  <c r="B30" i="3"/>
  <c r="B99" i="3" s="1"/>
  <c r="A30" i="3"/>
  <c r="A99" i="3" s="1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E29" i="3"/>
  <c r="E98" i="3" s="1"/>
  <c r="D29" i="3"/>
  <c r="D98" i="3" s="1"/>
  <c r="C29" i="3"/>
  <c r="C98" i="3" s="1"/>
  <c r="B29" i="3"/>
  <c r="B98" i="3" s="1"/>
  <c r="A29" i="3"/>
  <c r="A98" i="3" s="1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E28" i="3"/>
  <c r="E97" i="3" s="1"/>
  <c r="D28" i="3"/>
  <c r="D97" i="3" s="1"/>
  <c r="C28" i="3"/>
  <c r="C97" i="3" s="1"/>
  <c r="B28" i="3"/>
  <c r="B97" i="3" s="1"/>
  <c r="A28" i="3"/>
  <c r="A97" i="3" s="1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E27" i="3"/>
  <c r="E96" i="3" s="1"/>
  <c r="D27" i="3"/>
  <c r="D96" i="3" s="1"/>
  <c r="C27" i="3"/>
  <c r="C96" i="3" s="1"/>
  <c r="B27" i="3"/>
  <c r="B96" i="3" s="1"/>
  <c r="A27" i="3"/>
  <c r="A96" i="3" s="1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E26" i="3"/>
  <c r="E95" i="3" s="1"/>
  <c r="D26" i="3"/>
  <c r="D95" i="3" s="1"/>
  <c r="C26" i="3"/>
  <c r="C95" i="3" s="1"/>
  <c r="B26" i="3"/>
  <c r="B95" i="3" s="1"/>
  <c r="A26" i="3"/>
  <c r="A95" i="3" s="1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E25" i="3"/>
  <c r="E94" i="3" s="1"/>
  <c r="D25" i="3"/>
  <c r="D94" i="3" s="1"/>
  <c r="C25" i="3"/>
  <c r="C94" i="3" s="1"/>
  <c r="B25" i="3"/>
  <c r="B94" i="3" s="1"/>
  <c r="A25" i="3"/>
  <c r="A94" i="3" s="1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E24" i="3"/>
  <c r="E93" i="3" s="1"/>
  <c r="D24" i="3"/>
  <c r="D93" i="3" s="1"/>
  <c r="C24" i="3"/>
  <c r="B24" i="3"/>
  <c r="B93" i="3" s="1"/>
  <c r="A24" i="3"/>
  <c r="A93" i="3" s="1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E23" i="3"/>
  <c r="E92" i="3" s="1"/>
  <c r="D23" i="3"/>
  <c r="D92" i="3" s="1"/>
  <c r="C23" i="3"/>
  <c r="C92" i="3" s="1"/>
  <c r="B23" i="3"/>
  <c r="B92" i="3" s="1"/>
  <c r="A23" i="3"/>
  <c r="A92" i="3" s="1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E22" i="3"/>
  <c r="E91" i="3" s="1"/>
  <c r="D22" i="3"/>
  <c r="D91" i="3" s="1"/>
  <c r="C22" i="3"/>
  <c r="B22" i="3"/>
  <c r="B91" i="3" s="1"/>
  <c r="A22" i="3"/>
  <c r="A91" i="3" s="1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E21" i="3"/>
  <c r="E90" i="3" s="1"/>
  <c r="D21" i="3"/>
  <c r="D90" i="3" s="1"/>
  <c r="C21" i="3"/>
  <c r="C90" i="3" s="1"/>
  <c r="B21" i="3"/>
  <c r="B90" i="3" s="1"/>
  <c r="A21" i="3"/>
  <c r="A90" i="3" s="1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E20" i="3"/>
  <c r="E89" i="3" s="1"/>
  <c r="D20" i="3"/>
  <c r="D89" i="3" s="1"/>
  <c r="C20" i="3"/>
  <c r="C89" i="3" s="1"/>
  <c r="B20" i="3"/>
  <c r="B89" i="3" s="1"/>
  <c r="A20" i="3"/>
  <c r="A89" i="3" s="1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E19" i="3"/>
  <c r="E88" i="3" s="1"/>
  <c r="D19" i="3"/>
  <c r="D88" i="3" s="1"/>
  <c r="C19" i="3"/>
  <c r="C88" i="3" s="1"/>
  <c r="B19" i="3"/>
  <c r="A19" i="3"/>
  <c r="A88" i="3" s="1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E18" i="3"/>
  <c r="E87" i="3" s="1"/>
  <c r="D18" i="3"/>
  <c r="D87" i="3" s="1"/>
  <c r="C18" i="3"/>
  <c r="C87" i="3" s="1"/>
  <c r="B18" i="3"/>
  <c r="B87" i="3" s="1"/>
  <c r="A18" i="3"/>
  <c r="A87" i="3" s="1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E17" i="3"/>
  <c r="E86" i="3" s="1"/>
  <c r="D17" i="3"/>
  <c r="D86" i="3" s="1"/>
  <c r="C17" i="3"/>
  <c r="C86" i="3" s="1"/>
  <c r="B17" i="3"/>
  <c r="A17" i="3"/>
  <c r="A86" i="3" s="1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E16" i="3"/>
  <c r="E85" i="3" s="1"/>
  <c r="D16" i="3"/>
  <c r="D85" i="3" s="1"/>
  <c r="C16" i="3"/>
  <c r="C85" i="3" s="1"/>
  <c r="B16" i="3"/>
  <c r="B85" i="3" s="1"/>
  <c r="A16" i="3"/>
  <c r="A85" i="3" s="1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E15" i="3"/>
  <c r="E84" i="3" s="1"/>
  <c r="D15" i="3"/>
  <c r="D84" i="3" s="1"/>
  <c r="C15" i="3"/>
  <c r="C84" i="3" s="1"/>
  <c r="B15" i="3"/>
  <c r="B84" i="3" s="1"/>
  <c r="A15" i="3"/>
  <c r="A84" i="3" s="1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E14" i="3"/>
  <c r="E83" i="3" s="1"/>
  <c r="D14" i="3"/>
  <c r="D83" i="3" s="1"/>
  <c r="C14" i="3"/>
  <c r="C83" i="3" s="1"/>
  <c r="B14" i="3"/>
  <c r="B83" i="3" s="1"/>
  <c r="A14" i="3"/>
  <c r="A83" i="3" s="1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E13" i="3"/>
  <c r="D13" i="3"/>
  <c r="D82" i="3" s="1"/>
  <c r="C13" i="3"/>
  <c r="C82" i="3" s="1"/>
  <c r="B13" i="3"/>
  <c r="B82" i="3" s="1"/>
  <c r="A13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E12" i="3"/>
  <c r="E81" i="3" s="1"/>
  <c r="D12" i="3"/>
  <c r="C12" i="3"/>
  <c r="C81" i="3" s="1"/>
  <c r="B12" i="3"/>
  <c r="B81" i="3" s="1"/>
  <c r="A12" i="3"/>
  <c r="A81" i="3" s="1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E11" i="3"/>
  <c r="E80" i="3" s="1"/>
  <c r="D11" i="3"/>
  <c r="D80" i="3" s="1"/>
  <c r="C11" i="3"/>
  <c r="C80" i="3" s="1"/>
  <c r="B11" i="3"/>
  <c r="B80" i="3" s="1"/>
  <c r="A11" i="3"/>
  <c r="A80" i="3" s="1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E10" i="3"/>
  <c r="E79" i="3" s="1"/>
  <c r="D10" i="3"/>
  <c r="D79" i="3" s="1"/>
  <c r="C10" i="3"/>
  <c r="C79" i="3" s="1"/>
  <c r="B10" i="3"/>
  <c r="B79" i="3" s="1"/>
  <c r="A10" i="3"/>
  <c r="A79" i="3" s="1"/>
  <c r="AE9" i="3"/>
  <c r="AD9" i="3"/>
  <c r="AC9" i="3"/>
  <c r="AB9" i="3"/>
  <c r="AA9" i="3"/>
  <c r="Z9" i="3"/>
  <c r="Y9" i="3"/>
  <c r="X9" i="3"/>
  <c r="W9" i="3"/>
  <c r="V9" i="3"/>
  <c r="U9" i="3"/>
  <c r="T9" i="3"/>
  <c r="S9" i="3"/>
  <c r="E9" i="3"/>
  <c r="E78" i="3" s="1"/>
  <c r="D9" i="3"/>
  <c r="D78" i="3" s="1"/>
  <c r="C9" i="3"/>
  <c r="C78" i="3" s="1"/>
  <c r="B9" i="3"/>
  <c r="B78" i="3" s="1"/>
  <c r="A9" i="3"/>
  <c r="A78" i="3" s="1"/>
  <c r="AE8" i="3"/>
  <c r="AD8" i="3"/>
  <c r="AC8" i="3"/>
  <c r="AB8" i="3"/>
  <c r="AA8" i="3"/>
  <c r="Z8" i="3"/>
  <c r="Y8" i="3"/>
  <c r="X8" i="3"/>
  <c r="W8" i="3"/>
  <c r="V8" i="3"/>
  <c r="U8" i="3"/>
  <c r="T8" i="3"/>
  <c r="S8" i="3"/>
  <c r="E8" i="3"/>
  <c r="E77" i="3" s="1"/>
  <c r="D8" i="3"/>
  <c r="D77" i="3" s="1"/>
  <c r="C8" i="3"/>
  <c r="B8" i="3"/>
  <c r="B77" i="3" s="1"/>
  <c r="A8" i="3"/>
  <c r="A77" i="3" s="1"/>
  <c r="AE7" i="3"/>
  <c r="AD7" i="3"/>
  <c r="AC7" i="3"/>
  <c r="AB7" i="3"/>
  <c r="AA7" i="3"/>
  <c r="Z7" i="3"/>
  <c r="Y7" i="3"/>
  <c r="X7" i="3"/>
  <c r="W7" i="3"/>
  <c r="V7" i="3"/>
  <c r="U7" i="3"/>
  <c r="T7" i="3"/>
  <c r="S7" i="3"/>
  <c r="E7" i="3"/>
  <c r="E76" i="3" s="1"/>
  <c r="D7" i="3"/>
  <c r="D76" i="3" s="1"/>
  <c r="C7" i="3"/>
  <c r="C76" i="3" s="1"/>
  <c r="B7" i="3"/>
  <c r="B76" i="3" s="1"/>
  <c r="A7" i="3"/>
  <c r="A76" i="3" s="1"/>
  <c r="AE6" i="3"/>
  <c r="AD6" i="3"/>
  <c r="AC6" i="3"/>
  <c r="AB6" i="3"/>
  <c r="AA6" i="3"/>
  <c r="Z6" i="3"/>
  <c r="Y6" i="3"/>
  <c r="X6" i="3"/>
  <c r="W6" i="3"/>
  <c r="V6" i="3"/>
  <c r="U6" i="3"/>
  <c r="T6" i="3"/>
  <c r="S6" i="3"/>
  <c r="E6" i="3"/>
  <c r="E75" i="3" s="1"/>
  <c r="D6" i="3"/>
  <c r="D75" i="3" s="1"/>
  <c r="C6" i="3"/>
  <c r="B6" i="3"/>
  <c r="B75" i="3" s="1"/>
  <c r="A6" i="3"/>
  <c r="A75" i="3" s="1"/>
  <c r="AE5" i="3"/>
  <c r="AD5" i="3"/>
  <c r="AC5" i="3"/>
  <c r="AB5" i="3"/>
  <c r="AA5" i="3"/>
  <c r="Z5" i="3"/>
  <c r="Y5" i="3"/>
  <c r="X5" i="3"/>
  <c r="W5" i="3"/>
  <c r="V5" i="3"/>
  <c r="U5" i="3"/>
  <c r="T5" i="3"/>
  <c r="S5" i="3"/>
  <c r="E5" i="3"/>
  <c r="E74" i="3" s="1"/>
  <c r="D5" i="3"/>
  <c r="D74" i="3" s="1"/>
  <c r="C5" i="3"/>
  <c r="C74" i="3" s="1"/>
  <c r="B5" i="3"/>
  <c r="B74" i="3" s="1"/>
  <c r="A5" i="3"/>
  <c r="A74" i="3" s="1"/>
  <c r="AE4" i="3"/>
  <c r="AD4" i="3"/>
  <c r="AC4" i="3"/>
  <c r="AB4" i="3"/>
  <c r="AA4" i="3"/>
  <c r="Z4" i="3"/>
  <c r="Y4" i="3"/>
  <c r="X4" i="3"/>
  <c r="W4" i="3"/>
  <c r="V4" i="3"/>
  <c r="U4" i="3"/>
  <c r="T4" i="3"/>
  <c r="S4" i="3"/>
  <c r="E4" i="3"/>
  <c r="E73" i="3" s="1"/>
  <c r="D4" i="3"/>
  <c r="D73" i="3" s="1"/>
  <c r="C4" i="3"/>
  <c r="B4" i="3"/>
  <c r="B73" i="3" s="1"/>
  <c r="A4" i="3"/>
  <c r="A73" i="3" s="1"/>
  <c r="AD2" i="3"/>
  <c r="AC2" i="3"/>
  <c r="AB2" i="3"/>
  <c r="Z2" i="3"/>
  <c r="X2" i="3"/>
  <c r="V2" i="3"/>
  <c r="U2" i="3"/>
  <c r="T2" i="3"/>
  <c r="Q2" i="3"/>
  <c r="P2" i="3"/>
  <c r="O2" i="3"/>
  <c r="M2" i="3"/>
  <c r="L2" i="3"/>
  <c r="K2" i="3"/>
  <c r="I2" i="3"/>
  <c r="H2" i="3"/>
  <c r="G2" i="3"/>
  <c r="E2" i="3"/>
  <c r="D2" i="3"/>
  <c r="C2" i="3"/>
  <c r="B2" i="3"/>
  <c r="A2" i="3"/>
  <c r="A63" i="3"/>
  <c r="G53" i="3"/>
  <c r="L53" i="3"/>
  <c r="O53" i="3"/>
  <c r="M53" i="3"/>
  <c r="H53" i="3"/>
  <c r="I53" i="3"/>
  <c r="K53" i="3"/>
  <c r="P53" i="3"/>
  <c r="Q53" i="3"/>
  <c r="B67" i="3" l="1"/>
  <c r="F2" i="3"/>
  <c r="J2" i="3"/>
  <c r="N2" i="3"/>
  <c r="R2" i="3"/>
  <c r="C67" i="3"/>
  <c r="J72" i="3"/>
  <c r="H71" i="3"/>
  <c r="P72" i="3"/>
  <c r="N71" i="3"/>
  <c r="J71" i="3"/>
  <c r="O71" i="3"/>
  <c r="O80" i="3" s="1"/>
  <c r="F72" i="3"/>
  <c r="L72" i="3"/>
  <c r="Q72" i="3"/>
  <c r="F71" i="3"/>
  <c r="K71" i="3"/>
  <c r="P71" i="3"/>
  <c r="P103" i="3" s="1"/>
  <c r="H72" i="3"/>
  <c r="M72" i="3"/>
  <c r="R72" i="3"/>
  <c r="G71" i="3"/>
  <c r="L71" i="3"/>
  <c r="R71" i="3"/>
  <c r="I72" i="3"/>
  <c r="N72" i="3"/>
  <c r="E82" i="3"/>
  <c r="D101" i="3"/>
  <c r="C73" i="3"/>
  <c r="C77" i="3"/>
  <c r="D109" i="3"/>
  <c r="C75" i="3"/>
  <c r="A82" i="3"/>
  <c r="B86" i="3"/>
  <c r="C93" i="3"/>
  <c r="D81" i="3"/>
  <c r="B88" i="3"/>
  <c r="C91" i="3"/>
  <c r="D117" i="3"/>
  <c r="I71" i="3"/>
  <c r="M71" i="3"/>
  <c r="Q71" i="3"/>
  <c r="G72" i="3"/>
  <c r="K72" i="3"/>
  <c r="J53" i="3"/>
  <c r="F53" i="3"/>
  <c r="R53" i="3"/>
  <c r="N53" i="3"/>
  <c r="N117" i="3" l="1"/>
  <c r="I107" i="3"/>
  <c r="K88" i="3"/>
  <c r="G93" i="3"/>
  <c r="H113" i="3"/>
  <c r="R86" i="3"/>
  <c r="F119" i="3"/>
  <c r="N73" i="3"/>
  <c r="K87" i="3"/>
  <c r="N114" i="3"/>
  <c r="P114" i="3"/>
  <c r="K93" i="3"/>
  <c r="H117" i="3"/>
  <c r="K120" i="3"/>
  <c r="R83" i="3"/>
  <c r="P105" i="3"/>
  <c r="P80" i="3"/>
  <c r="P102" i="3"/>
  <c r="F100" i="3"/>
  <c r="O82" i="3"/>
  <c r="K104" i="3"/>
  <c r="K111" i="3"/>
  <c r="N76" i="3"/>
  <c r="K81" i="3"/>
  <c r="K92" i="3"/>
  <c r="O115" i="3"/>
  <c r="O73" i="3"/>
  <c r="O88" i="3"/>
  <c r="N96" i="3"/>
  <c r="Q97" i="3"/>
  <c r="O104" i="3"/>
  <c r="N77" i="3"/>
  <c r="K119" i="3"/>
  <c r="O96" i="3"/>
  <c r="K116" i="3"/>
  <c r="N78" i="3"/>
  <c r="K114" i="3"/>
  <c r="O117" i="3"/>
  <c r="P108" i="3"/>
  <c r="N89" i="3"/>
  <c r="K113" i="3"/>
  <c r="K80" i="3"/>
  <c r="G84" i="3"/>
  <c r="K86" i="3"/>
  <c r="K89" i="3"/>
  <c r="K101" i="3"/>
  <c r="P88" i="3"/>
  <c r="O112" i="3"/>
  <c r="O120" i="3"/>
  <c r="O114" i="3"/>
  <c r="O118" i="3"/>
  <c r="O87" i="3"/>
  <c r="O100" i="3"/>
  <c r="O84" i="3"/>
  <c r="O77" i="3"/>
  <c r="O111" i="3"/>
  <c r="O75" i="3"/>
  <c r="M90" i="3"/>
  <c r="O99" i="3"/>
  <c r="G86" i="3"/>
  <c r="K117" i="3"/>
  <c r="O86" i="3"/>
  <c r="O107" i="3"/>
  <c r="O76" i="3"/>
  <c r="O113" i="3"/>
  <c r="N84" i="3"/>
  <c r="O102" i="3"/>
  <c r="K79" i="3"/>
  <c r="O109" i="3"/>
  <c r="O101" i="3"/>
  <c r="K110" i="3"/>
  <c r="K83" i="3"/>
  <c r="P86" i="3"/>
  <c r="P97" i="3"/>
  <c r="N107" i="3"/>
  <c r="P92" i="3"/>
  <c r="P110" i="3"/>
  <c r="N115" i="3"/>
  <c r="N104" i="3"/>
  <c r="K90" i="3"/>
  <c r="K94" i="3"/>
  <c r="K109" i="3"/>
  <c r="P93" i="3"/>
  <c r="P109" i="3"/>
  <c r="N116" i="3"/>
  <c r="N79" i="3"/>
  <c r="K91" i="3"/>
  <c r="K82" i="3"/>
  <c r="P98" i="3"/>
  <c r="P96" i="3"/>
  <c r="N111" i="3"/>
  <c r="N91" i="3"/>
  <c r="N86" i="3"/>
  <c r="N105" i="3"/>
  <c r="P87" i="3"/>
  <c r="K76" i="3"/>
  <c r="K95" i="3"/>
  <c r="P112" i="3"/>
  <c r="P94" i="3"/>
  <c r="P104" i="3"/>
  <c r="P119" i="3"/>
  <c r="N99" i="3"/>
  <c r="N108" i="3"/>
  <c r="N90" i="3"/>
  <c r="P77" i="3"/>
  <c r="K106" i="3"/>
  <c r="K121" i="3"/>
  <c r="K85" i="3"/>
  <c r="K75" i="3"/>
  <c r="K112" i="3"/>
  <c r="P99" i="3"/>
  <c r="P117" i="3"/>
  <c r="P79" i="3"/>
  <c r="P113" i="3"/>
  <c r="G106" i="3"/>
  <c r="K103" i="3"/>
  <c r="K78" i="3"/>
  <c r="K115" i="3"/>
  <c r="K118" i="3"/>
  <c r="K97" i="3"/>
  <c r="K107" i="3"/>
  <c r="K102" i="3"/>
  <c r="K96" i="3"/>
  <c r="K100" i="3"/>
  <c r="P76" i="3"/>
  <c r="P73" i="3"/>
  <c r="P74" i="3"/>
  <c r="P121" i="3"/>
  <c r="N83" i="3"/>
  <c r="N95" i="3"/>
  <c r="N85" i="3"/>
  <c r="P100" i="3"/>
  <c r="P84" i="3"/>
  <c r="P82" i="3"/>
  <c r="P81" i="3"/>
  <c r="P75" i="3"/>
  <c r="N103" i="3"/>
  <c r="N119" i="3"/>
  <c r="F110" i="3"/>
  <c r="I88" i="3"/>
  <c r="H74" i="3"/>
  <c r="H73" i="3"/>
  <c r="I103" i="3"/>
  <c r="K73" i="3"/>
  <c r="N121" i="3"/>
  <c r="N113" i="3"/>
  <c r="N120" i="3"/>
  <c r="N110" i="3"/>
  <c r="H118" i="3"/>
  <c r="F92" i="3"/>
  <c r="R120" i="3"/>
  <c r="F90" i="3"/>
  <c r="R75" i="3"/>
  <c r="K105" i="3"/>
  <c r="K84" i="3"/>
  <c r="K99" i="3"/>
  <c r="K74" i="3"/>
  <c r="K108" i="3"/>
  <c r="K98" i="3"/>
  <c r="F104" i="3"/>
  <c r="H80" i="3"/>
  <c r="F86" i="3"/>
  <c r="R97" i="3"/>
  <c r="Q96" i="3"/>
  <c r="N102" i="3"/>
  <c r="I112" i="3"/>
  <c r="I84" i="3"/>
  <c r="I82" i="3"/>
  <c r="N94" i="3"/>
  <c r="O116" i="3"/>
  <c r="O78" i="3"/>
  <c r="O95" i="3"/>
  <c r="R91" i="3"/>
  <c r="F88" i="3"/>
  <c r="H101" i="3"/>
  <c r="O98" i="3"/>
  <c r="O97" i="3"/>
  <c r="O92" i="3"/>
  <c r="O81" i="3"/>
  <c r="O105" i="3"/>
  <c r="O91" i="3"/>
  <c r="R89" i="3"/>
  <c r="F106" i="3"/>
  <c r="O79" i="3"/>
  <c r="O93" i="3"/>
  <c r="O103" i="3"/>
  <c r="O121" i="3"/>
  <c r="O110" i="3"/>
  <c r="O106" i="3"/>
  <c r="R99" i="3"/>
  <c r="F111" i="3"/>
  <c r="I104" i="3"/>
  <c r="O90" i="3"/>
  <c r="O83" i="3"/>
  <c r="O94" i="3"/>
  <c r="R80" i="3"/>
  <c r="F107" i="3"/>
  <c r="F85" i="3"/>
  <c r="H120" i="3"/>
  <c r="K77" i="3"/>
  <c r="H97" i="3"/>
  <c r="H89" i="3"/>
  <c r="H121" i="3"/>
  <c r="R78" i="3"/>
  <c r="R110" i="3"/>
  <c r="F108" i="3"/>
  <c r="H90" i="3"/>
  <c r="H107" i="3"/>
  <c r="N75" i="3"/>
  <c r="R103" i="3"/>
  <c r="H114" i="3"/>
  <c r="H102" i="3"/>
  <c r="R115" i="3"/>
  <c r="R113" i="3"/>
  <c r="H95" i="3"/>
  <c r="R114" i="3"/>
  <c r="R98" i="3"/>
  <c r="L117" i="3"/>
  <c r="H94" i="3"/>
  <c r="G79" i="3"/>
  <c r="H103" i="3"/>
  <c r="H98" i="3"/>
  <c r="F80" i="3"/>
  <c r="F112" i="3"/>
  <c r="H76" i="3"/>
  <c r="H96" i="3"/>
  <c r="H81" i="3"/>
  <c r="R77" i="3"/>
  <c r="F82" i="3"/>
  <c r="F98" i="3"/>
  <c r="H86" i="3"/>
  <c r="H88" i="3"/>
  <c r="R95" i="3"/>
  <c r="F93" i="3"/>
  <c r="H119" i="3"/>
  <c r="M84" i="3"/>
  <c r="M73" i="3"/>
  <c r="M115" i="3"/>
  <c r="M107" i="3"/>
  <c r="M117" i="3"/>
  <c r="M92" i="3"/>
  <c r="M86" i="3"/>
  <c r="M105" i="3"/>
  <c r="M102" i="3"/>
  <c r="M116" i="3"/>
  <c r="M82" i="3"/>
  <c r="M106" i="3"/>
  <c r="M97" i="3"/>
  <c r="M99" i="3"/>
  <c r="M78" i="3"/>
  <c r="M101" i="3"/>
  <c r="M89" i="3"/>
  <c r="M98" i="3"/>
  <c r="M80" i="3"/>
  <c r="M79" i="3"/>
  <c r="M93" i="3"/>
  <c r="M103" i="3"/>
  <c r="M77" i="3"/>
  <c r="M87" i="3"/>
  <c r="M109" i="3"/>
  <c r="M94" i="3"/>
  <c r="M118" i="3"/>
  <c r="M111" i="3"/>
  <c r="M100" i="3"/>
  <c r="M91" i="3"/>
  <c r="M88" i="3"/>
  <c r="M112" i="3"/>
  <c r="M108" i="3"/>
  <c r="M81" i="3"/>
  <c r="M85" i="3"/>
  <c r="M119" i="3"/>
  <c r="Q88" i="3"/>
  <c r="Q121" i="3"/>
  <c r="Q105" i="3"/>
  <c r="Q93" i="3"/>
  <c r="Q104" i="3"/>
  <c r="Q90" i="3"/>
  <c r="Q101" i="3"/>
  <c r="Q112" i="3"/>
  <c r="Q89" i="3"/>
  <c r="Q80" i="3"/>
  <c r="Q74" i="3"/>
  <c r="Q118" i="3"/>
  <c r="Q91" i="3"/>
  <c r="Q77" i="3"/>
  <c r="Q111" i="3"/>
  <c r="Q120" i="3"/>
  <c r="Q117" i="3"/>
  <c r="Q84" i="3"/>
  <c r="Q106" i="3"/>
  <c r="Q79" i="3"/>
  <c r="Q86" i="3"/>
  <c r="Q75" i="3"/>
  <c r="Q92" i="3"/>
  <c r="Q115" i="3"/>
  <c r="Q103" i="3"/>
  <c r="Q87" i="3"/>
  <c r="Q85" i="3"/>
  <c r="Q109" i="3"/>
  <c r="Q102" i="3"/>
  <c r="Q83" i="3"/>
  <c r="Q81" i="3"/>
  <c r="Q95" i="3"/>
  <c r="Q99" i="3"/>
  <c r="Q107" i="3"/>
  <c r="Q98" i="3"/>
  <c r="G97" i="3"/>
  <c r="Q113" i="3"/>
  <c r="Q110" i="3"/>
  <c r="M95" i="3"/>
  <c r="L82" i="3"/>
  <c r="L95" i="3"/>
  <c r="L108" i="3"/>
  <c r="L103" i="3"/>
  <c r="L104" i="3"/>
  <c r="L76" i="3"/>
  <c r="L116" i="3"/>
  <c r="L93" i="3"/>
  <c r="L109" i="3"/>
  <c r="L78" i="3"/>
  <c r="L111" i="3"/>
  <c r="L102" i="3"/>
  <c r="L121" i="3"/>
  <c r="L89" i="3"/>
  <c r="L113" i="3"/>
  <c r="L75" i="3"/>
  <c r="L105" i="3"/>
  <c r="L77" i="3"/>
  <c r="L86" i="3"/>
  <c r="Q76" i="3"/>
  <c r="M113" i="3"/>
  <c r="I101" i="3"/>
  <c r="I90" i="3"/>
  <c r="I93" i="3"/>
  <c r="I94" i="3"/>
  <c r="I83" i="3"/>
  <c r="I108" i="3"/>
  <c r="I79" i="3"/>
  <c r="I91" i="3"/>
  <c r="I102" i="3"/>
  <c r="I116" i="3"/>
  <c r="I81" i="3"/>
  <c r="I99" i="3"/>
  <c r="I96" i="3"/>
  <c r="I100" i="3"/>
  <c r="I89" i="3"/>
  <c r="I109" i="3"/>
  <c r="I115" i="3"/>
  <c r="I98" i="3"/>
  <c r="I118" i="3"/>
  <c r="I78" i="3"/>
  <c r="I86" i="3"/>
  <c r="I106" i="3"/>
  <c r="I111" i="3"/>
  <c r="I76" i="3"/>
  <c r="I121" i="3"/>
  <c r="I105" i="3"/>
  <c r="I110" i="3"/>
  <c r="I95" i="3"/>
  <c r="I87" i="3"/>
  <c r="I119" i="3"/>
  <c r="I114" i="3"/>
  <c r="I74" i="3"/>
  <c r="I120" i="3"/>
  <c r="G85" i="3"/>
  <c r="G116" i="3"/>
  <c r="G87" i="3"/>
  <c r="G81" i="3"/>
  <c r="G102" i="3"/>
  <c r="G111" i="3"/>
  <c r="G73" i="3"/>
  <c r="G119" i="3"/>
  <c r="G120" i="3"/>
  <c r="G117" i="3"/>
  <c r="G101" i="3"/>
  <c r="G78" i="3"/>
  <c r="G99" i="3"/>
  <c r="G95" i="3"/>
  <c r="G89" i="3"/>
  <c r="G112" i="3"/>
  <c r="G108" i="3"/>
  <c r="G88" i="3"/>
  <c r="G118" i="3"/>
  <c r="G75" i="3"/>
  <c r="G91" i="3"/>
  <c r="G110" i="3"/>
  <c r="G76" i="3"/>
  <c r="G96" i="3"/>
  <c r="G103" i="3"/>
  <c r="G83" i="3"/>
  <c r="G74" i="3"/>
  <c r="G80" i="3"/>
  <c r="G82" i="3"/>
  <c r="G121" i="3"/>
  <c r="G105" i="3"/>
  <c r="G90" i="3"/>
  <c r="G113" i="3"/>
  <c r="G92" i="3"/>
  <c r="I117" i="3"/>
  <c r="I113" i="3"/>
  <c r="G98" i="3"/>
  <c r="G115" i="3"/>
  <c r="Q108" i="3"/>
  <c r="Q73" i="3"/>
  <c r="M75" i="3"/>
  <c r="I97" i="3"/>
  <c r="I77" i="3"/>
  <c r="I73" i="3"/>
  <c r="G94" i="3"/>
  <c r="Q78" i="3"/>
  <c r="Q119" i="3"/>
  <c r="M120" i="3"/>
  <c r="I85" i="3"/>
  <c r="G104" i="3"/>
  <c r="G77" i="3"/>
  <c r="Q116" i="3"/>
  <c r="M121" i="3"/>
  <c r="M110" i="3"/>
  <c r="I80" i="3"/>
  <c r="G100" i="3"/>
  <c r="G107" i="3"/>
  <c r="Q114" i="3"/>
  <c r="Q82" i="3"/>
  <c r="M74" i="3"/>
  <c r="L98" i="3"/>
  <c r="I75" i="3"/>
  <c r="I92" i="3"/>
  <c r="G114" i="3"/>
  <c r="G109" i="3"/>
  <c r="Q100" i="3"/>
  <c r="Q94" i="3"/>
  <c r="M104" i="3"/>
  <c r="L83" i="3"/>
  <c r="R79" i="3"/>
  <c r="R76" i="3"/>
  <c r="R104" i="3"/>
  <c r="R73" i="3"/>
  <c r="F77" i="3"/>
  <c r="F89" i="3"/>
  <c r="F91" i="3"/>
  <c r="F94" i="3"/>
  <c r="F102" i="3"/>
  <c r="O108" i="3"/>
  <c r="O74" i="3"/>
  <c r="O85" i="3"/>
  <c r="O89" i="3"/>
  <c r="O119" i="3"/>
  <c r="R112" i="3"/>
  <c r="R105" i="3"/>
  <c r="R94" i="3"/>
  <c r="R81" i="3"/>
  <c r="F113" i="3"/>
  <c r="F83" i="3"/>
  <c r="F79" i="3"/>
  <c r="F75" i="3"/>
  <c r="F95" i="3"/>
  <c r="J112" i="3"/>
  <c r="R102" i="3"/>
  <c r="R101" i="3"/>
  <c r="R84" i="3"/>
  <c r="R119" i="3"/>
  <c r="F120" i="3"/>
  <c r="F78" i="3"/>
  <c r="F74" i="3"/>
  <c r="F81" i="3"/>
  <c r="F96" i="3"/>
  <c r="H82" i="3"/>
  <c r="H84" i="3"/>
  <c r="H106" i="3"/>
  <c r="N106" i="3"/>
  <c r="R85" i="3"/>
  <c r="R117" i="3"/>
  <c r="R74" i="3"/>
  <c r="F109" i="3"/>
  <c r="F97" i="3"/>
  <c r="F116" i="3"/>
  <c r="F87" i="3"/>
  <c r="H105" i="3"/>
  <c r="H110" i="3"/>
  <c r="J79" i="3"/>
  <c r="F118" i="3"/>
  <c r="F105" i="3"/>
  <c r="F101" i="3"/>
  <c r="F121" i="3"/>
  <c r="H115" i="3"/>
  <c r="H83" i="3"/>
  <c r="H116" i="3"/>
  <c r="P106" i="3"/>
  <c r="N74" i="3"/>
  <c r="L99" i="3"/>
  <c r="J74" i="3"/>
  <c r="P83" i="3"/>
  <c r="N88" i="3"/>
  <c r="N112" i="3"/>
  <c r="N80" i="3"/>
  <c r="N100" i="3"/>
  <c r="N97" i="3"/>
  <c r="P118" i="3"/>
  <c r="P91" i="3"/>
  <c r="L80" i="3"/>
  <c r="J98" i="3"/>
  <c r="M114" i="3"/>
  <c r="M83" i="3"/>
  <c r="M76" i="3"/>
  <c r="M96" i="3"/>
  <c r="L97" i="3"/>
  <c r="J81" i="3"/>
  <c r="L79" i="3"/>
  <c r="J115" i="3"/>
  <c r="L85" i="3"/>
  <c r="H100" i="3"/>
  <c r="J78" i="3"/>
  <c r="L90" i="3"/>
  <c r="R87" i="3"/>
  <c r="J87" i="3"/>
  <c r="R96" i="3"/>
  <c r="R116" i="3"/>
  <c r="R90" i="3"/>
  <c r="R111" i="3"/>
  <c r="R121" i="3"/>
  <c r="H92" i="3"/>
  <c r="H111" i="3"/>
  <c r="L74" i="3"/>
  <c r="J82" i="3"/>
  <c r="L120" i="3"/>
  <c r="R108" i="3"/>
  <c r="R88" i="3"/>
  <c r="R106" i="3"/>
  <c r="J114" i="3"/>
  <c r="F115" i="3"/>
  <c r="L91" i="3"/>
  <c r="J90" i="3"/>
  <c r="H87" i="3"/>
  <c r="H91" i="3"/>
  <c r="H79" i="3"/>
  <c r="L81" i="3"/>
  <c r="F84" i="3"/>
  <c r="J113" i="3"/>
  <c r="J91" i="3"/>
  <c r="F99" i="3"/>
  <c r="H104" i="3"/>
  <c r="H85" i="3"/>
  <c r="H78" i="3"/>
  <c r="H108" i="3"/>
  <c r="H112" i="3"/>
  <c r="L115" i="3"/>
  <c r="L106" i="3"/>
  <c r="J100" i="3"/>
  <c r="F114" i="3"/>
  <c r="H93" i="3"/>
  <c r="L101" i="3"/>
  <c r="J95" i="3"/>
  <c r="R100" i="3"/>
  <c r="F103" i="3"/>
  <c r="P85" i="3"/>
  <c r="N101" i="3"/>
  <c r="P90" i="3"/>
  <c r="R82" i="3"/>
  <c r="J94" i="3"/>
  <c r="R107" i="3"/>
  <c r="H99" i="3"/>
  <c r="H77" i="3"/>
  <c r="H75" i="3"/>
  <c r="H109" i="3"/>
  <c r="J109" i="3"/>
  <c r="L96" i="3"/>
  <c r="L118" i="3"/>
  <c r="L114" i="3"/>
  <c r="L84" i="3"/>
  <c r="J97" i="3"/>
  <c r="J104" i="3"/>
  <c r="N109" i="3"/>
  <c r="R118" i="3"/>
  <c r="F117" i="3"/>
  <c r="L119" i="3"/>
  <c r="L92" i="3"/>
  <c r="L73" i="3"/>
  <c r="L87" i="3"/>
  <c r="J80" i="3"/>
  <c r="J85" i="3"/>
  <c r="J92" i="3"/>
  <c r="J120" i="3"/>
  <c r="J76" i="3"/>
  <c r="J119" i="3"/>
  <c r="J88" i="3"/>
  <c r="P78" i="3"/>
  <c r="J83" i="3"/>
  <c r="J105" i="3"/>
  <c r="J110" i="3"/>
  <c r="L107" i="3"/>
  <c r="L94" i="3"/>
  <c r="L100" i="3"/>
  <c r="J73" i="3"/>
  <c r="J103" i="3"/>
  <c r="J116" i="3"/>
  <c r="J86" i="3"/>
  <c r="J96" i="3"/>
  <c r="L110" i="3"/>
  <c r="L88" i="3"/>
  <c r="L112" i="3"/>
  <c r="J77" i="3"/>
  <c r="J108" i="3"/>
  <c r="J101" i="3"/>
  <c r="R109" i="3"/>
  <c r="F73" i="3"/>
  <c r="J107" i="3"/>
  <c r="N87" i="3"/>
  <c r="R93" i="3"/>
  <c r="N92" i="3"/>
  <c r="P95" i="3"/>
  <c r="P111" i="3"/>
  <c r="P115" i="3"/>
  <c r="P120" i="3"/>
  <c r="J93" i="3"/>
  <c r="J106" i="3"/>
  <c r="J75" i="3"/>
  <c r="J89" i="3"/>
  <c r="P89" i="3"/>
  <c r="N93" i="3"/>
  <c r="N82" i="3"/>
  <c r="N81" i="3"/>
  <c r="R92" i="3"/>
  <c r="F76" i="3"/>
  <c r="J118" i="3"/>
  <c r="J111" i="3"/>
  <c r="P101" i="3"/>
  <c r="P107" i="3"/>
  <c r="J117" i="3"/>
  <c r="J84" i="3"/>
  <c r="J99" i="3"/>
  <c r="J121" i="3"/>
  <c r="P116" i="3"/>
  <c r="N98" i="3"/>
  <c r="N118" i="3"/>
  <c r="J102" i="3"/>
  <c r="J34" i="3"/>
  <c r="F11" i="3"/>
  <c r="F29" i="3"/>
  <c r="K40" i="3"/>
  <c r="O7" i="3"/>
  <c r="L28" i="3"/>
  <c r="H35" i="3"/>
  <c r="K31" i="3"/>
  <c r="R17" i="3"/>
  <c r="N15" i="3"/>
  <c r="L48" i="3"/>
  <c r="H19" i="3"/>
  <c r="N5" i="3"/>
  <c r="L32" i="3"/>
  <c r="H28" i="3"/>
  <c r="R20" i="3"/>
  <c r="O49" i="3"/>
  <c r="F22" i="3"/>
  <c r="L42" i="3"/>
  <c r="N45" i="3"/>
  <c r="P25" i="3"/>
  <c r="P44" i="3"/>
  <c r="N28" i="3"/>
  <c r="L18" i="3"/>
  <c r="P24" i="3"/>
  <c r="P35" i="3"/>
  <c r="J13" i="3"/>
  <c r="R15" i="3"/>
  <c r="N31" i="3"/>
  <c r="R37" i="3"/>
  <c r="H14" i="3"/>
  <c r="O43" i="3"/>
  <c r="J17" i="3"/>
  <c r="N26" i="3"/>
  <c r="L14" i="3"/>
  <c r="N49" i="3"/>
  <c r="L40" i="3"/>
  <c r="N11" i="3"/>
  <c r="L26" i="3"/>
  <c r="P19" i="3"/>
  <c r="P8" i="3"/>
  <c r="F10" i="3"/>
  <c r="N33" i="3"/>
  <c r="J15" i="3"/>
  <c r="R22" i="3"/>
  <c r="O23" i="3"/>
  <c r="N39" i="3"/>
  <c r="J48" i="3"/>
  <c r="N23" i="3"/>
  <c r="R23" i="3"/>
  <c r="J4" i="3"/>
  <c r="N12" i="3"/>
  <c r="H50" i="3"/>
  <c r="J9" i="3"/>
  <c r="H26" i="3"/>
  <c r="F15" i="3"/>
  <c r="H5" i="3"/>
  <c r="H20" i="3"/>
  <c r="H11" i="3"/>
  <c r="R26" i="3"/>
  <c r="H36" i="3"/>
  <c r="H29" i="3"/>
  <c r="H8" i="3"/>
  <c r="R24" i="3"/>
  <c r="J52" i="3"/>
  <c r="O30" i="3"/>
  <c r="F46" i="3"/>
  <c r="J28" i="3"/>
  <c r="J6" i="3"/>
  <c r="H44" i="3"/>
  <c r="O17" i="3"/>
  <c r="O51" i="3"/>
  <c r="P22" i="3"/>
  <c r="L49" i="3"/>
  <c r="F41" i="3"/>
  <c r="F32" i="3"/>
  <c r="R47" i="3"/>
  <c r="O34" i="3"/>
  <c r="P41" i="3"/>
  <c r="K13" i="3"/>
  <c r="J32" i="3"/>
  <c r="L50" i="3"/>
  <c r="F52" i="3"/>
  <c r="J36" i="3"/>
  <c r="P15" i="3"/>
  <c r="L47" i="3"/>
  <c r="R46" i="3"/>
  <c r="N22" i="3"/>
  <c r="F6" i="3"/>
  <c r="F28" i="3"/>
  <c r="N50" i="3"/>
  <c r="O42" i="3"/>
  <c r="H23" i="3"/>
  <c r="J8" i="3"/>
  <c r="O44" i="3"/>
  <c r="F9" i="3"/>
  <c r="F12" i="3"/>
  <c r="J41" i="3"/>
  <c r="J20" i="3"/>
  <c r="J19" i="3"/>
  <c r="L30" i="3"/>
  <c r="J30" i="3"/>
  <c r="P23" i="3"/>
  <c r="O11" i="3"/>
  <c r="H52" i="3"/>
  <c r="F16" i="3"/>
  <c r="R27" i="3"/>
  <c r="O31" i="3"/>
  <c r="R49" i="3"/>
  <c r="N17" i="3"/>
  <c r="J40" i="3"/>
  <c r="R10" i="3"/>
  <c r="O20" i="3"/>
  <c r="L24" i="3"/>
  <c r="L33" i="3"/>
  <c r="K28" i="3"/>
  <c r="J51" i="3"/>
  <c r="N24" i="3"/>
  <c r="L16" i="3"/>
  <c r="P39" i="3"/>
  <c r="R8" i="3"/>
  <c r="R25" i="3"/>
  <c r="N36" i="3"/>
  <c r="O24" i="3"/>
  <c r="P38" i="3"/>
  <c r="L17" i="3"/>
  <c r="N41" i="3"/>
  <c r="N30" i="3"/>
  <c r="O13" i="3"/>
  <c r="K48" i="3"/>
  <c r="R12" i="3"/>
  <c r="R48" i="3"/>
  <c r="R32" i="3"/>
  <c r="N16" i="3"/>
  <c r="F42" i="3"/>
  <c r="O18" i="3"/>
  <c r="R52" i="3"/>
  <c r="J7" i="3"/>
  <c r="R14" i="3"/>
  <c r="P18" i="3"/>
  <c r="L36" i="3"/>
  <c r="N40" i="3"/>
  <c r="H17" i="3"/>
  <c r="O9" i="3"/>
  <c r="O40" i="3"/>
  <c r="H39" i="3"/>
  <c r="K47" i="3"/>
  <c r="H34" i="3"/>
  <c r="P50" i="3"/>
  <c r="P5" i="3"/>
  <c r="H7" i="3"/>
  <c r="R40" i="3"/>
  <c r="K29" i="3"/>
  <c r="F25" i="3"/>
  <c r="H15" i="3"/>
  <c r="R30" i="3"/>
  <c r="R11" i="3"/>
  <c r="L9" i="3"/>
  <c r="P27" i="3"/>
  <c r="P4" i="3"/>
  <c r="F48" i="3"/>
  <c r="O50" i="3"/>
  <c r="J21" i="3"/>
  <c r="F23" i="3"/>
  <c r="N35" i="3"/>
  <c r="L43" i="3"/>
  <c r="F4" i="3"/>
  <c r="F40" i="3"/>
  <c r="P9" i="3"/>
  <c r="H6" i="3"/>
  <c r="H24" i="3"/>
  <c r="O47" i="3"/>
  <c r="F21" i="3"/>
  <c r="F26" i="3"/>
  <c r="O38" i="3"/>
  <c r="P6" i="3"/>
  <c r="P21" i="3"/>
  <c r="P17" i="3"/>
  <c r="R28" i="3"/>
  <c r="R19" i="3"/>
  <c r="R7" i="3"/>
  <c r="J39" i="3"/>
  <c r="R6" i="3"/>
  <c r="K39" i="3"/>
  <c r="P7" i="3"/>
  <c r="R44" i="3"/>
  <c r="J27" i="3"/>
  <c r="P45" i="3"/>
  <c r="N20" i="3"/>
  <c r="F49" i="3"/>
  <c r="N38" i="3"/>
  <c r="O21" i="3"/>
  <c r="H13" i="3"/>
  <c r="P31" i="3"/>
  <c r="N34" i="3"/>
  <c r="L6" i="3"/>
  <c r="P30" i="3"/>
  <c r="O36" i="3"/>
  <c r="L39" i="3"/>
  <c r="L44" i="3"/>
  <c r="J14" i="3"/>
  <c r="P10" i="3"/>
  <c r="K8" i="3"/>
  <c r="P47" i="3"/>
  <c r="L20" i="3"/>
  <c r="J43" i="3"/>
  <c r="N29" i="3"/>
  <c r="L51" i="3"/>
  <c r="F43" i="3"/>
  <c r="F13" i="3"/>
  <c r="F50" i="3"/>
  <c r="J35" i="3"/>
  <c r="F37" i="3"/>
  <c r="H46" i="3"/>
  <c r="F31" i="3"/>
  <c r="P37" i="3"/>
  <c r="K25" i="3"/>
  <c r="K42" i="3"/>
  <c r="N42" i="3"/>
  <c r="H31" i="3"/>
  <c r="P40" i="3"/>
  <c r="R29" i="3"/>
  <c r="P43" i="3"/>
  <c r="K27" i="3"/>
  <c r="J42" i="3"/>
  <c r="K37" i="3"/>
  <c r="R41" i="3"/>
  <c r="H38" i="3"/>
  <c r="L25" i="3"/>
  <c r="P32" i="3"/>
  <c r="P16" i="3"/>
  <c r="R21" i="3"/>
  <c r="L41" i="3"/>
  <c r="J16" i="3"/>
  <c r="N19" i="3"/>
  <c r="O45" i="3"/>
  <c r="N25" i="3"/>
  <c r="O27" i="3"/>
  <c r="K16" i="3"/>
  <c r="H12" i="3"/>
  <c r="R42" i="3"/>
  <c r="J31" i="3"/>
  <c r="N47" i="3"/>
  <c r="R13" i="3"/>
  <c r="K49" i="3"/>
  <c r="F20" i="3"/>
  <c r="N8" i="3"/>
  <c r="H45" i="3"/>
  <c r="L19" i="3"/>
  <c r="J12" i="3"/>
  <c r="N37" i="3"/>
  <c r="L27" i="3"/>
  <c r="H51" i="3"/>
  <c r="F27" i="3"/>
  <c r="L13" i="3"/>
  <c r="H21" i="3"/>
  <c r="N14" i="3"/>
  <c r="F38" i="3"/>
  <c r="O48" i="3"/>
  <c r="P14" i="3"/>
  <c r="H22" i="3"/>
  <c r="R4" i="3"/>
  <c r="L37" i="3"/>
  <c r="H9" i="3"/>
  <c r="J29" i="3"/>
  <c r="O25" i="3"/>
  <c r="J45" i="3"/>
  <c r="L21" i="3"/>
  <c r="N7" i="3"/>
  <c r="P42" i="3"/>
  <c r="G11" i="3"/>
  <c r="H42" i="3"/>
  <c r="J10" i="3"/>
  <c r="P13" i="3"/>
  <c r="F35" i="3"/>
  <c r="L5" i="3"/>
  <c r="F33" i="3"/>
  <c r="K9" i="3"/>
  <c r="J33" i="3"/>
  <c r="J22" i="3"/>
  <c r="O41" i="3"/>
  <c r="O5" i="3"/>
  <c r="R34" i="3"/>
  <c r="O8" i="3"/>
  <c r="H33" i="3"/>
  <c r="H27" i="3"/>
  <c r="R36" i="3"/>
  <c r="O14" i="3"/>
  <c r="H49" i="3"/>
  <c r="P49" i="3"/>
  <c r="H47" i="3"/>
  <c r="L10" i="3"/>
  <c r="H40" i="3"/>
  <c r="F7" i="3"/>
  <c r="J47" i="3"/>
  <c r="K18" i="3"/>
  <c r="J46" i="3"/>
  <c r="R51" i="3"/>
  <c r="N27" i="3"/>
  <c r="F34" i="3"/>
  <c r="J23" i="3"/>
  <c r="H32" i="3"/>
  <c r="O22" i="3"/>
  <c r="P11" i="3"/>
  <c r="F47" i="3"/>
  <c r="O32" i="3"/>
  <c r="J18" i="3"/>
  <c r="N4" i="3"/>
  <c r="F18" i="3"/>
  <c r="L12" i="3"/>
  <c r="R5" i="3"/>
  <c r="F39" i="3"/>
  <c r="F30" i="3"/>
  <c r="R16" i="3"/>
  <c r="P33" i="3"/>
  <c r="O6" i="3"/>
  <c r="H25" i="3"/>
  <c r="H48" i="3"/>
  <c r="R45" i="3"/>
  <c r="J44" i="3"/>
  <c r="L7" i="3"/>
  <c r="P34" i="3"/>
  <c r="F44" i="3"/>
  <c r="H37" i="3"/>
  <c r="L35" i="3"/>
  <c r="O33" i="3"/>
  <c r="J37" i="3"/>
  <c r="K51" i="3"/>
  <c r="R33" i="3"/>
  <c r="N21" i="3"/>
  <c r="K12" i="3"/>
  <c r="K5" i="3"/>
  <c r="F5" i="3"/>
  <c r="P26" i="3"/>
  <c r="P36" i="3"/>
  <c r="J11" i="3"/>
  <c r="H4" i="3"/>
  <c r="K50" i="3"/>
  <c r="L34" i="3"/>
  <c r="K46" i="3"/>
  <c r="P46" i="3"/>
  <c r="P52" i="3"/>
  <c r="O39" i="3"/>
  <c r="R43" i="3"/>
  <c r="J5" i="3"/>
  <c r="R38" i="3"/>
  <c r="H43" i="3"/>
  <c r="O29" i="3"/>
  <c r="N18" i="3"/>
  <c r="N43" i="3"/>
  <c r="H16" i="3"/>
  <c r="J38" i="3"/>
  <c r="O4" i="3"/>
  <c r="F14" i="3"/>
  <c r="F36" i="3"/>
  <c r="F8" i="3"/>
  <c r="N52" i="3"/>
  <c r="L45" i="3"/>
  <c r="P29" i="3"/>
  <c r="O15" i="3"/>
  <c r="J25" i="3"/>
  <c r="L46" i="3"/>
  <c r="H41" i="3"/>
  <c r="J50" i="3"/>
  <c r="L23" i="3"/>
  <c r="O26" i="3"/>
  <c r="L22" i="3"/>
  <c r="L38" i="3"/>
  <c r="H30" i="3"/>
  <c r="O35" i="3"/>
  <c r="L29" i="3"/>
  <c r="F45" i="3"/>
  <c r="P28" i="3"/>
  <c r="O37" i="3"/>
  <c r="F24" i="3"/>
  <c r="L52" i="3"/>
  <c r="R50" i="3"/>
  <c r="L8" i="3"/>
  <c r="J24" i="3"/>
  <c r="N6" i="3"/>
  <c r="N44" i="3"/>
  <c r="O28" i="3"/>
  <c r="P51" i="3"/>
  <c r="L4" i="3"/>
  <c r="P48" i="3"/>
  <c r="F17" i="3"/>
  <c r="O46" i="3"/>
  <c r="R18" i="3"/>
  <c r="O10" i="3"/>
  <c r="O19" i="3"/>
  <c r="N10" i="3"/>
  <c r="N32" i="3"/>
  <c r="J49" i="3"/>
  <c r="O12" i="3"/>
  <c r="F19" i="3"/>
  <c r="N9" i="3"/>
  <c r="N48" i="3"/>
  <c r="H18" i="3"/>
  <c r="O16" i="3"/>
  <c r="O52" i="3"/>
  <c r="F51" i="3"/>
  <c r="R39" i="3"/>
  <c r="N46" i="3"/>
  <c r="R35" i="3"/>
  <c r="N51" i="3"/>
  <c r="R9" i="3"/>
  <c r="P20" i="3"/>
  <c r="P12" i="3"/>
  <c r="L15" i="3"/>
  <c r="J26" i="3"/>
  <c r="L31" i="3"/>
  <c r="H10" i="3"/>
  <c r="R31" i="3"/>
  <c r="L11" i="3"/>
  <c r="N13" i="3"/>
  <c r="P3" i="3" l="1"/>
  <c r="F3" i="3"/>
  <c r="H3" i="3"/>
  <c r="N3" i="3"/>
  <c r="L3" i="3"/>
  <c r="J3" i="3"/>
  <c r="R3" i="3"/>
  <c r="O3" i="3"/>
  <c r="G27" i="3"/>
  <c r="M21" i="3"/>
  <c r="M17" i="3"/>
  <c r="Q42" i="3"/>
  <c r="Q35" i="3"/>
  <c r="I12" i="3"/>
  <c r="G8" i="3"/>
  <c r="Q6" i="3"/>
  <c r="G50" i="3"/>
  <c r="G40" i="3"/>
  <c r="G39" i="3"/>
  <c r="M24" i="3"/>
  <c r="G17" i="3"/>
  <c r="I36" i="3"/>
  <c r="K33" i="3"/>
  <c r="I47" i="3"/>
  <c r="I10" i="3"/>
  <c r="Q48" i="3"/>
  <c r="G38" i="3"/>
  <c r="I6" i="3"/>
  <c r="M35" i="3"/>
  <c r="M18" i="3"/>
  <c r="M6" i="3"/>
  <c r="Q9" i="3"/>
  <c r="I52" i="3"/>
  <c r="I45" i="3"/>
  <c r="Q29" i="3"/>
  <c r="I44" i="3"/>
  <c r="I13" i="3"/>
  <c r="Q22" i="3"/>
  <c r="I50" i="3"/>
  <c r="G36" i="3"/>
  <c r="Q49" i="3"/>
  <c r="K21" i="3"/>
  <c r="I28" i="3"/>
  <c r="K6" i="3"/>
  <c r="M40" i="3"/>
  <c r="I16" i="3"/>
  <c r="I5" i="3"/>
  <c r="I24" i="3"/>
  <c r="M44" i="3"/>
  <c r="G25" i="3"/>
  <c r="M39" i="3"/>
  <c r="I21" i="3"/>
  <c r="G37" i="3"/>
  <c r="I26" i="3"/>
  <c r="K19" i="3"/>
  <c r="I4" i="3"/>
  <c r="Q45" i="3"/>
  <c r="M8" i="3"/>
  <c r="K34" i="3"/>
  <c r="M19" i="3"/>
  <c r="M7" i="3"/>
  <c r="I49" i="3"/>
  <c r="I48" i="3"/>
  <c r="K7" i="3"/>
  <c r="M20" i="3"/>
  <c r="G42" i="3"/>
  <c r="K44" i="3"/>
  <c r="Q52" i="3"/>
  <c r="I30" i="3"/>
  <c r="G32" i="3"/>
  <c r="M15" i="3"/>
  <c r="I37" i="3"/>
  <c r="Q20" i="3"/>
  <c r="Q24" i="3"/>
  <c r="I20" i="3"/>
  <c r="K52" i="3"/>
  <c r="M48" i="3"/>
  <c r="Q19" i="3"/>
  <c r="Q32" i="3"/>
  <c r="I14" i="3"/>
  <c r="M30" i="3"/>
  <c r="K22" i="3"/>
  <c r="Q31" i="3"/>
  <c r="I9" i="3"/>
  <c r="G6" i="3"/>
  <c r="Q41" i="3"/>
  <c r="M4" i="3"/>
  <c r="I35" i="3"/>
  <c r="M13" i="3"/>
  <c r="Q17" i="3"/>
  <c r="G12" i="3"/>
  <c r="Q14" i="3"/>
  <c r="I43" i="3"/>
  <c r="I15" i="3"/>
  <c r="G52" i="3"/>
  <c r="G49" i="3"/>
  <c r="Q25" i="3"/>
  <c r="G35" i="3"/>
  <c r="G43" i="3"/>
  <c r="G21" i="3"/>
  <c r="M43" i="3"/>
  <c r="G41" i="3"/>
  <c r="G23" i="3"/>
  <c r="I39" i="3"/>
  <c r="Q33" i="3"/>
  <c r="Q16" i="3"/>
  <c r="M11" i="3"/>
  <c r="Q27" i="3"/>
  <c r="Q26" i="3"/>
  <c r="Q38" i="3"/>
  <c r="M32" i="3"/>
  <c r="K14" i="3"/>
  <c r="I33" i="3"/>
  <c r="M47" i="3"/>
  <c r="G34" i="3"/>
  <c r="K32" i="3"/>
  <c r="Q36" i="3"/>
  <c r="Q47" i="3"/>
  <c r="M9" i="3"/>
  <c r="M33" i="3"/>
  <c r="K41" i="3"/>
  <c r="G16" i="3"/>
  <c r="M16" i="3"/>
  <c r="G7" i="3"/>
  <c r="G28" i="3"/>
  <c r="G20" i="3"/>
  <c r="M37" i="3"/>
  <c r="M46" i="3"/>
  <c r="M42" i="3"/>
  <c r="G10" i="3"/>
  <c r="Q11" i="3"/>
  <c r="G19" i="3"/>
  <c r="Q4" i="3"/>
  <c r="G33" i="3"/>
  <c r="M25" i="3"/>
  <c r="M12" i="3"/>
  <c r="I11" i="3"/>
  <c r="I38" i="3"/>
  <c r="G15" i="3"/>
  <c r="K24" i="3"/>
  <c r="G9" i="3"/>
  <c r="I18" i="3"/>
  <c r="G45" i="3"/>
  <c r="I8" i="3"/>
  <c r="I34" i="3"/>
  <c r="Q7" i="3"/>
  <c r="I17" i="3"/>
  <c r="I40" i="3"/>
  <c r="Q30" i="3"/>
  <c r="K4" i="3"/>
  <c r="I42" i="3"/>
  <c r="K43" i="3"/>
  <c r="G4" i="3"/>
  <c r="K38" i="3"/>
  <c r="Q10" i="3"/>
  <c r="G14" i="3"/>
  <c r="K20" i="3"/>
  <c r="I31" i="3"/>
  <c r="Q5" i="3"/>
  <c r="G51" i="3"/>
  <c r="G13" i="3"/>
  <c r="I22" i="3"/>
  <c r="Q44" i="3"/>
  <c r="M5" i="3"/>
  <c r="Q8" i="3"/>
  <c r="Q23" i="3"/>
  <c r="Q37" i="3"/>
  <c r="G48" i="3"/>
  <c r="G30" i="3"/>
  <c r="M50" i="3"/>
  <c r="M23" i="3"/>
  <c r="M41" i="3"/>
  <c r="Q15" i="3"/>
  <c r="Q13" i="3"/>
  <c r="K15" i="3"/>
  <c r="I7" i="3"/>
  <c r="I25" i="3"/>
  <c r="K30" i="3"/>
  <c r="Q39" i="3"/>
  <c r="G22" i="3"/>
  <c r="G26" i="3"/>
  <c r="Q18" i="3"/>
  <c r="Q50" i="3"/>
  <c r="M31" i="3"/>
  <c r="G29" i="3"/>
  <c r="G47" i="3"/>
  <c r="I19" i="3"/>
  <c r="K23" i="3"/>
  <c r="G31" i="3"/>
  <c r="M45" i="3"/>
  <c r="M36" i="3"/>
  <c r="I32" i="3"/>
  <c r="K26" i="3"/>
  <c r="Q21" i="3"/>
  <c r="G44" i="3"/>
  <c r="K10" i="3"/>
  <c r="I23" i="3"/>
  <c r="M38" i="3"/>
  <c r="M51" i="3"/>
  <c r="K11" i="3"/>
  <c r="Q40" i="3"/>
  <c r="Q28" i="3"/>
  <c r="Q43" i="3"/>
  <c r="K45" i="3"/>
  <c r="I41" i="3"/>
  <c r="M28" i="3"/>
  <c r="Q46" i="3"/>
  <c r="K17" i="3"/>
  <c r="M27" i="3"/>
  <c r="I46" i="3"/>
  <c r="G5" i="3"/>
  <c r="M10" i="3"/>
  <c r="K36" i="3"/>
  <c r="M14" i="3"/>
  <c r="M26" i="3"/>
  <c r="K35" i="3"/>
  <c r="M34" i="3"/>
  <c r="M29" i="3"/>
  <c r="G46" i="3"/>
  <c r="Q51" i="3"/>
  <c r="M49" i="3"/>
  <c r="G24" i="3"/>
  <c r="M52" i="3"/>
  <c r="I29" i="3"/>
  <c r="I27" i="3"/>
  <c r="Q34" i="3"/>
  <c r="G18" i="3"/>
  <c r="I51" i="3"/>
  <c r="Q12" i="3"/>
  <c r="M22" i="3"/>
  <c r="Q3" i="3" l="1"/>
  <c r="I3" i="3"/>
  <c r="M3" i="3"/>
  <c r="K3" i="3"/>
  <c r="G3" i="3"/>
</calcChain>
</file>

<file path=xl/sharedStrings.xml><?xml version="1.0" encoding="utf-8"?>
<sst xmlns="http://schemas.openxmlformats.org/spreadsheetml/2006/main" count="409" uniqueCount="159">
  <si>
    <t>**IMPORTANT NOTE**</t>
  </si>
  <si>
    <t>This document, the information contained herein and any derived information created therefrom are for the exclusive use of FREDRIK LINDAU at LONDON BUSINESS SCHO.</t>
  </si>
  <si>
    <t>~~~~~~~~~~~~~~~~~~~~~~~~~~~~~~~~~~~~~~~~~~~~~~~~~~~~~~~~~~~~~~~~~~~~~~~~~~~~~~~~~~~~~~~~~~~~~~~~~~~~~~~~~~~~~~~~~~~~~~~~~~~~~~~~~~~~~~~~~~~~~~~~~~~~~~~~~~~~~~~~</t>
  </si>
  <si>
    <t>**REFERENCE**</t>
  </si>
  <si>
    <t xml:space="preserve">     Spreadsheets generated from the BI Excel export can be used as reference tables to fuel various models and other sheets on your desktop.</t>
  </si>
  <si>
    <t xml:space="preserve">     Automated model building or 'drag and drop' from the BI export sheet are not supported at this time, but using the BI export</t>
  </si>
  <si>
    <t xml:space="preserve">     as a reference table for use in other spreadsheets is a powerful and convenient tool to help achieve your goals.</t>
  </si>
  <si>
    <t xml:space="preserve">   --The BI Excel export sheet typically contains two data tabs (certain BI modules like those in the 'Monitor' section on BI will only result in a single 'Sheet 1' data tab):</t>
  </si>
  <si>
    <t xml:space="preserve">     1) 'BIData':  This is the fully curated grid that is meant to be a clean, simple, synchronized match to what is seen on the BI dashboard. </t>
  </si>
  <si>
    <t xml:space="preserve">          The grid on the 'BIData' tab can be used as a reference table for use in your models and other downstream spreadsheets.</t>
  </si>
  <si>
    <t xml:space="preserve">     2) 'ReferenceData':  This is the tab where all the raw data is housed and data preparation is done.  There are typically 2 separate grids here:</t>
  </si>
  <si>
    <t xml:space="preserve">          a top curated grid that includes error handling, expressions, etc., and a bottom raw grid that includes any/all live API information for this export. </t>
  </si>
  <si>
    <t xml:space="preserve">          The bottom grid on the ReferenceData tab is where actual API (BDP/BDH) expressions are constructed, so refer to this section if you</t>
  </si>
  <si>
    <t xml:space="preserve">          are interested in seeing/using the underlying API details.</t>
  </si>
  <si>
    <t xml:space="preserve">          Note: In some cases the bottom grid will not exist (in the event that none of the data selected is coming from live API links).</t>
  </si>
  <si>
    <t xml:space="preserve">   --In any grid on either tab, there are common columns:</t>
  </si>
  <si>
    <t xml:space="preserve">     1) Description:  The row label that matches the row label you'd find on BI</t>
  </si>
  <si>
    <t xml:space="preserve">     2) Ticker:  The company/index ticker corresponding to that row (this is the ticker used in the </t>
  </si>
  <si>
    <t xml:space="preserve">          BDP/BDH formula for that row, if applicable)</t>
  </si>
  <si>
    <t xml:space="preserve">     3) Field ID:  The calcrout ID used to structure the BDP/BDH formula for that row (where applicable).</t>
  </si>
  <si>
    <t xml:space="preserve">     4) Field Mnemonic:  The calcrout mnemonic corresponding to the field ID used to structure the BDP/BDH formula for that row (where applicable).</t>
  </si>
  <si>
    <t xml:space="preserve">     5) Data State:  The state of the data within that particular row, including 'Dynamic', 'Static', 'Sum', 'Average', 'Median' or 'Heading'.  If 'Dynamic'</t>
  </si>
  <si>
    <t xml:space="preserve">          then new data will be expected to come to the sheet when it becomes available in the database with no need for another export.</t>
  </si>
  <si>
    <t xml:space="preserve">          If 'Static' then there are no live links in this row and new data will only be procured by running and exporting from BI again.</t>
  </si>
  <si>
    <t xml:space="preserve">          If it's 'Sum', 'Average', 'Median' or 'Expression', then new data may come to the sheet for some expression components, but</t>
  </si>
  <si>
    <t xml:space="preserve">          to ensure the latest data is present in the sheet, BI should be run and exported again.</t>
  </si>
  <si>
    <t>**HELP**</t>
  </si>
  <si>
    <t xml:space="preserve">     If you experience any issues with the BI Excel export process or results, run the BI&lt;GO&gt; function on your Bloomberg terminal, and then hit the &lt;HELP&gt; key twice.</t>
  </si>
  <si>
    <t>Description</t>
  </si>
  <si>
    <t>Ticker</t>
  </si>
  <si>
    <t>Field ID</t>
  </si>
  <si>
    <t>Field Mnemonic</t>
  </si>
  <si>
    <t>Data State</t>
  </si>
  <si>
    <t>2023</t>
  </si>
  <si>
    <t>2022</t>
  </si>
  <si>
    <t>2021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</si>
  <si>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</si>
  <si>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</si>
  <si>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</si>
  <si>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</si>
  <si>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</si>
  <si>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</si>
  <si>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</si>
  <si>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</si>
  <si>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</si>
  <si>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</si>
  <si>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Origin</t>
  </si>
  <si>
    <t>Destination</t>
  </si>
  <si>
    <t xml:space="preserve">    Asia - South &amp; Central America</t>
  </si>
  <si>
    <t>Asia</t>
  </si>
  <si>
    <t>South &amp; Central America</t>
  </si>
  <si>
    <t>CSHVASCA Index</t>
  </si>
  <si>
    <t>PX385</t>
  </si>
  <si>
    <t>INTERVAL_SUM</t>
  </si>
  <si>
    <t>Dynamic</t>
  </si>
  <si>
    <t xml:space="preserve">    Asia - Sub Saharan Africa</t>
  </si>
  <si>
    <t>Sub Saharan Africa</t>
  </si>
  <si>
    <t>CSHVASSA Index</t>
  </si>
  <si>
    <t xml:space="preserve">    Asia - Australasia &amp; Oceania</t>
  </si>
  <si>
    <t>Australasia &amp; Oceania</t>
  </si>
  <si>
    <t>CSHVAAUO Index</t>
  </si>
  <si>
    <t xml:space="preserve">    Asia - North America</t>
  </si>
  <si>
    <t>North America</t>
  </si>
  <si>
    <t>CSHVANAR Index</t>
  </si>
  <si>
    <t xml:space="preserve">    Asia - Asia</t>
  </si>
  <si>
    <t>CSHVAASR Index</t>
  </si>
  <si>
    <t xml:space="preserve">    Asia - Europe</t>
  </si>
  <si>
    <t>Europe</t>
  </si>
  <si>
    <t>CSHVAEUR Index</t>
  </si>
  <si>
    <t xml:space="preserve">    Asia - Indian Sub Cont. &amp; Middle East</t>
  </si>
  <si>
    <t>Indian Sub Cont. &amp; Middle East</t>
  </si>
  <si>
    <t>CSHVAIME Index</t>
  </si>
  <si>
    <t xml:space="preserve">    Australasia &amp; Oceania - South &amp; Central America</t>
  </si>
  <si>
    <t>CSHVOSCA Index</t>
  </si>
  <si>
    <t xml:space="preserve">    Australasia &amp; Oceania - Europe</t>
  </si>
  <si>
    <t>CSHVOEUR Index</t>
  </si>
  <si>
    <t xml:space="preserve">    Australasia &amp; Oceania - Asia</t>
  </si>
  <si>
    <t>CSHVOASR Index</t>
  </si>
  <si>
    <t xml:space="preserve">    Australasia &amp; Oceania - North America</t>
  </si>
  <si>
    <t>CSHVONAR Index</t>
  </si>
  <si>
    <t xml:space="preserve">    Australasia &amp; Oceania - Australasia &amp; Oceania</t>
  </si>
  <si>
    <t>CSHVOAUO Index</t>
  </si>
  <si>
    <t xml:space="preserve">    Australasia &amp; Oceania - Sub Saharan Africa</t>
  </si>
  <si>
    <t>CSHVOSSA Index</t>
  </si>
  <si>
    <t xml:space="preserve">    Australasia &amp; Oceania - Indian Sub Cont. &amp; Middle East</t>
  </si>
  <si>
    <t>CSHVOIME Index</t>
  </si>
  <si>
    <t xml:space="preserve">    Europe - Europe</t>
  </si>
  <si>
    <t>CSHVEEUR Index</t>
  </si>
  <si>
    <t xml:space="preserve">    Europe - Asia</t>
  </si>
  <si>
    <t>CSHVEASR Index</t>
  </si>
  <si>
    <t xml:space="preserve">    Europe - North America</t>
  </si>
  <si>
    <t>CSHVENAR Index</t>
  </si>
  <si>
    <t xml:space="preserve">    Europe - Australasia &amp; Oceania</t>
  </si>
  <si>
    <t>CSHVEAUO Index</t>
  </si>
  <si>
    <t xml:space="preserve">    Europe - Sub Saharan Africa</t>
  </si>
  <si>
    <t>CSHVESSA Index</t>
  </si>
  <si>
    <t xml:space="preserve">    Europe - Indian Sub Cont. &amp; Middle East</t>
  </si>
  <si>
    <t>CSHVEIME Index</t>
  </si>
  <si>
    <t xml:space="preserve">    Europe - South &amp; Central America</t>
  </si>
  <si>
    <t>CSHVESCA Index</t>
  </si>
  <si>
    <t xml:space="preserve">    Indian Sub Cont. &amp; Middle East - Australasia &amp; Oceania</t>
  </si>
  <si>
    <t>CSHVIAUO Index</t>
  </si>
  <si>
    <t xml:space="preserve">    Indian Sub Cont. &amp; Middle East - North America</t>
  </si>
  <si>
    <t>CSHVINAR Index</t>
  </si>
  <si>
    <t xml:space="preserve">    Indian Sub Cont. &amp; Middle East - Asia</t>
  </si>
  <si>
    <t>CSHVIASR Index</t>
  </si>
  <si>
    <t xml:space="preserve">    Indian Sub Cont. &amp; Middle East - Europe</t>
  </si>
  <si>
    <t>CSHVIEUR Index</t>
  </si>
  <si>
    <t xml:space="preserve">    Indian Sub Cont. &amp; Middle East - South &amp; Central America</t>
  </si>
  <si>
    <t>CSHVISCA Index</t>
  </si>
  <si>
    <t xml:space="preserve">    Indian Sub Cont. &amp; Middle East - Sub Saharan Africa</t>
  </si>
  <si>
    <t>CSHVISSA Index</t>
  </si>
  <si>
    <t xml:space="preserve">    Indian Sub Cont. &amp; Middle East - Ind. Sub Cont. &amp; ME</t>
  </si>
  <si>
    <t>Ind. Sub Cont. &amp; ME</t>
  </si>
  <si>
    <t>CSHVIIME Index</t>
  </si>
  <si>
    <t xml:space="preserve">    North America - Europe</t>
  </si>
  <si>
    <t>CSHVNEUR Index</t>
  </si>
  <si>
    <t xml:space="preserve">    North America - South &amp; Central America</t>
  </si>
  <si>
    <t>CSHVNSCA Index</t>
  </si>
  <si>
    <t xml:space="preserve">    North America - Indian Sub Cont. &amp; Middle East</t>
  </si>
  <si>
    <t>CSHVNIME Index</t>
  </si>
  <si>
    <t xml:space="preserve">    North America - Sub Saharan Africa</t>
  </si>
  <si>
    <t>CSHVNSSA Index</t>
  </si>
  <si>
    <t xml:space="preserve">    North America - North America</t>
  </si>
  <si>
    <t>CSHVNNAR Index</t>
  </si>
  <si>
    <t xml:space="preserve">    North America - Asia</t>
  </si>
  <si>
    <t>CSHVNASR Index</t>
  </si>
  <si>
    <t xml:space="preserve">    North America - Australasia &amp; Oceania</t>
  </si>
  <si>
    <t>CSHVNAUO Index</t>
  </si>
  <si>
    <t xml:space="preserve">    South &amp; Central America - South &amp; Central America</t>
  </si>
  <si>
    <t>CSHVCSCA Index</t>
  </si>
  <si>
    <t xml:space="preserve">    South &amp; Central America - Indian Sub Cont. &amp; Middle East</t>
  </si>
  <si>
    <t>CSHVCIME Index</t>
  </si>
  <si>
    <t xml:space="preserve">    South &amp; Central America - Europe</t>
  </si>
  <si>
    <t>CSHVCEUR Index</t>
  </si>
  <si>
    <t xml:space="preserve">    South &amp; Central America - Asia</t>
  </si>
  <si>
    <t>CSHVCASR Index</t>
  </si>
  <si>
    <t xml:space="preserve">    South &amp; Central America - North America</t>
  </si>
  <si>
    <t>CSHVCNAR Index</t>
  </si>
  <si>
    <t xml:space="preserve">    South &amp; Central America - Australasia &amp; Oceania</t>
  </si>
  <si>
    <t>CSHVCAUO Index</t>
  </si>
  <si>
    <t xml:space="preserve">    South &amp; Central America - Sub Saharan Africa</t>
  </si>
  <si>
    <t>CSHVCSSA Index</t>
  </si>
  <si>
    <t xml:space="preserve">    Sub Saharan Africa - Europe</t>
  </si>
  <si>
    <t>CSHVSEUR Index</t>
  </si>
  <si>
    <t xml:space="preserve">    Sub Saharan Africa - Asia</t>
  </si>
  <si>
    <t>CSHVSASR Index</t>
  </si>
  <si>
    <t xml:space="preserve">    Sub Saharan Africa - North America</t>
  </si>
  <si>
    <t>CSHVSNAR Index</t>
  </si>
  <si>
    <t xml:space="preserve">    Sub Saharan Africa - Australasia &amp; Oceania</t>
  </si>
  <si>
    <t>CSHVSAUO Index</t>
  </si>
  <si>
    <t xml:space="preserve">    Sub Saharan Africa - Sub Saharan Africa</t>
  </si>
  <si>
    <t>CSHVSSSA Index</t>
  </si>
  <si>
    <t xml:space="preserve">    Sub Saharan Africa - Indian Sub Cont. &amp; Middle East</t>
  </si>
  <si>
    <t>CSHVSIME Index</t>
  </si>
  <si>
    <t xml:space="preserve">    Sub Saharan Africa - South &amp; Central America</t>
  </si>
  <si>
    <t>CSHVSSCA Index</t>
  </si>
  <si>
    <t xml:space="preserve">    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</si>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</sst>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3">
    <xf numFmtId="0" fontId="0" fillId="0" borderId="0" xfId="0"/>
    <xf numFmtId="0" fontId="1" fillId="33" borderId="0" xfId="26"/>
    <xf numFmtId="2" fontId="1" fillId="33" borderId="0" xfId="26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ccyreader">
      <tp t="e">
        <v>#N/A</v>
        <stp/>
        <stp>#track</stp>
        <stp>DBG</stp>
        <stp>BIHITX</stp>
        <stp>1.0</stp>
        <stp>RepeatHit</stp>
        <tr r="A63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1"/>
  <sheetViews>
    <sheetView tabSelected="1" topLeftCell="XEC1" workbookViewId="0"/>
  </sheetViews>
  <sheetFormatPr baseColWidth="10" defaultColWidth="8.83203125" defaultRowHeight="15" x14ac:dyDescent="0.2"/>
  <cols>
    <col min="1" max="2" width="56.33203125" customWidth="1"/>
    <col min="3" max="3" width="26.83203125" customWidth="1"/>
    <col min="4" max="4" width="15.83203125" customWidth="1"/>
    <col min="5" max="20" width="9.1640625" bestFit="1" customWidth="1"/>
  </cols>
  <sheetData>
    <row r="1" spans="1:20" x14ac:dyDescent="0.2">
      <c r="A1" s="1" t="s">
        <v>28</v>
      </c>
      <c r="B1" s="1" t="s">
        <v>46</v>
      </c>
      <c r="C1" s="1" t="s">
        <v>47</v>
      </c>
      <c r="D1" s="1" t="s">
        <v>29</v>
      </c>
      <c r="E1" s="1" t="s">
        <v>30</v>
      </c>
      <c r="F1" s="1" t="s">
        <v>31</v>
      </c>
      <c r="G1" s="1" t="s">
        <v>32</v>
      </c>
      <c r="H1" s="2" t="s">
        <v>33</v>
      </c>
      <c r="I1" s="2" t="s">
        <v>34</v>
      </c>
      <c r="J1" s="2" t="s">
        <v>35</v>
      </c>
      <c r="K1" s="2" t="s">
        <v>36</v>
      </c>
      <c r="L1" s="2" t="s">
        <v>37</v>
      </c>
      <c r="M1" s="2" t="s">
        <v>38</v>
      </c>
      <c r="N1" s="2" t="s">
        <v>39</v>
      </c>
      <c r="O1" s="2" t="s">
        <v>40</v>
      </c>
      <c r="P1" s="2" t="s">
        <v>41</v>
      </c>
      <c r="Q1" s="2" t="s">
        <v>42</v>
      </c>
      <c r="R1" s="2" t="s">
        <v>43</v>
      </c>
      <c r="S1" s="2" t="s">
        <v>44</v>
      </c>
      <c r="T1" s="2" t="s">
        <v>45</v>
      </c>
    </row>
    <row r="2" spans="1:20" x14ac:dyDescent="0.2">
      <c r="A2" t="s">
        <v>48</v>
      </c>
      <c r="B2" t="s">
        <v>49</v>
      </c>
      <c r="C2" t="s">
        <v>50</v>
      </c>
      <c r="D2" t="s">
        <v>51</v>
      </c>
      <c r="E2" t="s">
        <v>52</v>
      </c>
      <c r="F2" t="s">
        <v>53</v>
      </c>
      <c r="G2" t="s">
        <v>54</v>
      </c>
      <c r="H2">
        <v>3471000</v>
      </c>
      <c r="I2">
        <v>4101300</v>
      </c>
      <c r="J2">
        <v>4478500</v>
      </c>
      <c r="K2">
        <v>3686400</v>
      </c>
      <c r="L2">
        <v>3909300</v>
      </c>
      <c r="M2">
        <v>3881700</v>
      </c>
      <c r="N2">
        <v>3628300</v>
      </c>
      <c r="O2">
        <v>3362500</v>
      </c>
      <c r="P2">
        <v>3223400</v>
      </c>
      <c r="Q2">
        <v>3236400</v>
      </c>
      <c r="R2">
        <v>3512800</v>
      </c>
      <c r="S2">
        <v>3339600</v>
      </c>
      <c r="T2">
        <v>3315400</v>
      </c>
    </row>
    <row r="3" spans="1:20" x14ac:dyDescent="0.2">
      <c r="A3" t="s">
        <v>55</v>
      </c>
      <c r="B3" t="s">
        <v>49</v>
      </c>
      <c r="C3" t="s">
        <v>56</v>
      </c>
      <c r="D3" t="s">
        <v>57</v>
      </c>
      <c r="E3" t="s">
        <v>52</v>
      </c>
      <c r="F3" t="s">
        <v>53</v>
      </c>
      <c r="G3" t="s">
        <v>54</v>
      </c>
      <c r="H3">
        <v>2721800</v>
      </c>
      <c r="I3">
        <v>3034900</v>
      </c>
      <c r="J3">
        <v>3083600</v>
      </c>
      <c r="K3">
        <v>3154800</v>
      </c>
      <c r="L3">
        <v>3209600</v>
      </c>
      <c r="M3">
        <v>3026200</v>
      </c>
      <c r="N3">
        <v>2877900</v>
      </c>
      <c r="O3">
        <v>2643900</v>
      </c>
      <c r="P3">
        <v>2917200</v>
      </c>
      <c r="Q3">
        <v>3045700</v>
      </c>
      <c r="R3">
        <v>2903500</v>
      </c>
      <c r="S3">
        <v>2579400</v>
      </c>
      <c r="T3">
        <v>2520500</v>
      </c>
    </row>
    <row r="4" spans="1:20" x14ac:dyDescent="0.2">
      <c r="A4" t="s">
        <v>58</v>
      </c>
      <c r="B4" t="s">
        <v>49</v>
      </c>
      <c r="C4" t="s">
        <v>59</v>
      </c>
      <c r="D4" t="s">
        <v>60</v>
      </c>
      <c r="E4" t="s">
        <v>52</v>
      </c>
      <c r="F4" t="s">
        <v>53</v>
      </c>
      <c r="G4" t="s">
        <v>54</v>
      </c>
      <c r="H4">
        <v>1940000</v>
      </c>
      <c r="I4">
        <v>2606700</v>
      </c>
      <c r="J4">
        <v>2799700</v>
      </c>
      <c r="K4">
        <v>2840200</v>
      </c>
      <c r="L4">
        <v>2626700</v>
      </c>
      <c r="M4">
        <v>2786900</v>
      </c>
      <c r="N4">
        <v>2668900</v>
      </c>
      <c r="O4">
        <v>2594200</v>
      </c>
      <c r="P4">
        <v>2421500</v>
      </c>
      <c r="Q4">
        <v>2362300</v>
      </c>
      <c r="R4">
        <v>2196900</v>
      </c>
      <c r="S4">
        <v>2121400</v>
      </c>
      <c r="T4">
        <v>2045600</v>
      </c>
    </row>
    <row r="5" spans="1:20" x14ac:dyDescent="0.2">
      <c r="A5" t="s">
        <v>61</v>
      </c>
      <c r="B5" t="s">
        <v>49</v>
      </c>
      <c r="C5" t="s">
        <v>62</v>
      </c>
      <c r="D5" t="s">
        <v>63</v>
      </c>
      <c r="E5" t="s">
        <v>52</v>
      </c>
      <c r="F5" t="s">
        <v>53</v>
      </c>
      <c r="G5" t="s">
        <v>54</v>
      </c>
      <c r="H5">
        <v>15537400</v>
      </c>
      <c r="I5">
        <v>22007500</v>
      </c>
      <c r="J5">
        <v>23783300</v>
      </c>
      <c r="K5">
        <v>20161400</v>
      </c>
      <c r="L5">
        <v>18793800</v>
      </c>
      <c r="M5">
        <v>19241400</v>
      </c>
      <c r="N5">
        <v>18045400</v>
      </c>
      <c r="O5">
        <v>17216800</v>
      </c>
      <c r="P5">
        <v>16393100</v>
      </c>
      <c r="Q5">
        <v>15492100</v>
      </c>
      <c r="R5">
        <v>14620100</v>
      </c>
      <c r="S5">
        <v>14857600</v>
      </c>
      <c r="T5">
        <v>14259300</v>
      </c>
    </row>
    <row r="6" spans="1:20" x14ac:dyDescent="0.2">
      <c r="A6" t="s">
        <v>64</v>
      </c>
      <c r="B6" t="s">
        <v>49</v>
      </c>
      <c r="C6" t="s">
        <v>49</v>
      </c>
      <c r="D6" t="s">
        <v>65</v>
      </c>
      <c r="E6" t="s">
        <v>52</v>
      </c>
      <c r="F6" t="s">
        <v>53</v>
      </c>
      <c r="G6" t="s">
        <v>54</v>
      </c>
      <c r="H6">
        <v>33488300</v>
      </c>
      <c r="I6">
        <v>46604100</v>
      </c>
      <c r="J6">
        <v>47146300</v>
      </c>
      <c r="K6">
        <v>43210100</v>
      </c>
      <c r="L6">
        <v>42577400</v>
      </c>
      <c r="M6">
        <v>42403300</v>
      </c>
      <c r="N6">
        <v>40803400</v>
      </c>
      <c r="O6">
        <v>39213600</v>
      </c>
      <c r="P6">
        <v>37436800</v>
      </c>
      <c r="Q6">
        <v>36696600</v>
      </c>
      <c r="R6">
        <v>35489300</v>
      </c>
      <c r="S6">
        <v>33525600</v>
      </c>
      <c r="T6">
        <v>31144200</v>
      </c>
    </row>
    <row r="7" spans="1:20" x14ac:dyDescent="0.2">
      <c r="A7" t="s">
        <v>66</v>
      </c>
      <c r="B7" t="s">
        <v>49</v>
      </c>
      <c r="C7" t="s">
        <v>67</v>
      </c>
      <c r="D7" t="s">
        <v>68</v>
      </c>
      <c r="E7" t="s">
        <v>52</v>
      </c>
      <c r="F7" t="s">
        <v>53</v>
      </c>
      <c r="G7" t="s">
        <v>54</v>
      </c>
      <c r="H7">
        <v>12532800</v>
      </c>
      <c r="I7">
        <v>15396800</v>
      </c>
      <c r="J7">
        <v>17069000</v>
      </c>
      <c r="K7">
        <v>15768600</v>
      </c>
      <c r="L7">
        <v>16603300</v>
      </c>
      <c r="M7">
        <v>16186700</v>
      </c>
      <c r="N7">
        <v>15865900</v>
      </c>
      <c r="O7">
        <v>15190200</v>
      </c>
      <c r="P7">
        <v>14902100</v>
      </c>
      <c r="Q7">
        <v>15385700</v>
      </c>
      <c r="R7">
        <v>14359800</v>
      </c>
      <c r="S7">
        <v>13640500</v>
      </c>
      <c r="T7">
        <v>14192400</v>
      </c>
    </row>
    <row r="8" spans="1:20" x14ac:dyDescent="0.2">
      <c r="A8" t="s">
        <v>69</v>
      </c>
      <c r="B8" t="s">
        <v>49</v>
      </c>
      <c r="C8" t="s">
        <v>70</v>
      </c>
      <c r="D8" t="s">
        <v>71</v>
      </c>
      <c r="E8" t="s">
        <v>52</v>
      </c>
      <c r="F8" t="s">
        <v>53</v>
      </c>
      <c r="G8" t="s">
        <v>54</v>
      </c>
      <c r="H8">
        <v>6695400</v>
      </c>
      <c r="I8">
        <v>7679000</v>
      </c>
      <c r="J8">
        <v>7821500</v>
      </c>
      <c r="K8">
        <v>6454500</v>
      </c>
      <c r="L8">
        <v>7046700</v>
      </c>
      <c r="M8">
        <v>7275300</v>
      </c>
      <c r="N8">
        <v>7532000</v>
      </c>
      <c r="O8">
        <v>7225500</v>
      </c>
      <c r="P8">
        <v>6836100</v>
      </c>
      <c r="Q8">
        <v>6471900</v>
      </c>
      <c r="R8">
        <v>5927400</v>
      </c>
      <c r="S8">
        <v>5696900</v>
      </c>
      <c r="T8">
        <v>5631200</v>
      </c>
    </row>
    <row r="9" spans="1:20" x14ac:dyDescent="0.2">
      <c r="A9" t="s">
        <v>72</v>
      </c>
      <c r="B9" t="s">
        <v>59</v>
      </c>
      <c r="C9" t="s">
        <v>50</v>
      </c>
      <c r="D9" t="s">
        <v>73</v>
      </c>
      <c r="E9" t="s">
        <v>52</v>
      </c>
      <c r="F9" t="s">
        <v>53</v>
      </c>
      <c r="G9" t="s">
        <v>54</v>
      </c>
      <c r="H9">
        <v>11200</v>
      </c>
      <c r="I9">
        <v>20700</v>
      </c>
      <c r="J9">
        <v>21600</v>
      </c>
      <c r="K9">
        <v>19100</v>
      </c>
      <c r="L9">
        <v>20700</v>
      </c>
      <c r="M9">
        <v>22600</v>
      </c>
      <c r="N9">
        <v>22200</v>
      </c>
      <c r="O9">
        <v>22300</v>
      </c>
      <c r="P9">
        <v>30200</v>
      </c>
      <c r="Q9">
        <v>28100</v>
      </c>
      <c r="R9">
        <v>30000</v>
      </c>
      <c r="S9">
        <v>32900</v>
      </c>
      <c r="T9">
        <v>35400</v>
      </c>
    </row>
    <row r="10" spans="1:20" x14ac:dyDescent="0.2">
      <c r="A10" t="s">
        <v>74</v>
      </c>
      <c r="B10" t="s">
        <v>59</v>
      </c>
      <c r="C10" t="s">
        <v>67</v>
      </c>
      <c r="D10" t="s">
        <v>75</v>
      </c>
      <c r="E10" t="s">
        <v>52</v>
      </c>
      <c r="F10" t="s">
        <v>53</v>
      </c>
      <c r="G10" t="s">
        <v>54</v>
      </c>
      <c r="H10">
        <v>129900</v>
      </c>
      <c r="I10">
        <v>183800</v>
      </c>
      <c r="J10">
        <v>188100</v>
      </c>
      <c r="K10">
        <v>185400</v>
      </c>
      <c r="L10">
        <v>197600</v>
      </c>
      <c r="M10">
        <v>203700</v>
      </c>
      <c r="N10">
        <v>184000</v>
      </c>
      <c r="O10">
        <v>187300</v>
      </c>
      <c r="P10">
        <v>184700</v>
      </c>
      <c r="Q10">
        <v>184000</v>
      </c>
      <c r="R10">
        <v>176000</v>
      </c>
      <c r="S10">
        <v>181200</v>
      </c>
      <c r="T10">
        <v>195100</v>
      </c>
    </row>
    <row r="11" spans="1:20" x14ac:dyDescent="0.2">
      <c r="A11" t="s">
        <v>76</v>
      </c>
      <c r="B11" t="s">
        <v>59</v>
      </c>
      <c r="C11" t="s">
        <v>49</v>
      </c>
      <c r="D11" t="s">
        <v>77</v>
      </c>
      <c r="E11" t="s">
        <v>52</v>
      </c>
      <c r="F11" t="s">
        <v>53</v>
      </c>
      <c r="G11" t="s">
        <v>54</v>
      </c>
      <c r="H11">
        <v>1331400</v>
      </c>
      <c r="I11">
        <v>1660800</v>
      </c>
      <c r="J11">
        <v>1616300</v>
      </c>
      <c r="K11">
        <v>1592100</v>
      </c>
      <c r="L11">
        <v>1581300</v>
      </c>
      <c r="M11">
        <v>1650600</v>
      </c>
      <c r="N11">
        <v>1617100</v>
      </c>
      <c r="O11">
        <v>1517000</v>
      </c>
      <c r="P11">
        <v>1413400</v>
      </c>
      <c r="Q11">
        <v>1452400</v>
      </c>
      <c r="R11">
        <v>1453800</v>
      </c>
      <c r="S11">
        <v>1374800</v>
      </c>
      <c r="T11">
        <v>1306900</v>
      </c>
    </row>
    <row r="12" spans="1:20" x14ac:dyDescent="0.2">
      <c r="A12" t="s">
        <v>78</v>
      </c>
      <c r="B12" t="s">
        <v>59</v>
      </c>
      <c r="C12" t="s">
        <v>62</v>
      </c>
      <c r="D12" t="s">
        <v>79</v>
      </c>
      <c r="E12" t="s">
        <v>52</v>
      </c>
      <c r="F12" t="s">
        <v>53</v>
      </c>
      <c r="G12" t="s">
        <v>54</v>
      </c>
      <c r="H12">
        <v>163700</v>
      </c>
      <c r="I12">
        <v>222400</v>
      </c>
      <c r="J12">
        <v>225600</v>
      </c>
      <c r="K12">
        <v>217200</v>
      </c>
      <c r="L12">
        <v>227600</v>
      </c>
      <c r="M12">
        <v>231900</v>
      </c>
      <c r="N12">
        <v>222300</v>
      </c>
      <c r="O12">
        <v>223100</v>
      </c>
      <c r="P12">
        <v>234400</v>
      </c>
      <c r="Q12">
        <v>226100</v>
      </c>
      <c r="R12">
        <v>200300</v>
      </c>
      <c r="S12">
        <v>197500</v>
      </c>
      <c r="T12">
        <v>184200</v>
      </c>
    </row>
    <row r="13" spans="1:20" x14ac:dyDescent="0.2">
      <c r="A13" t="s">
        <v>80</v>
      </c>
      <c r="B13" t="s">
        <v>59</v>
      </c>
      <c r="C13" t="s">
        <v>59</v>
      </c>
      <c r="D13" t="s">
        <v>81</v>
      </c>
      <c r="E13" t="s">
        <v>52</v>
      </c>
      <c r="F13" t="s">
        <v>53</v>
      </c>
      <c r="G13" t="s">
        <v>54</v>
      </c>
      <c r="H13">
        <v>247500</v>
      </c>
      <c r="I13">
        <v>380900</v>
      </c>
      <c r="J13">
        <v>400400</v>
      </c>
      <c r="K13">
        <v>453300</v>
      </c>
      <c r="L13">
        <v>444900</v>
      </c>
      <c r="M13">
        <v>489600</v>
      </c>
      <c r="N13">
        <v>508300</v>
      </c>
      <c r="O13">
        <v>489100</v>
      </c>
      <c r="P13">
        <v>457600</v>
      </c>
      <c r="Q13">
        <v>449800</v>
      </c>
      <c r="R13">
        <v>420800</v>
      </c>
      <c r="S13">
        <v>414900</v>
      </c>
      <c r="T13">
        <v>438400</v>
      </c>
    </row>
    <row r="14" spans="1:20" x14ac:dyDescent="0.2">
      <c r="A14" t="s">
        <v>82</v>
      </c>
      <c r="B14" t="s">
        <v>59</v>
      </c>
      <c r="C14" t="s">
        <v>56</v>
      </c>
      <c r="D14" t="s">
        <v>83</v>
      </c>
      <c r="E14" t="s">
        <v>52</v>
      </c>
      <c r="F14" t="s">
        <v>53</v>
      </c>
      <c r="G14" t="s">
        <v>54</v>
      </c>
      <c r="H14">
        <v>31900</v>
      </c>
      <c r="I14">
        <v>52100</v>
      </c>
      <c r="J14">
        <v>54800</v>
      </c>
      <c r="K14">
        <v>44100</v>
      </c>
      <c r="L14">
        <v>48100</v>
      </c>
      <c r="M14">
        <v>50800</v>
      </c>
      <c r="N14">
        <v>51400</v>
      </c>
      <c r="O14">
        <v>48600</v>
      </c>
      <c r="P14">
        <v>52000</v>
      </c>
      <c r="Q14">
        <v>47600</v>
      </c>
      <c r="R14">
        <v>53100</v>
      </c>
      <c r="S14">
        <v>53300</v>
      </c>
      <c r="T14">
        <v>50400</v>
      </c>
    </row>
    <row r="15" spans="1:20" x14ac:dyDescent="0.2">
      <c r="A15" t="s">
        <v>84</v>
      </c>
      <c r="B15" t="s">
        <v>59</v>
      </c>
      <c r="C15" t="s">
        <v>70</v>
      </c>
      <c r="D15" t="s">
        <v>85</v>
      </c>
      <c r="E15" t="s">
        <v>52</v>
      </c>
      <c r="F15" t="s">
        <v>53</v>
      </c>
      <c r="G15" t="s">
        <v>54</v>
      </c>
      <c r="H15">
        <v>177800</v>
      </c>
      <c r="I15">
        <v>213800</v>
      </c>
      <c r="J15">
        <v>262700</v>
      </c>
      <c r="K15">
        <v>253700</v>
      </c>
      <c r="L15">
        <v>282500</v>
      </c>
      <c r="M15">
        <v>262900</v>
      </c>
      <c r="N15">
        <v>452200</v>
      </c>
      <c r="O15">
        <v>365100</v>
      </c>
      <c r="P15">
        <v>336000</v>
      </c>
      <c r="Q15">
        <v>250500</v>
      </c>
      <c r="R15">
        <v>206500</v>
      </c>
      <c r="S15">
        <v>223900</v>
      </c>
      <c r="T15">
        <v>194700</v>
      </c>
    </row>
    <row r="16" spans="1:20" x14ac:dyDescent="0.2">
      <c r="A16" t="s">
        <v>86</v>
      </c>
      <c r="B16" t="s">
        <v>67</v>
      </c>
      <c r="C16" t="s">
        <v>67</v>
      </c>
      <c r="D16" t="s">
        <v>87</v>
      </c>
      <c r="E16" t="s">
        <v>52</v>
      </c>
      <c r="F16" t="s">
        <v>53</v>
      </c>
      <c r="G16" t="s">
        <v>54</v>
      </c>
      <c r="H16">
        <v>5716800</v>
      </c>
      <c r="I16">
        <v>8178400</v>
      </c>
      <c r="J16">
        <v>8933400</v>
      </c>
      <c r="K16">
        <v>8201800</v>
      </c>
      <c r="L16">
        <v>8222700</v>
      </c>
      <c r="M16">
        <v>7732100</v>
      </c>
      <c r="N16">
        <v>7255800</v>
      </c>
      <c r="O16">
        <v>7034900</v>
      </c>
      <c r="P16">
        <v>6764300</v>
      </c>
      <c r="Q16">
        <v>6709800</v>
      </c>
      <c r="R16">
        <v>6263900</v>
      </c>
      <c r="S16">
        <v>6010300</v>
      </c>
      <c r="T16">
        <v>5959700</v>
      </c>
    </row>
    <row r="17" spans="1:20" x14ac:dyDescent="0.2">
      <c r="A17" t="s">
        <v>88</v>
      </c>
      <c r="B17" t="s">
        <v>67</v>
      </c>
      <c r="C17" t="s">
        <v>49</v>
      </c>
      <c r="D17" t="s">
        <v>89</v>
      </c>
      <c r="E17" t="s">
        <v>52</v>
      </c>
      <c r="F17" t="s">
        <v>53</v>
      </c>
      <c r="G17" t="s">
        <v>54</v>
      </c>
      <c r="H17">
        <v>4749500</v>
      </c>
      <c r="I17">
        <v>6730800</v>
      </c>
      <c r="J17">
        <v>7750800</v>
      </c>
      <c r="K17">
        <v>8209400</v>
      </c>
      <c r="L17">
        <v>8134100</v>
      </c>
      <c r="M17">
        <v>7649500</v>
      </c>
      <c r="N17">
        <v>7892400</v>
      </c>
      <c r="O17">
        <v>7460800</v>
      </c>
      <c r="P17">
        <v>6930000</v>
      </c>
      <c r="Q17">
        <v>6853700</v>
      </c>
      <c r="R17">
        <v>6861100</v>
      </c>
      <c r="S17">
        <v>6508100</v>
      </c>
      <c r="T17">
        <v>6230500</v>
      </c>
    </row>
    <row r="18" spans="1:20" x14ac:dyDescent="0.2">
      <c r="A18" t="s">
        <v>90</v>
      </c>
      <c r="B18" t="s">
        <v>67</v>
      </c>
      <c r="C18" t="s">
        <v>62</v>
      </c>
      <c r="D18" t="s">
        <v>91</v>
      </c>
      <c r="E18" t="s">
        <v>52</v>
      </c>
      <c r="F18" t="s">
        <v>53</v>
      </c>
      <c r="G18" t="s">
        <v>54</v>
      </c>
      <c r="H18">
        <v>3665100</v>
      </c>
      <c r="I18">
        <v>5520200</v>
      </c>
      <c r="J18">
        <v>5627800</v>
      </c>
      <c r="K18">
        <v>5010800</v>
      </c>
      <c r="L18">
        <v>5102000</v>
      </c>
      <c r="M18">
        <v>4978300</v>
      </c>
      <c r="N18">
        <v>4683700</v>
      </c>
      <c r="O18">
        <v>4326100</v>
      </c>
      <c r="P18">
        <v>4178800</v>
      </c>
      <c r="Q18">
        <v>3917300</v>
      </c>
      <c r="R18">
        <v>3586100</v>
      </c>
      <c r="S18">
        <v>3469100</v>
      </c>
      <c r="T18">
        <v>3286000</v>
      </c>
    </row>
    <row r="19" spans="1:20" x14ac:dyDescent="0.2">
      <c r="A19" t="s">
        <v>92</v>
      </c>
      <c r="B19" t="s">
        <v>67</v>
      </c>
      <c r="C19" t="s">
        <v>59</v>
      </c>
      <c r="D19" t="s">
        <v>93</v>
      </c>
      <c r="E19" t="s">
        <v>52</v>
      </c>
      <c r="F19" t="s">
        <v>53</v>
      </c>
      <c r="G19" t="s">
        <v>54</v>
      </c>
      <c r="H19">
        <v>456500</v>
      </c>
      <c r="I19">
        <v>711300</v>
      </c>
      <c r="J19">
        <v>754100</v>
      </c>
      <c r="K19">
        <v>699300</v>
      </c>
      <c r="L19">
        <v>723100</v>
      </c>
      <c r="M19">
        <v>756600</v>
      </c>
      <c r="N19">
        <v>690800</v>
      </c>
      <c r="O19">
        <v>603100</v>
      </c>
      <c r="P19">
        <v>558200</v>
      </c>
      <c r="Q19">
        <v>545800</v>
      </c>
      <c r="R19">
        <v>530800</v>
      </c>
      <c r="S19">
        <v>504300</v>
      </c>
      <c r="T19">
        <v>480400</v>
      </c>
    </row>
    <row r="20" spans="1:20" x14ac:dyDescent="0.2">
      <c r="A20" t="s">
        <v>94</v>
      </c>
      <c r="B20" t="s">
        <v>67</v>
      </c>
      <c r="C20" t="s">
        <v>56</v>
      </c>
      <c r="D20" t="s">
        <v>95</v>
      </c>
      <c r="E20" t="s">
        <v>52</v>
      </c>
      <c r="F20" t="s">
        <v>53</v>
      </c>
      <c r="G20" t="s">
        <v>54</v>
      </c>
      <c r="H20">
        <v>1553500</v>
      </c>
      <c r="I20">
        <v>2208300</v>
      </c>
      <c r="J20">
        <v>2216400</v>
      </c>
      <c r="K20">
        <v>2058100</v>
      </c>
      <c r="L20">
        <v>2173700</v>
      </c>
      <c r="M20">
        <v>2100900</v>
      </c>
      <c r="N20">
        <v>2016400</v>
      </c>
      <c r="O20">
        <v>1895400</v>
      </c>
      <c r="P20">
        <v>2062500</v>
      </c>
      <c r="Q20">
        <v>1986200</v>
      </c>
      <c r="R20">
        <v>2048300</v>
      </c>
      <c r="S20">
        <v>1887800</v>
      </c>
      <c r="T20">
        <v>1759000</v>
      </c>
    </row>
    <row r="21" spans="1:20" x14ac:dyDescent="0.2">
      <c r="A21" t="s">
        <v>96</v>
      </c>
      <c r="B21" t="s">
        <v>67</v>
      </c>
      <c r="C21" t="s">
        <v>70</v>
      </c>
      <c r="D21" t="s">
        <v>97</v>
      </c>
      <c r="E21" t="s">
        <v>52</v>
      </c>
      <c r="F21" t="s">
        <v>53</v>
      </c>
      <c r="G21" t="s">
        <v>54</v>
      </c>
      <c r="H21">
        <v>2827800</v>
      </c>
      <c r="I21">
        <v>3846400</v>
      </c>
      <c r="J21">
        <v>3711900</v>
      </c>
      <c r="K21">
        <v>3794700</v>
      </c>
      <c r="L21">
        <v>4037500</v>
      </c>
      <c r="M21">
        <v>3964900</v>
      </c>
      <c r="N21">
        <v>3878100</v>
      </c>
      <c r="O21">
        <v>3827300</v>
      </c>
      <c r="P21">
        <v>3630200</v>
      </c>
      <c r="Q21">
        <v>3376000</v>
      </c>
      <c r="R21">
        <v>3090800</v>
      </c>
      <c r="S21">
        <v>3146400</v>
      </c>
      <c r="T21">
        <v>3006700</v>
      </c>
    </row>
    <row r="22" spans="1:20" x14ac:dyDescent="0.2">
      <c r="A22" t="s">
        <v>98</v>
      </c>
      <c r="B22" t="s">
        <v>67</v>
      </c>
      <c r="C22" t="s">
        <v>50</v>
      </c>
      <c r="D22" t="s">
        <v>99</v>
      </c>
      <c r="E22" t="s">
        <v>52</v>
      </c>
      <c r="F22" t="s">
        <v>53</v>
      </c>
      <c r="G22" t="s">
        <v>54</v>
      </c>
      <c r="H22">
        <v>1243800</v>
      </c>
      <c r="I22">
        <v>1927900</v>
      </c>
      <c r="J22">
        <v>2110900</v>
      </c>
      <c r="K22">
        <v>1791000</v>
      </c>
      <c r="L22">
        <v>1870800</v>
      </c>
      <c r="M22">
        <v>1907400</v>
      </c>
      <c r="N22">
        <v>1800300</v>
      </c>
      <c r="O22">
        <v>1615000</v>
      </c>
      <c r="P22">
        <v>1578500</v>
      </c>
      <c r="Q22">
        <v>1590900</v>
      </c>
      <c r="R22">
        <v>1631800</v>
      </c>
      <c r="S22">
        <v>1558200</v>
      </c>
      <c r="T22">
        <v>1475100</v>
      </c>
    </row>
    <row r="23" spans="1:20" x14ac:dyDescent="0.2">
      <c r="A23" t="s">
        <v>100</v>
      </c>
      <c r="B23" t="s">
        <v>70</v>
      </c>
      <c r="C23" t="s">
        <v>59</v>
      </c>
      <c r="D23" t="s">
        <v>101</v>
      </c>
      <c r="E23" t="s">
        <v>52</v>
      </c>
      <c r="F23" t="s">
        <v>53</v>
      </c>
      <c r="G23" t="s">
        <v>54</v>
      </c>
      <c r="H23">
        <v>116700</v>
      </c>
      <c r="I23">
        <v>149600</v>
      </c>
      <c r="J23">
        <v>158200</v>
      </c>
      <c r="K23">
        <v>162700</v>
      </c>
      <c r="L23">
        <v>156000</v>
      </c>
      <c r="M23">
        <v>157200</v>
      </c>
      <c r="N23">
        <v>190100</v>
      </c>
      <c r="O23">
        <v>191900</v>
      </c>
      <c r="P23">
        <v>174100</v>
      </c>
      <c r="Q23">
        <v>163600</v>
      </c>
      <c r="R23">
        <v>130000</v>
      </c>
      <c r="S23">
        <v>109500</v>
      </c>
      <c r="T23">
        <v>101400</v>
      </c>
    </row>
    <row r="24" spans="1:20" x14ac:dyDescent="0.2">
      <c r="A24" t="s">
        <v>102</v>
      </c>
      <c r="B24" t="s">
        <v>70</v>
      </c>
      <c r="C24" t="s">
        <v>62</v>
      </c>
      <c r="D24" t="s">
        <v>103</v>
      </c>
      <c r="E24" t="s">
        <v>52</v>
      </c>
      <c r="F24" t="s">
        <v>53</v>
      </c>
      <c r="G24" t="s">
        <v>54</v>
      </c>
      <c r="H24">
        <v>1335500</v>
      </c>
      <c r="I24">
        <v>1841900</v>
      </c>
      <c r="J24">
        <v>1940500</v>
      </c>
      <c r="K24">
        <v>1458100</v>
      </c>
      <c r="L24">
        <v>1436100</v>
      </c>
      <c r="M24">
        <v>1348800</v>
      </c>
      <c r="N24">
        <v>1183400</v>
      </c>
      <c r="O24">
        <v>1126100</v>
      </c>
      <c r="P24">
        <v>1063900</v>
      </c>
      <c r="Q24">
        <v>990200</v>
      </c>
      <c r="R24">
        <v>892400</v>
      </c>
      <c r="S24">
        <v>948500</v>
      </c>
      <c r="T24">
        <v>929400</v>
      </c>
    </row>
    <row r="25" spans="1:20" x14ac:dyDescent="0.2">
      <c r="A25" t="s">
        <v>104</v>
      </c>
      <c r="B25" t="s">
        <v>70</v>
      </c>
      <c r="C25" t="s">
        <v>49</v>
      </c>
      <c r="D25" t="s">
        <v>105</v>
      </c>
      <c r="E25" t="s">
        <v>52</v>
      </c>
      <c r="F25" t="s">
        <v>53</v>
      </c>
      <c r="G25" t="s">
        <v>54</v>
      </c>
      <c r="H25">
        <v>2374800</v>
      </c>
      <c r="I25">
        <v>3223700</v>
      </c>
      <c r="J25">
        <v>3005300</v>
      </c>
      <c r="K25">
        <v>3139900</v>
      </c>
      <c r="L25">
        <v>2831600</v>
      </c>
      <c r="M25">
        <v>2993000</v>
      </c>
      <c r="N25">
        <v>2843000</v>
      </c>
      <c r="O25">
        <v>2633000</v>
      </c>
      <c r="P25">
        <v>2499300</v>
      </c>
      <c r="Q25">
        <v>2464100</v>
      </c>
      <c r="R25">
        <v>2484600</v>
      </c>
      <c r="S25">
        <v>2331700</v>
      </c>
      <c r="T25">
        <v>2260600</v>
      </c>
    </row>
    <row r="26" spans="1:20" x14ac:dyDescent="0.2">
      <c r="A26" t="s">
        <v>106</v>
      </c>
      <c r="B26" t="s">
        <v>70</v>
      </c>
      <c r="C26" t="s">
        <v>67</v>
      </c>
      <c r="D26" t="s">
        <v>107</v>
      </c>
      <c r="E26" t="s">
        <v>52</v>
      </c>
      <c r="F26" t="s">
        <v>53</v>
      </c>
      <c r="G26" t="s">
        <v>54</v>
      </c>
      <c r="H26">
        <v>2448900</v>
      </c>
      <c r="I26">
        <v>3074600</v>
      </c>
      <c r="J26">
        <v>3253500</v>
      </c>
      <c r="K26">
        <v>2738900</v>
      </c>
      <c r="L26">
        <v>2883000</v>
      </c>
      <c r="M26">
        <v>2883200</v>
      </c>
      <c r="N26">
        <v>2741500</v>
      </c>
      <c r="O26">
        <v>2607000</v>
      </c>
      <c r="P26">
        <v>2400300</v>
      </c>
      <c r="Q26">
        <v>2382800</v>
      </c>
      <c r="R26">
        <v>2200800</v>
      </c>
      <c r="S26">
        <v>2065300</v>
      </c>
      <c r="T26">
        <v>2031800</v>
      </c>
    </row>
    <row r="27" spans="1:20" x14ac:dyDescent="0.2">
      <c r="A27" t="s">
        <v>108</v>
      </c>
      <c r="B27" t="s">
        <v>70</v>
      </c>
      <c r="C27" t="s">
        <v>50</v>
      </c>
      <c r="D27" t="s">
        <v>109</v>
      </c>
      <c r="E27" t="s">
        <v>52</v>
      </c>
      <c r="F27" t="s">
        <v>53</v>
      </c>
      <c r="G27" t="s">
        <v>54</v>
      </c>
      <c r="H27">
        <v>299400</v>
      </c>
      <c r="I27">
        <v>307700</v>
      </c>
      <c r="J27">
        <v>444600</v>
      </c>
      <c r="K27">
        <v>324200</v>
      </c>
      <c r="L27">
        <v>323200</v>
      </c>
      <c r="M27">
        <v>359200</v>
      </c>
      <c r="N27">
        <v>342900</v>
      </c>
      <c r="O27">
        <v>297100</v>
      </c>
      <c r="P27">
        <v>288500</v>
      </c>
      <c r="Q27">
        <v>303100</v>
      </c>
      <c r="R27">
        <v>281700</v>
      </c>
      <c r="S27">
        <v>278400</v>
      </c>
      <c r="T27">
        <v>254300</v>
      </c>
    </row>
    <row r="28" spans="1:20" x14ac:dyDescent="0.2">
      <c r="A28" t="s">
        <v>110</v>
      </c>
      <c r="B28" t="s">
        <v>70</v>
      </c>
      <c r="C28" t="s">
        <v>56</v>
      </c>
      <c r="D28" t="s">
        <v>111</v>
      </c>
      <c r="E28" t="s">
        <v>52</v>
      </c>
      <c r="F28" t="s">
        <v>53</v>
      </c>
      <c r="G28" t="s">
        <v>54</v>
      </c>
      <c r="H28">
        <v>1209500</v>
      </c>
      <c r="I28">
        <v>1336000</v>
      </c>
      <c r="J28">
        <v>1327200</v>
      </c>
      <c r="K28">
        <v>1260900</v>
      </c>
      <c r="L28">
        <v>1252900</v>
      </c>
      <c r="M28">
        <v>1194500</v>
      </c>
      <c r="N28">
        <v>1151300</v>
      </c>
      <c r="O28">
        <v>1041200</v>
      </c>
      <c r="P28">
        <v>1057500</v>
      </c>
      <c r="Q28">
        <v>1054800</v>
      </c>
      <c r="R28">
        <v>950900</v>
      </c>
      <c r="S28">
        <v>841600</v>
      </c>
      <c r="T28">
        <v>848400</v>
      </c>
    </row>
    <row r="29" spans="1:20" x14ac:dyDescent="0.2">
      <c r="A29" t="s">
        <v>112</v>
      </c>
      <c r="B29" t="s">
        <v>70</v>
      </c>
      <c r="C29" t="s">
        <v>113</v>
      </c>
      <c r="D29" t="s">
        <v>114</v>
      </c>
      <c r="E29" t="s">
        <v>52</v>
      </c>
      <c r="F29" t="s">
        <v>53</v>
      </c>
      <c r="G29" t="s">
        <v>54</v>
      </c>
      <c r="H29">
        <v>3186200</v>
      </c>
      <c r="I29">
        <v>3911600</v>
      </c>
      <c r="J29">
        <v>3555200</v>
      </c>
      <c r="K29">
        <v>3985800</v>
      </c>
      <c r="L29">
        <v>3946600</v>
      </c>
      <c r="M29">
        <v>3782900</v>
      </c>
      <c r="N29">
        <v>3560700</v>
      </c>
      <c r="O29">
        <v>3337200</v>
      </c>
      <c r="P29">
        <v>3133800</v>
      </c>
      <c r="Q29">
        <v>2962100</v>
      </c>
      <c r="R29">
        <v>2720300</v>
      </c>
      <c r="S29">
        <v>2606100</v>
      </c>
      <c r="T29">
        <v>2269500</v>
      </c>
    </row>
    <row r="30" spans="1:20" x14ac:dyDescent="0.2">
      <c r="A30" t="s">
        <v>115</v>
      </c>
      <c r="B30" t="s">
        <v>62</v>
      </c>
      <c r="C30" t="s">
        <v>67</v>
      </c>
      <c r="D30" t="s">
        <v>116</v>
      </c>
      <c r="E30" t="s">
        <v>52</v>
      </c>
      <c r="F30" t="s">
        <v>53</v>
      </c>
      <c r="G30" t="s">
        <v>54</v>
      </c>
      <c r="H30">
        <v>1909700</v>
      </c>
      <c r="I30">
        <v>2596200</v>
      </c>
      <c r="J30">
        <v>2685800</v>
      </c>
      <c r="K30">
        <v>2652300</v>
      </c>
      <c r="L30">
        <v>3009700</v>
      </c>
      <c r="M30">
        <v>2902900</v>
      </c>
      <c r="N30">
        <v>2734500</v>
      </c>
      <c r="O30">
        <v>2591600</v>
      </c>
      <c r="P30">
        <v>2579700</v>
      </c>
      <c r="Q30">
        <v>2730100</v>
      </c>
      <c r="R30">
        <v>2728800</v>
      </c>
      <c r="S30">
        <v>2631800</v>
      </c>
      <c r="T30">
        <v>2761700</v>
      </c>
    </row>
    <row r="31" spans="1:20" x14ac:dyDescent="0.2">
      <c r="A31" t="s">
        <v>117</v>
      </c>
      <c r="B31" t="s">
        <v>62</v>
      </c>
      <c r="C31" t="s">
        <v>50</v>
      </c>
      <c r="D31" t="s">
        <v>118</v>
      </c>
      <c r="E31" t="s">
        <v>52</v>
      </c>
      <c r="F31" t="s">
        <v>53</v>
      </c>
      <c r="G31" t="s">
        <v>54</v>
      </c>
      <c r="H31">
        <v>2110900</v>
      </c>
      <c r="I31">
        <v>3019200</v>
      </c>
      <c r="J31">
        <v>2957900</v>
      </c>
      <c r="K31">
        <v>2626700</v>
      </c>
      <c r="L31">
        <v>2893200</v>
      </c>
      <c r="M31">
        <v>2977200</v>
      </c>
      <c r="N31">
        <v>2861200</v>
      </c>
      <c r="O31">
        <v>2872100</v>
      </c>
      <c r="P31">
        <v>2982200</v>
      </c>
      <c r="Q31">
        <v>3063300</v>
      </c>
      <c r="R31">
        <v>3139500</v>
      </c>
      <c r="S31">
        <v>1858000</v>
      </c>
      <c r="T31">
        <v>2010600</v>
      </c>
    </row>
    <row r="32" spans="1:20" x14ac:dyDescent="0.2">
      <c r="A32" t="s">
        <v>119</v>
      </c>
      <c r="B32" t="s">
        <v>62</v>
      </c>
      <c r="C32" t="s">
        <v>70</v>
      </c>
      <c r="D32" t="s">
        <v>120</v>
      </c>
      <c r="E32" t="s">
        <v>52</v>
      </c>
      <c r="F32" t="s">
        <v>53</v>
      </c>
      <c r="G32" t="s">
        <v>54</v>
      </c>
      <c r="H32">
        <v>1200800</v>
      </c>
      <c r="I32">
        <v>1512500</v>
      </c>
      <c r="J32">
        <v>1412800</v>
      </c>
      <c r="K32">
        <v>1421000</v>
      </c>
      <c r="L32">
        <v>1676400</v>
      </c>
      <c r="M32">
        <v>1498700</v>
      </c>
      <c r="N32">
        <v>1277300</v>
      </c>
      <c r="O32">
        <v>1209800</v>
      </c>
      <c r="P32">
        <v>1148500</v>
      </c>
      <c r="Q32">
        <v>1134400</v>
      </c>
      <c r="R32">
        <v>1149200</v>
      </c>
      <c r="S32">
        <v>1045100</v>
      </c>
      <c r="T32">
        <v>1064300</v>
      </c>
    </row>
    <row r="33" spans="1:20" x14ac:dyDescent="0.2">
      <c r="A33" t="s">
        <v>121</v>
      </c>
      <c r="B33" t="s">
        <v>62</v>
      </c>
      <c r="C33" t="s">
        <v>56</v>
      </c>
      <c r="D33" t="s">
        <v>122</v>
      </c>
      <c r="E33" t="s">
        <v>52</v>
      </c>
      <c r="F33" t="s">
        <v>53</v>
      </c>
      <c r="G33" t="s">
        <v>54</v>
      </c>
      <c r="H33">
        <v>226700</v>
      </c>
      <c r="I33">
        <v>311900</v>
      </c>
      <c r="J33">
        <v>360400</v>
      </c>
      <c r="K33">
        <v>350000</v>
      </c>
      <c r="L33">
        <v>378300</v>
      </c>
      <c r="M33">
        <v>334400</v>
      </c>
      <c r="N33">
        <v>304800</v>
      </c>
      <c r="O33">
        <v>296100</v>
      </c>
      <c r="P33">
        <v>296900</v>
      </c>
      <c r="Q33">
        <v>315300</v>
      </c>
      <c r="R33">
        <v>324700</v>
      </c>
      <c r="S33">
        <v>373600</v>
      </c>
      <c r="T33">
        <v>369800</v>
      </c>
    </row>
    <row r="34" spans="1:20" x14ac:dyDescent="0.2">
      <c r="A34" t="s">
        <v>123</v>
      </c>
      <c r="B34" t="s">
        <v>62</v>
      </c>
      <c r="C34" t="s">
        <v>62</v>
      </c>
      <c r="D34" t="s">
        <v>124</v>
      </c>
      <c r="E34" t="s">
        <v>52</v>
      </c>
      <c r="F34" t="s">
        <v>53</v>
      </c>
      <c r="G34" t="s">
        <v>54</v>
      </c>
      <c r="H34">
        <v>167100</v>
      </c>
      <c r="I34">
        <v>261900</v>
      </c>
      <c r="J34">
        <v>301100</v>
      </c>
      <c r="K34">
        <v>305500</v>
      </c>
      <c r="L34">
        <v>331000</v>
      </c>
      <c r="M34">
        <v>319100</v>
      </c>
      <c r="N34">
        <v>291600</v>
      </c>
      <c r="O34">
        <v>266400</v>
      </c>
      <c r="P34">
        <v>246100</v>
      </c>
      <c r="Q34">
        <v>236600</v>
      </c>
      <c r="R34">
        <v>237600</v>
      </c>
      <c r="S34">
        <v>476300</v>
      </c>
      <c r="T34">
        <v>416300</v>
      </c>
    </row>
    <row r="35" spans="1:20" x14ac:dyDescent="0.2">
      <c r="A35" t="s">
        <v>125</v>
      </c>
      <c r="B35" t="s">
        <v>62</v>
      </c>
      <c r="C35" t="s">
        <v>49</v>
      </c>
      <c r="D35" t="s">
        <v>126</v>
      </c>
      <c r="E35" t="s">
        <v>52</v>
      </c>
      <c r="F35" t="s">
        <v>53</v>
      </c>
      <c r="G35" t="s">
        <v>54</v>
      </c>
      <c r="H35">
        <v>4538100</v>
      </c>
      <c r="I35">
        <v>6005900</v>
      </c>
      <c r="J35">
        <v>6377600</v>
      </c>
      <c r="K35">
        <v>7304400</v>
      </c>
      <c r="L35">
        <v>7448200</v>
      </c>
      <c r="M35">
        <v>7514000</v>
      </c>
      <c r="N35">
        <v>7997400</v>
      </c>
      <c r="O35">
        <v>7861000</v>
      </c>
      <c r="P35">
        <v>7304700</v>
      </c>
      <c r="Q35">
        <v>7568600</v>
      </c>
      <c r="R35">
        <v>7895600</v>
      </c>
      <c r="S35">
        <v>7760600</v>
      </c>
      <c r="T35">
        <v>7828600</v>
      </c>
    </row>
    <row r="36" spans="1:20" x14ac:dyDescent="0.2">
      <c r="A36" t="s">
        <v>127</v>
      </c>
      <c r="B36" t="s">
        <v>62</v>
      </c>
      <c r="C36" t="s">
        <v>59</v>
      </c>
      <c r="D36" t="s">
        <v>128</v>
      </c>
      <c r="E36" t="s">
        <v>52</v>
      </c>
      <c r="F36" t="s">
        <v>53</v>
      </c>
      <c r="G36" t="s">
        <v>54</v>
      </c>
      <c r="H36">
        <v>199500</v>
      </c>
      <c r="I36">
        <v>334000</v>
      </c>
      <c r="J36">
        <v>324600</v>
      </c>
      <c r="K36">
        <v>331500</v>
      </c>
      <c r="L36">
        <v>344600</v>
      </c>
      <c r="M36">
        <v>340800</v>
      </c>
      <c r="N36">
        <v>352100</v>
      </c>
      <c r="O36">
        <v>367300</v>
      </c>
      <c r="P36">
        <v>370600</v>
      </c>
      <c r="Q36">
        <v>403000</v>
      </c>
      <c r="R36">
        <v>397600</v>
      </c>
      <c r="S36">
        <v>325700</v>
      </c>
      <c r="T36">
        <v>320300</v>
      </c>
    </row>
    <row r="37" spans="1:20" x14ac:dyDescent="0.2">
      <c r="A37" t="s">
        <v>129</v>
      </c>
      <c r="B37" t="s">
        <v>50</v>
      </c>
      <c r="C37" t="s">
        <v>50</v>
      </c>
      <c r="D37" t="s">
        <v>130</v>
      </c>
      <c r="E37" t="s">
        <v>52</v>
      </c>
      <c r="F37" t="s">
        <v>53</v>
      </c>
      <c r="G37" t="s">
        <v>54</v>
      </c>
      <c r="H37">
        <v>1107300</v>
      </c>
      <c r="I37">
        <v>1480500</v>
      </c>
      <c r="J37">
        <v>1585900</v>
      </c>
      <c r="K37">
        <v>1481200</v>
      </c>
      <c r="L37">
        <v>1841800</v>
      </c>
      <c r="M37">
        <v>1823000</v>
      </c>
      <c r="N37">
        <v>1735400</v>
      </c>
      <c r="O37">
        <v>1550400</v>
      </c>
      <c r="P37">
        <v>1523400</v>
      </c>
      <c r="Q37">
        <v>1483400</v>
      </c>
      <c r="R37">
        <v>1427400</v>
      </c>
      <c r="S37">
        <v>1300500</v>
      </c>
      <c r="T37">
        <v>1274000</v>
      </c>
    </row>
    <row r="38" spans="1:20" x14ac:dyDescent="0.2">
      <c r="A38" t="s">
        <v>131</v>
      </c>
      <c r="B38" t="s">
        <v>50</v>
      </c>
      <c r="C38" t="s">
        <v>70</v>
      </c>
      <c r="D38" t="s">
        <v>132</v>
      </c>
      <c r="E38" t="s">
        <v>52</v>
      </c>
      <c r="F38" t="s">
        <v>53</v>
      </c>
      <c r="G38" t="s">
        <v>54</v>
      </c>
      <c r="H38">
        <v>358400</v>
      </c>
      <c r="I38">
        <v>440200</v>
      </c>
      <c r="J38">
        <v>435000</v>
      </c>
      <c r="K38">
        <v>455800</v>
      </c>
      <c r="L38">
        <v>434500</v>
      </c>
      <c r="M38">
        <v>415000</v>
      </c>
      <c r="N38">
        <v>446900</v>
      </c>
      <c r="O38">
        <v>460900</v>
      </c>
      <c r="P38">
        <v>391700</v>
      </c>
      <c r="Q38">
        <v>320900</v>
      </c>
      <c r="R38">
        <v>284300</v>
      </c>
      <c r="S38">
        <v>294700</v>
      </c>
      <c r="T38">
        <v>281200</v>
      </c>
    </row>
    <row r="39" spans="1:20" x14ac:dyDescent="0.2">
      <c r="A39" t="s">
        <v>133</v>
      </c>
      <c r="B39" t="s">
        <v>50</v>
      </c>
      <c r="C39" t="s">
        <v>67</v>
      </c>
      <c r="D39" t="s">
        <v>134</v>
      </c>
      <c r="E39" t="s">
        <v>52</v>
      </c>
      <c r="F39" t="s">
        <v>53</v>
      </c>
      <c r="G39" t="s">
        <v>54</v>
      </c>
      <c r="H39">
        <v>1513300</v>
      </c>
      <c r="I39">
        <v>2058900</v>
      </c>
      <c r="J39">
        <v>2207400</v>
      </c>
      <c r="K39">
        <v>2110200</v>
      </c>
      <c r="L39">
        <v>2023500</v>
      </c>
      <c r="M39">
        <v>2087600</v>
      </c>
      <c r="N39">
        <v>1912000</v>
      </c>
      <c r="O39">
        <v>1840700</v>
      </c>
      <c r="P39">
        <v>1747100</v>
      </c>
      <c r="Q39">
        <v>1641400</v>
      </c>
      <c r="R39">
        <v>1608300</v>
      </c>
      <c r="S39">
        <v>1584100</v>
      </c>
      <c r="T39">
        <v>1644600</v>
      </c>
    </row>
    <row r="40" spans="1:20" x14ac:dyDescent="0.2">
      <c r="A40" t="s">
        <v>135</v>
      </c>
      <c r="B40" t="s">
        <v>50</v>
      </c>
      <c r="C40" t="s">
        <v>49</v>
      </c>
      <c r="D40" t="s">
        <v>136</v>
      </c>
      <c r="E40" t="s">
        <v>52</v>
      </c>
      <c r="F40" t="s">
        <v>53</v>
      </c>
      <c r="G40" t="s">
        <v>54</v>
      </c>
      <c r="H40">
        <v>1479600</v>
      </c>
      <c r="I40">
        <v>1915300</v>
      </c>
      <c r="J40">
        <v>1968700</v>
      </c>
      <c r="K40">
        <v>2102100</v>
      </c>
      <c r="L40">
        <v>1891000</v>
      </c>
      <c r="M40">
        <v>1903800</v>
      </c>
      <c r="N40">
        <v>1813900</v>
      </c>
      <c r="O40">
        <v>1662900</v>
      </c>
      <c r="P40">
        <v>1566400</v>
      </c>
      <c r="Q40">
        <v>1551500</v>
      </c>
      <c r="R40">
        <v>1433500</v>
      </c>
      <c r="S40">
        <v>1318800</v>
      </c>
      <c r="T40">
        <v>1391400</v>
      </c>
    </row>
    <row r="41" spans="1:20" x14ac:dyDescent="0.2">
      <c r="A41" t="s">
        <v>137</v>
      </c>
      <c r="B41" t="s">
        <v>50</v>
      </c>
      <c r="C41" t="s">
        <v>62</v>
      </c>
      <c r="D41" t="s">
        <v>138</v>
      </c>
      <c r="E41" t="s">
        <v>52</v>
      </c>
      <c r="F41" t="s">
        <v>53</v>
      </c>
      <c r="G41" t="s">
        <v>54</v>
      </c>
      <c r="H41">
        <v>1919400</v>
      </c>
      <c r="I41">
        <v>2685700</v>
      </c>
      <c r="J41">
        <v>2683500</v>
      </c>
      <c r="K41">
        <v>2585100</v>
      </c>
      <c r="L41">
        <v>2527600</v>
      </c>
      <c r="M41">
        <v>2477000</v>
      </c>
      <c r="N41">
        <v>2385300</v>
      </c>
      <c r="O41">
        <v>2327900</v>
      </c>
      <c r="P41">
        <v>2192700</v>
      </c>
      <c r="Q41">
        <v>2141800</v>
      </c>
      <c r="R41">
        <v>2092700</v>
      </c>
      <c r="S41">
        <v>1246200</v>
      </c>
      <c r="T41">
        <v>1594500</v>
      </c>
    </row>
    <row r="42" spans="1:20" x14ac:dyDescent="0.2">
      <c r="A42" t="s">
        <v>139</v>
      </c>
      <c r="B42" t="s">
        <v>50</v>
      </c>
      <c r="C42" t="s">
        <v>59</v>
      </c>
      <c r="D42" t="s">
        <v>140</v>
      </c>
      <c r="E42" t="s">
        <v>52</v>
      </c>
      <c r="F42" t="s">
        <v>53</v>
      </c>
      <c r="G42" t="s">
        <v>54</v>
      </c>
      <c r="H42">
        <v>28000</v>
      </c>
      <c r="I42">
        <v>40700</v>
      </c>
      <c r="J42">
        <v>48300</v>
      </c>
      <c r="K42">
        <v>44600</v>
      </c>
      <c r="L42">
        <v>39100</v>
      </c>
      <c r="M42">
        <v>41200</v>
      </c>
      <c r="N42">
        <v>41000</v>
      </c>
      <c r="O42">
        <v>57400</v>
      </c>
      <c r="P42">
        <v>57900</v>
      </c>
      <c r="Q42">
        <v>59300</v>
      </c>
      <c r="R42">
        <v>48800</v>
      </c>
      <c r="S42">
        <v>48900</v>
      </c>
      <c r="T42">
        <v>45500</v>
      </c>
    </row>
    <row r="43" spans="1:20" x14ac:dyDescent="0.2">
      <c r="A43" t="s">
        <v>141</v>
      </c>
      <c r="B43" t="s">
        <v>50</v>
      </c>
      <c r="C43" t="s">
        <v>56</v>
      </c>
      <c r="D43" t="s">
        <v>142</v>
      </c>
      <c r="E43" t="s">
        <v>52</v>
      </c>
      <c r="F43" t="s">
        <v>53</v>
      </c>
      <c r="G43" t="s">
        <v>54</v>
      </c>
      <c r="H43">
        <v>276500</v>
      </c>
      <c r="I43">
        <v>315300</v>
      </c>
      <c r="J43">
        <v>318100</v>
      </c>
      <c r="K43">
        <v>274900</v>
      </c>
      <c r="L43">
        <v>289000</v>
      </c>
      <c r="M43">
        <v>290200</v>
      </c>
      <c r="N43">
        <v>304400</v>
      </c>
      <c r="O43">
        <v>244300</v>
      </c>
      <c r="P43">
        <v>256100</v>
      </c>
      <c r="Q43">
        <v>262400</v>
      </c>
      <c r="R43">
        <v>245200</v>
      </c>
      <c r="S43">
        <v>255500</v>
      </c>
      <c r="T43">
        <v>276300</v>
      </c>
    </row>
    <row r="44" spans="1:20" x14ac:dyDescent="0.2">
      <c r="A44" t="s">
        <v>143</v>
      </c>
      <c r="B44" t="s">
        <v>56</v>
      </c>
      <c r="C44" t="s">
        <v>67</v>
      </c>
      <c r="D44" t="s">
        <v>144</v>
      </c>
      <c r="E44" t="s">
        <v>52</v>
      </c>
      <c r="F44" t="s">
        <v>53</v>
      </c>
      <c r="G44" t="s">
        <v>54</v>
      </c>
      <c r="H44">
        <v>743800</v>
      </c>
      <c r="I44">
        <v>935900</v>
      </c>
      <c r="J44">
        <v>879600</v>
      </c>
      <c r="K44">
        <v>827900</v>
      </c>
      <c r="L44">
        <v>815000</v>
      </c>
      <c r="M44">
        <v>862800</v>
      </c>
      <c r="N44">
        <v>824600</v>
      </c>
      <c r="O44">
        <v>773900</v>
      </c>
      <c r="P44">
        <v>848800</v>
      </c>
      <c r="Q44">
        <v>781100</v>
      </c>
      <c r="R44">
        <v>804100</v>
      </c>
      <c r="S44">
        <v>783500</v>
      </c>
      <c r="T44">
        <v>782400</v>
      </c>
    </row>
    <row r="45" spans="1:20" x14ac:dyDescent="0.2">
      <c r="A45" t="s">
        <v>145</v>
      </c>
      <c r="B45" t="s">
        <v>56</v>
      </c>
      <c r="C45" t="s">
        <v>49</v>
      </c>
      <c r="D45" t="s">
        <v>146</v>
      </c>
      <c r="E45" t="s">
        <v>52</v>
      </c>
      <c r="F45" t="s">
        <v>53</v>
      </c>
      <c r="G45" t="s">
        <v>54</v>
      </c>
      <c r="H45">
        <v>1010000</v>
      </c>
      <c r="I45">
        <v>1170300</v>
      </c>
      <c r="J45">
        <v>1273200</v>
      </c>
      <c r="K45">
        <v>1237600</v>
      </c>
      <c r="L45">
        <v>1311800</v>
      </c>
      <c r="M45">
        <v>1174400</v>
      </c>
      <c r="N45">
        <v>1137700</v>
      </c>
      <c r="O45">
        <v>1008100</v>
      </c>
      <c r="P45">
        <v>986600</v>
      </c>
      <c r="Q45">
        <v>1070100</v>
      </c>
      <c r="R45">
        <v>1096100</v>
      </c>
      <c r="S45">
        <v>1060600</v>
      </c>
      <c r="T45">
        <v>1234800</v>
      </c>
    </row>
    <row r="46" spans="1:20" x14ac:dyDescent="0.2">
      <c r="A46" t="s">
        <v>147</v>
      </c>
      <c r="B46" t="s">
        <v>56</v>
      </c>
      <c r="C46" t="s">
        <v>62</v>
      </c>
      <c r="D46" t="s">
        <v>148</v>
      </c>
      <c r="E46" t="s">
        <v>52</v>
      </c>
      <c r="F46" t="s">
        <v>53</v>
      </c>
      <c r="G46" t="s">
        <v>54</v>
      </c>
      <c r="H46">
        <v>129100</v>
      </c>
      <c r="I46">
        <v>166100</v>
      </c>
      <c r="J46">
        <v>161400</v>
      </c>
      <c r="K46">
        <v>132000</v>
      </c>
      <c r="L46">
        <v>129400</v>
      </c>
      <c r="M46">
        <v>131100</v>
      </c>
      <c r="N46">
        <v>116600</v>
      </c>
      <c r="O46">
        <v>120100</v>
      </c>
      <c r="P46">
        <v>122600</v>
      </c>
      <c r="Q46">
        <v>126200</v>
      </c>
      <c r="R46">
        <v>117000</v>
      </c>
      <c r="S46">
        <v>223900</v>
      </c>
      <c r="T46">
        <v>210200</v>
      </c>
    </row>
    <row r="47" spans="1:20" x14ac:dyDescent="0.2">
      <c r="A47" t="s">
        <v>149</v>
      </c>
      <c r="B47" t="s">
        <v>56</v>
      </c>
      <c r="C47" t="s">
        <v>59</v>
      </c>
      <c r="D47" t="s">
        <v>150</v>
      </c>
      <c r="E47" t="s">
        <v>52</v>
      </c>
      <c r="F47" t="s">
        <v>53</v>
      </c>
      <c r="G47" t="s">
        <v>54</v>
      </c>
      <c r="H47">
        <v>15600</v>
      </c>
      <c r="I47">
        <v>18500</v>
      </c>
      <c r="J47">
        <v>19200</v>
      </c>
      <c r="K47">
        <v>18400</v>
      </c>
      <c r="L47">
        <v>19800</v>
      </c>
      <c r="M47">
        <v>23300</v>
      </c>
      <c r="N47">
        <v>19800</v>
      </c>
      <c r="O47">
        <v>17500</v>
      </c>
      <c r="P47">
        <v>15700</v>
      </c>
      <c r="Q47">
        <v>18100</v>
      </c>
      <c r="R47">
        <v>20700</v>
      </c>
      <c r="S47">
        <v>24300</v>
      </c>
      <c r="T47">
        <v>26700</v>
      </c>
    </row>
    <row r="48" spans="1:20" x14ac:dyDescent="0.2">
      <c r="A48" t="s">
        <v>151</v>
      </c>
      <c r="B48" t="s">
        <v>56</v>
      </c>
      <c r="C48" t="s">
        <v>56</v>
      </c>
      <c r="D48" t="s">
        <v>152</v>
      </c>
      <c r="E48" t="s">
        <v>52</v>
      </c>
      <c r="F48" t="s">
        <v>53</v>
      </c>
      <c r="G48" t="s">
        <v>54</v>
      </c>
      <c r="H48">
        <v>239900</v>
      </c>
      <c r="I48">
        <v>341300</v>
      </c>
      <c r="J48">
        <v>331700</v>
      </c>
      <c r="K48">
        <v>318300</v>
      </c>
      <c r="L48">
        <v>281300</v>
      </c>
      <c r="M48">
        <v>265700</v>
      </c>
      <c r="N48">
        <v>243000</v>
      </c>
      <c r="O48">
        <v>217500</v>
      </c>
      <c r="P48">
        <v>159700</v>
      </c>
      <c r="Q48">
        <v>164800</v>
      </c>
      <c r="R48">
        <v>148500</v>
      </c>
      <c r="S48">
        <v>140000</v>
      </c>
      <c r="T48">
        <v>145800</v>
      </c>
    </row>
    <row r="49" spans="1:20" x14ac:dyDescent="0.2">
      <c r="A49" t="s">
        <v>153</v>
      </c>
      <c r="B49" t="s">
        <v>56</v>
      </c>
      <c r="C49" t="s">
        <v>70</v>
      </c>
      <c r="D49" t="s">
        <v>154</v>
      </c>
      <c r="E49" t="s">
        <v>52</v>
      </c>
      <c r="F49" t="s">
        <v>53</v>
      </c>
      <c r="G49" t="s">
        <v>54</v>
      </c>
      <c r="H49">
        <v>592900</v>
      </c>
      <c r="I49">
        <v>710700</v>
      </c>
      <c r="J49">
        <v>671300</v>
      </c>
      <c r="K49">
        <v>597800</v>
      </c>
      <c r="L49">
        <v>668100</v>
      </c>
      <c r="M49">
        <v>657800</v>
      </c>
      <c r="N49">
        <v>577200</v>
      </c>
      <c r="O49">
        <v>528800</v>
      </c>
      <c r="P49">
        <v>570900</v>
      </c>
      <c r="Q49">
        <v>568000</v>
      </c>
      <c r="R49">
        <v>453500</v>
      </c>
      <c r="S49">
        <v>514800</v>
      </c>
      <c r="T49">
        <v>522900</v>
      </c>
    </row>
    <row r="50" spans="1:20" x14ac:dyDescent="0.2">
      <c r="A50" t="s">
        <v>155</v>
      </c>
      <c r="B50" t="s">
        <v>56</v>
      </c>
      <c r="C50" t="s">
        <v>50</v>
      </c>
      <c r="D50" t="s">
        <v>156</v>
      </c>
      <c r="E50" t="s">
        <v>52</v>
      </c>
      <c r="F50" t="s">
        <v>53</v>
      </c>
      <c r="G50" t="s">
        <v>54</v>
      </c>
      <c r="H50">
        <v>20700</v>
      </c>
      <c r="I50">
        <v>35700</v>
      </c>
      <c r="J50">
        <v>35800</v>
      </c>
      <c r="K50">
        <v>26000</v>
      </c>
      <c r="L50">
        <v>32100</v>
      </c>
      <c r="M50">
        <v>33900</v>
      </c>
      <c r="N50">
        <v>29700</v>
      </c>
      <c r="O50">
        <v>38200</v>
      </c>
      <c r="P50">
        <v>40400</v>
      </c>
      <c r="Q50">
        <v>52100</v>
      </c>
      <c r="R50">
        <v>51900</v>
      </c>
      <c r="S50">
        <v>49400</v>
      </c>
      <c r="T50">
        <v>52000</v>
      </c>
    </row>
    <row r="51" spans="1:20" x14ac:dyDescent="0.2">
      <c r="A51" t="s">
        <v>157</v>
      </c>
      <c r="D51" t="s">
        <v>158</v>
      </c>
      <c r="E51" t="s">
        <v>158</v>
      </c>
      <c r="F51" t="s">
        <v>158</v>
      </c>
      <c r="H51" t="s">
        <v>158</v>
      </c>
      <c r="I51" t="s">
        <v>158</v>
      </c>
      <c r="J51" t="s">
        <v>158</v>
      </c>
      <c r="K51" t="s">
        <v>158</v>
      </c>
      <c r="L51" t="s">
        <v>158</v>
      </c>
      <c r="M51" t="s">
        <v>158</v>
      </c>
      <c r="N51" t="s">
        <v>158</v>
      </c>
      <c r="O51" t="s">
        <v>158</v>
      </c>
      <c r="P51" t="s">
        <v>158</v>
      </c>
      <c r="Q51" t="s">
        <v>158</v>
      </c>
      <c r="R51" t="s">
        <v>158</v>
      </c>
      <c r="S51" t="s">
        <v>158</v>
      </c>
      <c r="T51" t="s">
        <v>158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23"/>
  <sheetViews>
    <sheetView topLeftCell="A54" workbookViewId="0">
      <selection activeCell="A58" sqref="A58"/>
    </sheetView>
  </sheetViews>
  <sheetFormatPr baseColWidth="10" defaultColWidth="8.83203125" defaultRowHeight="15" x14ac:dyDescent="0.2"/>
  <cols>
    <col min="1" max="1" width="56.33203125" customWidth="1"/>
    <col min="2" max="2" width="15.83203125" customWidth="1"/>
    <col min="3" max="31" width="9.1640625" bestFit="1" customWidth="1"/>
  </cols>
  <sheetData>
    <row r="1" spans="1:3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1" t="str">
        <f>"Description"</f>
        <v>Description</v>
      </c>
      <c r="B2" s="1" t="str">
        <f>"Ticker"</f>
        <v>Ticker</v>
      </c>
      <c r="C2" s="1" t="str">
        <f>"Field ID"</f>
        <v>Field ID</v>
      </c>
      <c r="D2" s="1" t="str">
        <f>"Field Mnemonic"</f>
        <v>Field Mnemonic</v>
      </c>
      <c r="E2" s="1" t="str">
        <f>"Data State"</f>
        <v>Data State</v>
      </c>
      <c r="F2" s="1" t="str">
        <f>ReferenceData!$C$122</f>
        <v>2023</v>
      </c>
      <c r="G2" s="1" t="str">
        <f>ReferenceData!$D$122</f>
        <v>2022</v>
      </c>
      <c r="H2" s="1" t="str">
        <f>ReferenceData!$E$122</f>
        <v>2021</v>
      </c>
      <c r="I2" s="1" t="str">
        <f>ReferenceData!$F$122</f>
        <v>2020</v>
      </c>
      <c r="J2" s="1" t="str">
        <f>ReferenceData!$G$122</f>
        <v>2019</v>
      </c>
      <c r="K2" s="1" t="str">
        <f>ReferenceData!$H$122</f>
        <v>2018</v>
      </c>
      <c r="L2" s="1" t="str">
        <f>ReferenceData!$I$122</f>
        <v>2017</v>
      </c>
      <c r="M2" s="1" t="str">
        <f>ReferenceData!$J$122</f>
        <v>2016</v>
      </c>
      <c r="N2" s="1" t="str">
        <f>ReferenceData!$K$122</f>
        <v>2015</v>
      </c>
      <c r="O2" s="1" t="str">
        <f>ReferenceData!$L$122</f>
        <v>2014</v>
      </c>
      <c r="P2" s="1" t="str">
        <f>ReferenceData!$M$122</f>
        <v>2013</v>
      </c>
      <c r="Q2" s="1" t="str">
        <f>ReferenceData!$N$122</f>
        <v>2012</v>
      </c>
      <c r="R2" s="1" t="str">
        <f>ReferenceData!$O$122</f>
        <v>2011</v>
      </c>
      <c r="S2" t="str">
        <f>$C$122</f>
        <v>2023</v>
      </c>
      <c r="T2" t="str">
        <f>$D$122</f>
        <v>2022</v>
      </c>
      <c r="U2" t="str">
        <f>$E$122</f>
        <v>2021</v>
      </c>
      <c r="V2" t="str">
        <f>$F$122</f>
        <v>2020</v>
      </c>
      <c r="W2" t="str">
        <f>$G$122</f>
        <v>2019</v>
      </c>
      <c r="X2" t="str">
        <f>$H$122</f>
        <v>2018</v>
      </c>
      <c r="Y2" t="str">
        <f>$I$122</f>
        <v>2017</v>
      </c>
      <c r="Z2" t="str">
        <f>$J$122</f>
        <v>2016</v>
      </c>
      <c r="AA2" t="str">
        <f>$K$122</f>
        <v>2015</v>
      </c>
      <c r="AB2" t="str">
        <f>$L$122</f>
        <v>2014</v>
      </c>
      <c r="AC2" t="str">
        <f>$M$122</f>
        <v>2013</v>
      </c>
      <c r="AD2" t="str">
        <f>$N$122</f>
        <v>2012</v>
      </c>
      <c r="AE2" t="str">
        <f>$O$122</f>
        <v>2011</v>
      </c>
    </row>
    <row r="3" spans="1:31" x14ac:dyDescent="0.2">
      <c r="A3" t="str">
        <f>"CTS Container Volume by Lane (TEUs)"</f>
        <v>CTS Container Volume by Lane (TEUs)</v>
      </c>
      <c r="B3" t="str">
        <f>""</f>
        <v/>
      </c>
      <c r="E3" t="str">
        <f>"Sum"</f>
        <v>Sum</v>
      </c>
      <c r="F3">
        <f ca="1">IF(ISERROR(IF(SUM($F$4:$F$53) = 0, "", SUM($F$4:$F$53))), "", (IF(SUM($F$4:$F$53) = 0, "", SUM($F$4:$F$53))))</f>
        <v>129451400</v>
      </c>
      <c r="G3">
        <f ca="1">IF(ISERROR(IF(SUM($G$4:$G$53) = 0, "", SUM($G$4:$G$53))), "", (IF(SUM($G$4:$G$53) = 0, "", SUM($G$4:$G$53))))</f>
        <v>173489900</v>
      </c>
      <c r="H3">
        <f ca="1">IF(ISERROR(IF(SUM($H$4:$H$53) = 0, "", SUM($H$4:$H$53))), "", (IF(SUM($H$4:$H$53) = 0, "", SUM($H$4:$H$53))))</f>
        <v>180780500</v>
      </c>
      <c r="I3">
        <f ca="1">IF(ISERROR(IF(SUM($I$4:$I$53) = 0, "", SUM($I$4:$I$53))), "", (IF(SUM($I$4:$I$53) = 0, "", SUM($I$4:$I$53))))</f>
        <v>168079800</v>
      </c>
      <c r="J3">
        <f ca="1">IF(ISERROR(IF(SUM($J$4:$J$53) = 0, "", SUM($J$4:$J$53))), "", (IF(SUM($J$4:$J$53) = 0, "", SUM($J$4:$J$53))))</f>
        <v>169048200</v>
      </c>
      <c r="K3">
        <f ca="1">IF(ISERROR(IF(SUM($K$4:$K$53) = 0, "", SUM($K$4:$K$53))), "", (IF(SUM($K$4:$K$53) = 0, "", SUM($K$4:$K$53))))</f>
        <v>167596000</v>
      </c>
      <c r="L3">
        <f ca="1">IF(ISERROR(IF(SUM($L$4:$L$53) = 0, "", SUM($L$4:$L$53))), "", (IF(SUM($L$4:$L$53) = 0, "", SUM($L$4:$L$53))))</f>
        <v>162116100</v>
      </c>
      <c r="M3">
        <f ca="1">IF(ISERROR(IF(SUM($M$4:$M$53) = 0, "", SUM($M$4:$M$53))), "", (IF(SUM($M$4:$M$53) = 0, "", SUM($M$4:$M$53))))</f>
        <v>154608200</v>
      </c>
      <c r="N3">
        <f ca="1">IF(ISERROR(IF(SUM($N$4:$N$53) = 0, "", SUM($N$4:$N$53))), "", (IF(SUM($N$4:$N$53) = 0, "", SUM($N$4:$N$53))))</f>
        <v>148567100</v>
      </c>
      <c r="O3">
        <f ca="1">IF(ISERROR(IF(SUM($O$4:$O$53) = 0, "", SUM($O$4:$O$53))), "", (IF(SUM($O$4:$O$53) = 0, "", SUM($O$4:$O$53))))</f>
        <v>146322000</v>
      </c>
      <c r="P3">
        <f ca="1">IF(ISERROR(IF(SUM($P$4:$P$53) = 0, "", SUM($P$4:$P$53))), "", (IF(SUM($P$4:$P$53) = 0, "", SUM($P$4:$P$53))))</f>
        <v>140928800</v>
      </c>
      <c r="Q3">
        <f ca="1">IF(ISERROR(IF(SUM($Q$4:$Q$53) = 0, "", SUM($Q$4:$Q$53))), "", (IF(SUM($Q$4:$Q$53) = 0, "", SUM($Q$4:$Q$53))))</f>
        <v>133821100</v>
      </c>
      <c r="R3">
        <f ca="1">IF(ISERROR(IF(SUM($R$4:$R$53) = 0, "", SUM($R$4:$R$53))), "", (IF(SUM($R$4:$R$53) = 0, "", SUM($R$4:$R$53))))</f>
        <v>130660400</v>
      </c>
      <c r="S3">
        <f>129451400</f>
        <v>129451400</v>
      </c>
      <c r="T3">
        <f>173489900</f>
        <v>173489900</v>
      </c>
      <c r="U3">
        <f>180780500</f>
        <v>180780500</v>
      </c>
      <c r="V3">
        <f>168079800</f>
        <v>168079800</v>
      </c>
      <c r="W3">
        <f>169048200</f>
        <v>169048200</v>
      </c>
      <c r="X3">
        <f>167596000</f>
        <v>167596000</v>
      </c>
      <c r="Y3">
        <f>162116100</f>
        <v>162116100</v>
      </c>
      <c r="Z3">
        <f>154608200</f>
        <v>154608200</v>
      </c>
      <c r="AA3">
        <f>148567100</f>
        <v>148567100</v>
      </c>
      <c r="AB3">
        <f>146322000</f>
        <v>146322000</v>
      </c>
      <c r="AC3">
        <f>140928800</f>
        <v>140928800</v>
      </c>
      <c r="AD3">
        <f>133821100</f>
        <v>133821100</v>
      </c>
      <c r="AE3">
        <f>130660400</f>
        <v>130660400</v>
      </c>
    </row>
    <row r="4" spans="1:31" x14ac:dyDescent="0.2">
      <c r="A4" t="str">
        <f>"    Asia - South &amp; Central America"</f>
        <v xml:space="preserve">    Asia - South &amp; Central America</v>
      </c>
      <c r="B4" t="str">
        <f>"CSHVASCA Index"</f>
        <v>CSHVASCA Index</v>
      </c>
      <c r="C4" t="str">
        <f t="shared" ref="C4:C35" si="0">"PX385"</f>
        <v>PX385</v>
      </c>
      <c r="D4" t="str">
        <f t="shared" ref="D4:D35" si="1">"INTERVAL_SUM"</f>
        <v>INTERVAL_SUM</v>
      </c>
      <c r="E4" t="str">
        <f t="shared" ref="E4:E35" si="2">"Dynamic"</f>
        <v>Dynamic</v>
      </c>
      <c r="F4">
        <f ca="1">IF(AND(ISNUMBER($F$73),$B$69=1),$F$73,HLOOKUP(INDIRECT(ADDRESS(2,COLUMN())),OFFSET($S$2,0,0,ROW()-1,13),ROW()-1,FALSE))</f>
        <v>3471000</v>
      </c>
      <c r="G4">
        <f ca="1">IF(AND(ISNUMBER($G$73),$B$69=1),$G$73,HLOOKUP(INDIRECT(ADDRESS(2,COLUMN())),OFFSET($S$2,0,0,ROW()-1,13),ROW()-1,FALSE))</f>
        <v>4101300</v>
      </c>
      <c r="H4">
        <f ca="1">IF(AND(ISNUMBER($H$73),$B$69=1),$H$73,HLOOKUP(INDIRECT(ADDRESS(2,COLUMN())),OFFSET($S$2,0,0,ROW()-1,13),ROW()-1,FALSE))</f>
        <v>4478500</v>
      </c>
      <c r="I4">
        <f ca="1">IF(AND(ISNUMBER($I$73),$B$69=1),$I$73,HLOOKUP(INDIRECT(ADDRESS(2,COLUMN())),OFFSET($S$2,0,0,ROW()-1,13),ROW()-1,FALSE))</f>
        <v>3686400</v>
      </c>
      <c r="J4">
        <f ca="1">IF(AND(ISNUMBER($J$73),$B$69=1),$J$73,HLOOKUP(INDIRECT(ADDRESS(2,COLUMN())),OFFSET($S$2,0,0,ROW()-1,13),ROW()-1,FALSE))</f>
        <v>3909300</v>
      </c>
      <c r="K4">
        <f ca="1">IF(AND(ISNUMBER($K$73),$B$69=1),$K$73,HLOOKUP(INDIRECT(ADDRESS(2,COLUMN())),OFFSET($S$2,0,0,ROW()-1,13),ROW()-1,FALSE))</f>
        <v>3881700</v>
      </c>
      <c r="L4">
        <f ca="1">IF(AND(ISNUMBER($L$73),$B$69=1),$L$73,HLOOKUP(INDIRECT(ADDRESS(2,COLUMN())),OFFSET($S$2,0,0,ROW()-1,13),ROW()-1,FALSE))</f>
        <v>3628300</v>
      </c>
      <c r="M4">
        <f ca="1">IF(AND(ISNUMBER($M$73),$B$69=1),$M$73,HLOOKUP(INDIRECT(ADDRESS(2,COLUMN())),OFFSET($S$2,0,0,ROW()-1,13),ROW()-1,FALSE))</f>
        <v>3362500</v>
      </c>
      <c r="N4">
        <f ca="1">IF(AND(ISNUMBER($N$73),$B$69=1),$N$73,HLOOKUP(INDIRECT(ADDRESS(2,COLUMN())),OFFSET($S$2,0,0,ROW()-1,13),ROW()-1,FALSE))</f>
        <v>3223400</v>
      </c>
      <c r="O4">
        <f ca="1">IF(AND(ISNUMBER($O$73),$B$69=1),$O$73,HLOOKUP(INDIRECT(ADDRESS(2,COLUMN())),OFFSET($S$2,0,0,ROW()-1,13),ROW()-1,FALSE))</f>
        <v>3236400</v>
      </c>
      <c r="P4">
        <f ca="1">IF(AND(ISNUMBER($P$73),$B$69=1),$P$73,HLOOKUP(INDIRECT(ADDRESS(2,COLUMN())),OFFSET($S$2,0,0,ROW()-1,13),ROW()-1,FALSE))</f>
        <v>3512800</v>
      </c>
      <c r="Q4">
        <f ca="1">IF(AND(ISNUMBER($Q$73),$B$69=1),$Q$73,HLOOKUP(INDIRECT(ADDRESS(2,COLUMN())),OFFSET($S$2,0,0,ROW()-1,13),ROW()-1,FALSE))</f>
        <v>3339600</v>
      </c>
      <c r="R4">
        <f ca="1">IF(AND(ISNUMBER($R$73),$B$69=1),$R$73,HLOOKUP(INDIRECT(ADDRESS(2,COLUMN())),OFFSET($S$2,0,0,ROW()-1,13),ROW()-1,FALSE))</f>
        <v>3315400</v>
      </c>
      <c r="S4">
        <f>3471000</f>
        <v>3471000</v>
      </c>
      <c r="T4">
        <f>4101300</f>
        <v>4101300</v>
      </c>
      <c r="U4">
        <f>4478500</f>
        <v>4478500</v>
      </c>
      <c r="V4">
        <f>3686400</f>
        <v>3686400</v>
      </c>
      <c r="W4">
        <f>3909300</f>
        <v>3909300</v>
      </c>
      <c r="X4">
        <f>3881700</f>
        <v>3881700</v>
      </c>
      <c r="Y4">
        <f>3628300</f>
        <v>3628300</v>
      </c>
      <c r="Z4">
        <f>3362500</f>
        <v>3362500</v>
      </c>
      <c r="AA4">
        <f>3223400</f>
        <v>3223400</v>
      </c>
      <c r="AB4">
        <f>3236400</f>
        <v>3236400</v>
      </c>
      <c r="AC4">
        <f>3512800</f>
        <v>3512800</v>
      </c>
      <c r="AD4">
        <f>3339600</f>
        <v>3339600</v>
      </c>
      <c r="AE4">
        <f>3315400</f>
        <v>3315400</v>
      </c>
    </row>
    <row r="5" spans="1:31" x14ac:dyDescent="0.2">
      <c r="A5" t="str">
        <f>"    Asia - Sub Saharan Africa"</f>
        <v xml:space="preserve">    Asia - Sub Saharan Africa</v>
      </c>
      <c r="B5" t="str">
        <f>"CSHVASSA Index"</f>
        <v>CSHVASSA Index</v>
      </c>
      <c r="C5" t="str">
        <f t="shared" si="0"/>
        <v>PX385</v>
      </c>
      <c r="D5" t="str">
        <f t="shared" si="1"/>
        <v>INTERVAL_SUM</v>
      </c>
      <c r="E5" t="str">
        <f t="shared" si="2"/>
        <v>Dynamic</v>
      </c>
      <c r="F5">
        <f ca="1">IF(AND(ISNUMBER($F$74),$B$69=1),$F$74,HLOOKUP(INDIRECT(ADDRESS(2,COLUMN())),OFFSET($S$2,0,0,ROW()-1,13),ROW()-1,FALSE))</f>
        <v>2721800</v>
      </c>
      <c r="G5">
        <f ca="1">IF(AND(ISNUMBER($G$74),$B$69=1),$G$74,HLOOKUP(INDIRECT(ADDRESS(2,COLUMN())),OFFSET($S$2,0,0,ROW()-1,13),ROW()-1,FALSE))</f>
        <v>3034900</v>
      </c>
      <c r="H5">
        <f ca="1">IF(AND(ISNUMBER($H$74),$B$69=1),$H$74,HLOOKUP(INDIRECT(ADDRESS(2,COLUMN())),OFFSET($S$2,0,0,ROW()-1,13),ROW()-1,FALSE))</f>
        <v>3083600</v>
      </c>
      <c r="I5">
        <f ca="1">IF(AND(ISNUMBER($I$74),$B$69=1),$I$74,HLOOKUP(INDIRECT(ADDRESS(2,COLUMN())),OFFSET($S$2,0,0,ROW()-1,13),ROW()-1,FALSE))</f>
        <v>3154800</v>
      </c>
      <c r="J5">
        <f ca="1">IF(AND(ISNUMBER($J$74),$B$69=1),$J$74,HLOOKUP(INDIRECT(ADDRESS(2,COLUMN())),OFFSET($S$2,0,0,ROW()-1,13),ROW()-1,FALSE))</f>
        <v>3209600</v>
      </c>
      <c r="K5">
        <f ca="1">IF(AND(ISNUMBER($K$74),$B$69=1),$K$74,HLOOKUP(INDIRECT(ADDRESS(2,COLUMN())),OFFSET($S$2,0,0,ROW()-1,13),ROW()-1,FALSE))</f>
        <v>3026200</v>
      </c>
      <c r="L5">
        <f ca="1">IF(AND(ISNUMBER($L$74),$B$69=1),$L$74,HLOOKUP(INDIRECT(ADDRESS(2,COLUMN())),OFFSET($S$2,0,0,ROW()-1,13),ROW()-1,FALSE))</f>
        <v>2877900</v>
      </c>
      <c r="M5">
        <f ca="1">IF(AND(ISNUMBER($M$74),$B$69=1),$M$74,HLOOKUP(INDIRECT(ADDRESS(2,COLUMN())),OFFSET($S$2,0,0,ROW()-1,13),ROW()-1,FALSE))</f>
        <v>2643900</v>
      </c>
      <c r="N5">
        <f ca="1">IF(AND(ISNUMBER($N$74),$B$69=1),$N$74,HLOOKUP(INDIRECT(ADDRESS(2,COLUMN())),OFFSET($S$2,0,0,ROW()-1,13),ROW()-1,FALSE))</f>
        <v>2917200</v>
      </c>
      <c r="O5">
        <f ca="1">IF(AND(ISNUMBER($O$74),$B$69=1),$O$74,HLOOKUP(INDIRECT(ADDRESS(2,COLUMN())),OFFSET($S$2,0,0,ROW()-1,13),ROW()-1,FALSE))</f>
        <v>3045700</v>
      </c>
      <c r="P5">
        <f ca="1">IF(AND(ISNUMBER($P$74),$B$69=1),$P$74,HLOOKUP(INDIRECT(ADDRESS(2,COLUMN())),OFFSET($S$2,0,0,ROW()-1,13),ROW()-1,FALSE))</f>
        <v>2903500</v>
      </c>
      <c r="Q5">
        <f ca="1">IF(AND(ISNUMBER($Q$74),$B$69=1),$Q$74,HLOOKUP(INDIRECT(ADDRESS(2,COLUMN())),OFFSET($S$2,0,0,ROW()-1,13),ROW()-1,FALSE))</f>
        <v>2579400</v>
      </c>
      <c r="R5">
        <f ca="1">IF(AND(ISNUMBER($R$74),$B$69=1),$R$74,HLOOKUP(INDIRECT(ADDRESS(2,COLUMN())),OFFSET($S$2,0,0,ROW()-1,13),ROW()-1,FALSE))</f>
        <v>2520500</v>
      </c>
      <c r="S5">
        <f>2721800</f>
        <v>2721800</v>
      </c>
      <c r="T5">
        <f>3034900</f>
        <v>3034900</v>
      </c>
      <c r="U5">
        <f>3083600</f>
        <v>3083600</v>
      </c>
      <c r="V5">
        <f>3154800</f>
        <v>3154800</v>
      </c>
      <c r="W5">
        <f>3209600</f>
        <v>3209600</v>
      </c>
      <c r="X5">
        <f>3026200</f>
        <v>3026200</v>
      </c>
      <c r="Y5">
        <f>2877900</f>
        <v>2877900</v>
      </c>
      <c r="Z5">
        <f>2643900</f>
        <v>2643900</v>
      </c>
      <c r="AA5">
        <f>2917200</f>
        <v>2917200</v>
      </c>
      <c r="AB5">
        <f>3045700</f>
        <v>3045700</v>
      </c>
      <c r="AC5">
        <f>2903500</f>
        <v>2903500</v>
      </c>
      <c r="AD5">
        <f>2579400</f>
        <v>2579400</v>
      </c>
      <c r="AE5">
        <f>2520500</f>
        <v>2520500</v>
      </c>
    </row>
    <row r="6" spans="1:31" x14ac:dyDescent="0.2">
      <c r="A6" t="str">
        <f>"    Asia - Australasia &amp; Oceania"</f>
        <v xml:space="preserve">    Asia - Australasia &amp; Oceania</v>
      </c>
      <c r="B6" t="str">
        <f>"CSHVAAUO Index"</f>
        <v>CSHVAAUO Index</v>
      </c>
      <c r="C6" t="str">
        <f t="shared" si="0"/>
        <v>PX385</v>
      </c>
      <c r="D6" t="str">
        <f t="shared" si="1"/>
        <v>INTERVAL_SUM</v>
      </c>
      <c r="E6" t="str">
        <f t="shared" si="2"/>
        <v>Dynamic</v>
      </c>
      <c r="F6">
        <f ca="1">IF(AND(ISNUMBER($F$75),$B$69=1),$F$75,HLOOKUP(INDIRECT(ADDRESS(2,COLUMN())),OFFSET($S$2,0,0,ROW()-1,13),ROW()-1,FALSE))</f>
        <v>1940000</v>
      </c>
      <c r="G6">
        <f ca="1">IF(AND(ISNUMBER($G$75),$B$69=1),$G$75,HLOOKUP(INDIRECT(ADDRESS(2,COLUMN())),OFFSET($S$2,0,0,ROW()-1,13),ROW()-1,FALSE))</f>
        <v>2606700</v>
      </c>
      <c r="H6">
        <f ca="1">IF(AND(ISNUMBER($H$75),$B$69=1),$H$75,HLOOKUP(INDIRECT(ADDRESS(2,COLUMN())),OFFSET($S$2,0,0,ROW()-1,13),ROW()-1,FALSE))</f>
        <v>2799700</v>
      </c>
      <c r="I6">
        <f ca="1">IF(AND(ISNUMBER($I$75),$B$69=1),$I$75,HLOOKUP(INDIRECT(ADDRESS(2,COLUMN())),OFFSET($S$2,0,0,ROW()-1,13),ROW()-1,FALSE))</f>
        <v>2840200</v>
      </c>
      <c r="J6">
        <f ca="1">IF(AND(ISNUMBER($J$75),$B$69=1),$J$75,HLOOKUP(INDIRECT(ADDRESS(2,COLUMN())),OFFSET($S$2,0,0,ROW()-1,13),ROW()-1,FALSE))</f>
        <v>2626700</v>
      </c>
      <c r="K6">
        <f ca="1">IF(AND(ISNUMBER($K$75),$B$69=1),$K$75,HLOOKUP(INDIRECT(ADDRESS(2,COLUMN())),OFFSET($S$2,0,0,ROW()-1,13),ROW()-1,FALSE))</f>
        <v>2786900</v>
      </c>
      <c r="L6">
        <f ca="1">IF(AND(ISNUMBER($L$75),$B$69=1),$L$75,HLOOKUP(INDIRECT(ADDRESS(2,COLUMN())),OFFSET($S$2,0,0,ROW()-1,13),ROW()-1,FALSE))</f>
        <v>2668900</v>
      </c>
      <c r="M6">
        <f ca="1">IF(AND(ISNUMBER($M$75),$B$69=1),$M$75,HLOOKUP(INDIRECT(ADDRESS(2,COLUMN())),OFFSET($S$2,0,0,ROW()-1,13),ROW()-1,FALSE))</f>
        <v>2594200</v>
      </c>
      <c r="N6">
        <f ca="1">IF(AND(ISNUMBER($N$75),$B$69=1),$N$75,HLOOKUP(INDIRECT(ADDRESS(2,COLUMN())),OFFSET($S$2,0,0,ROW()-1,13),ROW()-1,FALSE))</f>
        <v>2421500</v>
      </c>
      <c r="O6">
        <f ca="1">IF(AND(ISNUMBER($O$75),$B$69=1),$O$75,HLOOKUP(INDIRECT(ADDRESS(2,COLUMN())),OFFSET($S$2,0,0,ROW()-1,13),ROW()-1,FALSE))</f>
        <v>2362300</v>
      </c>
      <c r="P6">
        <f ca="1">IF(AND(ISNUMBER($P$75),$B$69=1),$P$75,HLOOKUP(INDIRECT(ADDRESS(2,COLUMN())),OFFSET($S$2,0,0,ROW()-1,13),ROW()-1,FALSE))</f>
        <v>2196900</v>
      </c>
      <c r="Q6">
        <f ca="1">IF(AND(ISNUMBER($Q$75),$B$69=1),$Q$75,HLOOKUP(INDIRECT(ADDRESS(2,COLUMN())),OFFSET($S$2,0,0,ROW()-1,13),ROW()-1,FALSE))</f>
        <v>2121400</v>
      </c>
      <c r="R6">
        <f ca="1">IF(AND(ISNUMBER($R$75),$B$69=1),$R$75,HLOOKUP(INDIRECT(ADDRESS(2,COLUMN())),OFFSET($S$2,0,0,ROW()-1,13),ROW()-1,FALSE))</f>
        <v>2045600</v>
      </c>
      <c r="S6">
        <f>1940000</f>
        <v>1940000</v>
      </c>
      <c r="T6">
        <f>2606700</f>
        <v>2606700</v>
      </c>
      <c r="U6">
        <f>2799700</f>
        <v>2799700</v>
      </c>
      <c r="V6">
        <f>2840200</f>
        <v>2840200</v>
      </c>
      <c r="W6">
        <f>2626700</f>
        <v>2626700</v>
      </c>
      <c r="X6">
        <f>2786900</f>
        <v>2786900</v>
      </c>
      <c r="Y6">
        <f>2668900</f>
        <v>2668900</v>
      </c>
      <c r="Z6">
        <f>2594200</f>
        <v>2594200</v>
      </c>
      <c r="AA6">
        <f>2421500</f>
        <v>2421500</v>
      </c>
      <c r="AB6">
        <f>2362300</f>
        <v>2362300</v>
      </c>
      <c r="AC6">
        <f>2196900</f>
        <v>2196900</v>
      </c>
      <c r="AD6">
        <f>2121400</f>
        <v>2121400</v>
      </c>
      <c r="AE6">
        <f>2045600</f>
        <v>2045600</v>
      </c>
    </row>
    <row r="7" spans="1:31" x14ac:dyDescent="0.2">
      <c r="A7" t="str">
        <f>"    Asia - North America"</f>
        <v xml:space="preserve">    Asia - North America</v>
      </c>
      <c r="B7" t="str">
        <f>"CSHVANAR Index"</f>
        <v>CSHVANAR Index</v>
      </c>
      <c r="C7" t="str">
        <f t="shared" si="0"/>
        <v>PX385</v>
      </c>
      <c r="D7" t="str">
        <f t="shared" si="1"/>
        <v>INTERVAL_SUM</v>
      </c>
      <c r="E7" t="str">
        <f t="shared" si="2"/>
        <v>Dynamic</v>
      </c>
      <c r="F7">
        <f ca="1">IF(AND(ISNUMBER($F$76),$B$69=1),$F$76,HLOOKUP(INDIRECT(ADDRESS(2,COLUMN())),OFFSET($S$2,0,0,ROW()-1,13),ROW()-1,FALSE))</f>
        <v>15537400</v>
      </c>
      <c r="G7">
        <f ca="1">IF(AND(ISNUMBER($G$76),$B$69=1),$G$76,HLOOKUP(INDIRECT(ADDRESS(2,COLUMN())),OFFSET($S$2,0,0,ROW()-1,13),ROW()-1,FALSE))</f>
        <v>22007500</v>
      </c>
      <c r="H7">
        <f ca="1">IF(AND(ISNUMBER($H$76),$B$69=1),$H$76,HLOOKUP(INDIRECT(ADDRESS(2,COLUMN())),OFFSET($S$2,0,0,ROW()-1,13),ROW()-1,FALSE))</f>
        <v>23783300</v>
      </c>
      <c r="I7">
        <f ca="1">IF(AND(ISNUMBER($I$76),$B$69=1),$I$76,HLOOKUP(INDIRECT(ADDRESS(2,COLUMN())),OFFSET($S$2,0,0,ROW()-1,13),ROW()-1,FALSE))</f>
        <v>20161400</v>
      </c>
      <c r="J7">
        <f ca="1">IF(AND(ISNUMBER($J$76),$B$69=1),$J$76,HLOOKUP(INDIRECT(ADDRESS(2,COLUMN())),OFFSET($S$2,0,0,ROW()-1,13),ROW()-1,FALSE))</f>
        <v>18793800</v>
      </c>
      <c r="K7">
        <f ca="1">IF(AND(ISNUMBER($K$76),$B$69=1),$K$76,HLOOKUP(INDIRECT(ADDRESS(2,COLUMN())),OFFSET($S$2,0,0,ROW()-1,13),ROW()-1,FALSE))</f>
        <v>19241400</v>
      </c>
      <c r="L7">
        <f ca="1">IF(AND(ISNUMBER($L$76),$B$69=1),$L$76,HLOOKUP(INDIRECT(ADDRESS(2,COLUMN())),OFFSET($S$2,0,0,ROW()-1,13),ROW()-1,FALSE))</f>
        <v>18045400</v>
      </c>
      <c r="M7">
        <f ca="1">IF(AND(ISNUMBER($M$76),$B$69=1),$M$76,HLOOKUP(INDIRECT(ADDRESS(2,COLUMN())),OFFSET($S$2,0,0,ROW()-1,13),ROW()-1,FALSE))</f>
        <v>17216800</v>
      </c>
      <c r="N7">
        <f ca="1">IF(AND(ISNUMBER($N$76),$B$69=1),$N$76,HLOOKUP(INDIRECT(ADDRESS(2,COLUMN())),OFFSET($S$2,0,0,ROW()-1,13),ROW()-1,FALSE))</f>
        <v>16393100</v>
      </c>
      <c r="O7">
        <f ca="1">IF(AND(ISNUMBER($O$76),$B$69=1),$O$76,HLOOKUP(INDIRECT(ADDRESS(2,COLUMN())),OFFSET($S$2,0,0,ROW()-1,13),ROW()-1,FALSE))</f>
        <v>15492100</v>
      </c>
      <c r="P7">
        <f ca="1">IF(AND(ISNUMBER($P$76),$B$69=1),$P$76,HLOOKUP(INDIRECT(ADDRESS(2,COLUMN())),OFFSET($S$2,0,0,ROW()-1,13),ROW()-1,FALSE))</f>
        <v>14620100</v>
      </c>
      <c r="Q7">
        <f ca="1">IF(AND(ISNUMBER($Q$76),$B$69=1),$Q$76,HLOOKUP(INDIRECT(ADDRESS(2,COLUMN())),OFFSET($S$2,0,0,ROW()-1,13),ROW()-1,FALSE))</f>
        <v>14857600</v>
      </c>
      <c r="R7">
        <f ca="1">IF(AND(ISNUMBER($R$76),$B$69=1),$R$76,HLOOKUP(INDIRECT(ADDRESS(2,COLUMN())),OFFSET($S$2,0,0,ROW()-1,13),ROW()-1,FALSE))</f>
        <v>14259300</v>
      </c>
      <c r="S7">
        <f>15537400</f>
        <v>15537400</v>
      </c>
      <c r="T7">
        <f>22007500</f>
        <v>22007500</v>
      </c>
      <c r="U7">
        <f>23783300</f>
        <v>23783300</v>
      </c>
      <c r="V7">
        <f>20161400</f>
        <v>20161400</v>
      </c>
      <c r="W7">
        <f>18793800</f>
        <v>18793800</v>
      </c>
      <c r="X7">
        <f>19241400</f>
        <v>19241400</v>
      </c>
      <c r="Y7">
        <f>18045400</f>
        <v>18045400</v>
      </c>
      <c r="Z7">
        <f>17216800</f>
        <v>17216800</v>
      </c>
      <c r="AA7">
        <f>16393100</f>
        <v>16393100</v>
      </c>
      <c r="AB7">
        <f>15492100</f>
        <v>15492100</v>
      </c>
      <c r="AC7">
        <f>14620100</f>
        <v>14620100</v>
      </c>
      <c r="AD7">
        <f>14857600</f>
        <v>14857600</v>
      </c>
      <c r="AE7">
        <f>14259300</f>
        <v>14259300</v>
      </c>
    </row>
    <row r="8" spans="1:31" x14ac:dyDescent="0.2">
      <c r="A8" t="str">
        <f>"    Asia - Asia"</f>
        <v xml:space="preserve">    Asia - Asia</v>
      </c>
      <c r="B8" t="str">
        <f>"CSHVAASR Index"</f>
        <v>CSHVAASR Index</v>
      </c>
      <c r="C8" t="str">
        <f t="shared" si="0"/>
        <v>PX385</v>
      </c>
      <c r="D8" t="str">
        <f t="shared" si="1"/>
        <v>INTERVAL_SUM</v>
      </c>
      <c r="E8" t="str">
        <f t="shared" si="2"/>
        <v>Dynamic</v>
      </c>
      <c r="F8">
        <f ca="1">IF(AND(ISNUMBER($F$77),$B$69=1),$F$77,HLOOKUP(INDIRECT(ADDRESS(2,COLUMN())),OFFSET($S$2,0,0,ROW()-1,13),ROW()-1,FALSE))</f>
        <v>33488300</v>
      </c>
      <c r="G8">
        <f ca="1">IF(AND(ISNUMBER($G$77),$B$69=1),$G$77,HLOOKUP(INDIRECT(ADDRESS(2,COLUMN())),OFFSET($S$2,0,0,ROW()-1,13),ROW()-1,FALSE))</f>
        <v>46604100</v>
      </c>
      <c r="H8">
        <f ca="1">IF(AND(ISNUMBER($H$77),$B$69=1),$H$77,HLOOKUP(INDIRECT(ADDRESS(2,COLUMN())),OFFSET($S$2,0,0,ROW()-1,13),ROW()-1,FALSE))</f>
        <v>47146300</v>
      </c>
      <c r="I8">
        <f ca="1">IF(AND(ISNUMBER($I$77),$B$69=1),$I$77,HLOOKUP(INDIRECT(ADDRESS(2,COLUMN())),OFFSET($S$2,0,0,ROW()-1,13),ROW()-1,FALSE))</f>
        <v>43210100</v>
      </c>
      <c r="J8">
        <f ca="1">IF(AND(ISNUMBER($J$77),$B$69=1),$J$77,HLOOKUP(INDIRECT(ADDRESS(2,COLUMN())),OFFSET($S$2,0,0,ROW()-1,13),ROW()-1,FALSE))</f>
        <v>42577400</v>
      </c>
      <c r="K8">
        <f ca="1">IF(AND(ISNUMBER($K$77),$B$69=1),$K$77,HLOOKUP(INDIRECT(ADDRESS(2,COLUMN())),OFFSET($S$2,0,0,ROW()-1,13),ROW()-1,FALSE))</f>
        <v>42403300</v>
      </c>
      <c r="L8">
        <f ca="1">IF(AND(ISNUMBER($L$77),$B$69=1),$L$77,HLOOKUP(INDIRECT(ADDRESS(2,COLUMN())),OFFSET($S$2,0,0,ROW()-1,13),ROW()-1,FALSE))</f>
        <v>40803400</v>
      </c>
      <c r="M8">
        <f ca="1">IF(AND(ISNUMBER($M$77),$B$69=1),$M$77,HLOOKUP(INDIRECT(ADDRESS(2,COLUMN())),OFFSET($S$2,0,0,ROW()-1,13),ROW()-1,FALSE))</f>
        <v>39213600</v>
      </c>
      <c r="N8">
        <f ca="1">IF(AND(ISNUMBER($N$77),$B$69=1),$N$77,HLOOKUP(INDIRECT(ADDRESS(2,COLUMN())),OFFSET($S$2,0,0,ROW()-1,13),ROW()-1,FALSE))</f>
        <v>37436800</v>
      </c>
      <c r="O8">
        <f ca="1">IF(AND(ISNUMBER($O$77),$B$69=1),$O$77,HLOOKUP(INDIRECT(ADDRESS(2,COLUMN())),OFFSET($S$2,0,0,ROW()-1,13),ROW()-1,FALSE))</f>
        <v>36696600</v>
      </c>
      <c r="P8">
        <f ca="1">IF(AND(ISNUMBER($P$77),$B$69=1),$P$77,HLOOKUP(INDIRECT(ADDRESS(2,COLUMN())),OFFSET($S$2,0,0,ROW()-1,13),ROW()-1,FALSE))</f>
        <v>35489300</v>
      </c>
      <c r="Q8">
        <f ca="1">IF(AND(ISNUMBER($Q$77),$B$69=1),$Q$77,HLOOKUP(INDIRECT(ADDRESS(2,COLUMN())),OFFSET($S$2,0,0,ROW()-1,13),ROW()-1,FALSE))</f>
        <v>33525600</v>
      </c>
      <c r="R8">
        <f ca="1">IF(AND(ISNUMBER($R$77),$B$69=1),$R$77,HLOOKUP(INDIRECT(ADDRESS(2,COLUMN())),OFFSET($S$2,0,0,ROW()-1,13),ROW()-1,FALSE))</f>
        <v>31144200</v>
      </c>
      <c r="S8">
        <f>33488300</f>
        <v>33488300</v>
      </c>
      <c r="T8">
        <f>46604100</f>
        <v>46604100</v>
      </c>
      <c r="U8">
        <f>47146300</f>
        <v>47146300</v>
      </c>
      <c r="V8">
        <f>43210100</f>
        <v>43210100</v>
      </c>
      <c r="W8">
        <f>42577400</f>
        <v>42577400</v>
      </c>
      <c r="X8">
        <f>42403300</f>
        <v>42403300</v>
      </c>
      <c r="Y8">
        <f>40803400</f>
        <v>40803400</v>
      </c>
      <c r="Z8">
        <f>39213600</f>
        <v>39213600</v>
      </c>
      <c r="AA8">
        <f>37436800</f>
        <v>37436800</v>
      </c>
      <c r="AB8">
        <f>36696600</f>
        <v>36696600</v>
      </c>
      <c r="AC8">
        <f>35489300</f>
        <v>35489300</v>
      </c>
      <c r="AD8">
        <f>33525600</f>
        <v>33525600</v>
      </c>
      <c r="AE8">
        <f>31144200</f>
        <v>31144200</v>
      </c>
    </row>
    <row r="9" spans="1:31" x14ac:dyDescent="0.2">
      <c r="A9" t="str">
        <f>"    Asia - Europe"</f>
        <v xml:space="preserve">    Asia - Europe</v>
      </c>
      <c r="B9" t="str">
        <f>"CSHVAEUR Index"</f>
        <v>CSHVAEUR Index</v>
      </c>
      <c r="C9" t="str">
        <f t="shared" si="0"/>
        <v>PX385</v>
      </c>
      <c r="D9" t="str">
        <f t="shared" si="1"/>
        <v>INTERVAL_SUM</v>
      </c>
      <c r="E9" t="str">
        <f t="shared" si="2"/>
        <v>Dynamic</v>
      </c>
      <c r="F9">
        <f ca="1">IF(AND(ISNUMBER($F$78),$B$69=1),$F$78,HLOOKUP(INDIRECT(ADDRESS(2,COLUMN())),OFFSET($S$2,0,0,ROW()-1,13),ROW()-1,FALSE))</f>
        <v>12532800</v>
      </c>
      <c r="G9">
        <f ca="1">IF(AND(ISNUMBER($G$78),$B$69=1),$G$78,HLOOKUP(INDIRECT(ADDRESS(2,COLUMN())),OFFSET($S$2,0,0,ROW()-1,13),ROW()-1,FALSE))</f>
        <v>15396800</v>
      </c>
      <c r="H9">
        <f ca="1">IF(AND(ISNUMBER($H$78),$B$69=1),$H$78,HLOOKUP(INDIRECT(ADDRESS(2,COLUMN())),OFFSET($S$2,0,0,ROW()-1,13),ROW()-1,FALSE))</f>
        <v>17069000</v>
      </c>
      <c r="I9">
        <f ca="1">IF(AND(ISNUMBER($I$78),$B$69=1),$I$78,HLOOKUP(INDIRECT(ADDRESS(2,COLUMN())),OFFSET($S$2,0,0,ROW()-1,13),ROW()-1,FALSE))</f>
        <v>15768600</v>
      </c>
      <c r="J9">
        <f ca="1">IF(AND(ISNUMBER($J$78),$B$69=1),$J$78,HLOOKUP(INDIRECT(ADDRESS(2,COLUMN())),OFFSET($S$2,0,0,ROW()-1,13),ROW()-1,FALSE))</f>
        <v>16603300</v>
      </c>
      <c r="K9">
        <f ca="1">IF(AND(ISNUMBER($K$78),$B$69=1),$K$78,HLOOKUP(INDIRECT(ADDRESS(2,COLUMN())),OFFSET($S$2,0,0,ROW()-1,13),ROW()-1,FALSE))</f>
        <v>16186700</v>
      </c>
      <c r="L9">
        <f ca="1">IF(AND(ISNUMBER($L$78),$B$69=1),$L$78,HLOOKUP(INDIRECT(ADDRESS(2,COLUMN())),OFFSET($S$2,0,0,ROW()-1,13),ROW()-1,FALSE))</f>
        <v>15865900</v>
      </c>
      <c r="M9">
        <f ca="1">IF(AND(ISNUMBER($M$78),$B$69=1),$M$78,HLOOKUP(INDIRECT(ADDRESS(2,COLUMN())),OFFSET($S$2,0,0,ROW()-1,13),ROW()-1,FALSE))</f>
        <v>15190200</v>
      </c>
      <c r="N9">
        <f ca="1">IF(AND(ISNUMBER($N$78),$B$69=1),$N$78,HLOOKUP(INDIRECT(ADDRESS(2,COLUMN())),OFFSET($S$2,0,0,ROW()-1,13),ROW()-1,FALSE))</f>
        <v>14902100</v>
      </c>
      <c r="O9">
        <f ca="1">IF(AND(ISNUMBER($O$78),$B$69=1),$O$78,HLOOKUP(INDIRECT(ADDRESS(2,COLUMN())),OFFSET($S$2,0,0,ROW()-1,13),ROW()-1,FALSE))</f>
        <v>15385700</v>
      </c>
      <c r="P9">
        <f ca="1">IF(AND(ISNUMBER($P$78),$B$69=1),$P$78,HLOOKUP(INDIRECT(ADDRESS(2,COLUMN())),OFFSET($S$2,0,0,ROW()-1,13),ROW()-1,FALSE))</f>
        <v>14359800</v>
      </c>
      <c r="Q9">
        <f ca="1">IF(AND(ISNUMBER($Q$78),$B$69=1),$Q$78,HLOOKUP(INDIRECT(ADDRESS(2,COLUMN())),OFFSET($S$2,0,0,ROW()-1,13),ROW()-1,FALSE))</f>
        <v>13640500</v>
      </c>
      <c r="R9">
        <f ca="1">IF(AND(ISNUMBER($R$78),$B$69=1),$R$78,HLOOKUP(INDIRECT(ADDRESS(2,COLUMN())),OFFSET($S$2,0,0,ROW()-1,13),ROW()-1,FALSE))</f>
        <v>14192400</v>
      </c>
      <c r="S9">
        <f>12532800</f>
        <v>12532800</v>
      </c>
      <c r="T9">
        <f>15396800</f>
        <v>15396800</v>
      </c>
      <c r="U9">
        <f>17069000</f>
        <v>17069000</v>
      </c>
      <c r="V9">
        <f>15768600</f>
        <v>15768600</v>
      </c>
      <c r="W9">
        <f>16603300</f>
        <v>16603300</v>
      </c>
      <c r="X9">
        <f>16186700</f>
        <v>16186700</v>
      </c>
      <c r="Y9">
        <f>15865900</f>
        <v>15865900</v>
      </c>
      <c r="Z9">
        <f>15190200</f>
        <v>15190200</v>
      </c>
      <c r="AA9">
        <f>14902100</f>
        <v>14902100</v>
      </c>
      <c r="AB9">
        <f>15385700</f>
        <v>15385700</v>
      </c>
      <c r="AC9">
        <f>14359800</f>
        <v>14359800</v>
      </c>
      <c r="AD9">
        <f>13640500</f>
        <v>13640500</v>
      </c>
      <c r="AE9">
        <f>14192400</f>
        <v>14192400</v>
      </c>
    </row>
    <row r="10" spans="1:31" x14ac:dyDescent="0.2">
      <c r="A10" t="str">
        <f>"    Asia - Indian Sub Cont. &amp; Middle East"</f>
        <v xml:space="preserve">    Asia - Indian Sub Cont. &amp; Middle East</v>
      </c>
      <c r="B10" t="str">
        <f>"CSHVAIME Index"</f>
        <v>CSHVAIME Index</v>
      </c>
      <c r="C10" t="str">
        <f t="shared" si="0"/>
        <v>PX385</v>
      </c>
      <c r="D10" t="str">
        <f t="shared" si="1"/>
        <v>INTERVAL_SUM</v>
      </c>
      <c r="E10" t="str">
        <f t="shared" si="2"/>
        <v>Dynamic</v>
      </c>
      <c r="F10">
        <f ca="1">IF(AND(ISNUMBER($F$79),$B$69=1),$F$79,HLOOKUP(INDIRECT(ADDRESS(2,COLUMN())),OFFSET($S$2,0,0,ROW()-1,13),ROW()-1,FALSE))</f>
        <v>6695400</v>
      </c>
      <c r="G10">
        <f ca="1">IF(AND(ISNUMBER($G$79),$B$69=1),$G$79,HLOOKUP(INDIRECT(ADDRESS(2,COLUMN())),OFFSET($S$2,0,0,ROW()-1,13),ROW()-1,FALSE))</f>
        <v>7679000</v>
      </c>
      <c r="H10">
        <f ca="1">IF(AND(ISNUMBER($H$79),$B$69=1),$H$79,HLOOKUP(INDIRECT(ADDRESS(2,COLUMN())),OFFSET($S$2,0,0,ROW()-1,13),ROW()-1,FALSE))</f>
        <v>7821500</v>
      </c>
      <c r="I10">
        <f ca="1">IF(AND(ISNUMBER($I$79),$B$69=1),$I$79,HLOOKUP(INDIRECT(ADDRESS(2,COLUMN())),OFFSET($S$2,0,0,ROW()-1,13),ROW()-1,FALSE))</f>
        <v>6454500</v>
      </c>
      <c r="J10">
        <f ca="1">IF(AND(ISNUMBER($J$79),$B$69=1),$J$79,HLOOKUP(INDIRECT(ADDRESS(2,COLUMN())),OFFSET($S$2,0,0,ROW()-1,13),ROW()-1,FALSE))</f>
        <v>7046700</v>
      </c>
      <c r="K10">
        <f ca="1">IF(AND(ISNUMBER($K$79),$B$69=1),$K$79,HLOOKUP(INDIRECT(ADDRESS(2,COLUMN())),OFFSET($S$2,0,0,ROW()-1,13),ROW()-1,FALSE))</f>
        <v>7275300</v>
      </c>
      <c r="L10">
        <f ca="1">IF(AND(ISNUMBER($L$79),$B$69=1),$L$79,HLOOKUP(INDIRECT(ADDRESS(2,COLUMN())),OFFSET($S$2,0,0,ROW()-1,13),ROW()-1,FALSE))</f>
        <v>7532000</v>
      </c>
      <c r="M10">
        <f ca="1">IF(AND(ISNUMBER($M$79),$B$69=1),$M$79,HLOOKUP(INDIRECT(ADDRESS(2,COLUMN())),OFFSET($S$2,0,0,ROW()-1,13),ROW()-1,FALSE))</f>
        <v>7225500</v>
      </c>
      <c r="N10">
        <f ca="1">IF(AND(ISNUMBER($N$79),$B$69=1),$N$79,HLOOKUP(INDIRECT(ADDRESS(2,COLUMN())),OFFSET($S$2,0,0,ROW()-1,13),ROW()-1,FALSE))</f>
        <v>6836100</v>
      </c>
      <c r="O10">
        <f ca="1">IF(AND(ISNUMBER($O$79),$B$69=1),$O$79,HLOOKUP(INDIRECT(ADDRESS(2,COLUMN())),OFFSET($S$2,0,0,ROW()-1,13),ROW()-1,FALSE))</f>
        <v>6471900</v>
      </c>
      <c r="P10">
        <f ca="1">IF(AND(ISNUMBER($P$79),$B$69=1),$P$79,HLOOKUP(INDIRECT(ADDRESS(2,COLUMN())),OFFSET($S$2,0,0,ROW()-1,13),ROW()-1,FALSE))</f>
        <v>5927400</v>
      </c>
      <c r="Q10">
        <f ca="1">IF(AND(ISNUMBER($Q$79),$B$69=1),$Q$79,HLOOKUP(INDIRECT(ADDRESS(2,COLUMN())),OFFSET($S$2,0,0,ROW()-1,13),ROW()-1,FALSE))</f>
        <v>5696900</v>
      </c>
      <c r="R10">
        <f ca="1">IF(AND(ISNUMBER($R$79),$B$69=1),$R$79,HLOOKUP(INDIRECT(ADDRESS(2,COLUMN())),OFFSET($S$2,0,0,ROW()-1,13),ROW()-1,FALSE))</f>
        <v>5631200</v>
      </c>
      <c r="S10">
        <f>6695400</f>
        <v>6695400</v>
      </c>
      <c r="T10">
        <f>7679000</f>
        <v>7679000</v>
      </c>
      <c r="U10">
        <f>7821500</f>
        <v>7821500</v>
      </c>
      <c r="V10">
        <f>6454500</f>
        <v>6454500</v>
      </c>
      <c r="W10">
        <f>7046700</f>
        <v>7046700</v>
      </c>
      <c r="X10">
        <f>7275300</f>
        <v>7275300</v>
      </c>
      <c r="Y10">
        <f>7532000</f>
        <v>7532000</v>
      </c>
      <c r="Z10">
        <f>7225500</f>
        <v>7225500</v>
      </c>
      <c r="AA10">
        <f>6836100</f>
        <v>6836100</v>
      </c>
      <c r="AB10">
        <f>6471900</f>
        <v>6471900</v>
      </c>
      <c r="AC10">
        <f>5927400</f>
        <v>5927400</v>
      </c>
      <c r="AD10">
        <f>5696900</f>
        <v>5696900</v>
      </c>
      <c r="AE10">
        <f>5631200</f>
        <v>5631200</v>
      </c>
    </row>
    <row r="11" spans="1:31" x14ac:dyDescent="0.2">
      <c r="A11" t="str">
        <f>"    Australasia &amp; Oceania - South &amp; Central America"</f>
        <v xml:space="preserve">    Australasia &amp; Oceania - South &amp; Central America</v>
      </c>
      <c r="B11" t="str">
        <f>"CSHVOSCA Index"</f>
        <v>CSHVOSCA Index</v>
      </c>
      <c r="C11" t="str">
        <f t="shared" si="0"/>
        <v>PX385</v>
      </c>
      <c r="D11" t="str">
        <f t="shared" si="1"/>
        <v>INTERVAL_SUM</v>
      </c>
      <c r="E11" t="str">
        <f t="shared" si="2"/>
        <v>Dynamic</v>
      </c>
      <c r="F11">
        <f ca="1">IF(AND(ISNUMBER($F$80),$B$69=1),$F$80,HLOOKUP(INDIRECT(ADDRESS(2,COLUMN())),OFFSET($S$2,0,0,ROW()-1,13),ROW()-1,FALSE))</f>
        <v>11200</v>
      </c>
      <c r="G11">
        <f ca="1">IF(AND(ISNUMBER($G$80),$B$69=1),$G$80,HLOOKUP(INDIRECT(ADDRESS(2,COLUMN())),OFFSET($S$2,0,0,ROW()-1,13),ROW()-1,FALSE))</f>
        <v>20700</v>
      </c>
      <c r="H11">
        <f ca="1">IF(AND(ISNUMBER($H$80),$B$69=1),$H$80,HLOOKUP(INDIRECT(ADDRESS(2,COLUMN())),OFFSET($S$2,0,0,ROW()-1,13),ROW()-1,FALSE))</f>
        <v>21600</v>
      </c>
      <c r="I11">
        <f ca="1">IF(AND(ISNUMBER($I$80),$B$69=1),$I$80,HLOOKUP(INDIRECT(ADDRESS(2,COLUMN())),OFFSET($S$2,0,0,ROW()-1,13),ROW()-1,FALSE))</f>
        <v>19100</v>
      </c>
      <c r="J11">
        <f ca="1">IF(AND(ISNUMBER($J$80),$B$69=1),$J$80,HLOOKUP(INDIRECT(ADDRESS(2,COLUMN())),OFFSET($S$2,0,0,ROW()-1,13),ROW()-1,FALSE))</f>
        <v>20700</v>
      </c>
      <c r="K11">
        <f ca="1">IF(AND(ISNUMBER($K$80),$B$69=1),$K$80,HLOOKUP(INDIRECT(ADDRESS(2,COLUMN())),OFFSET($S$2,0,0,ROW()-1,13),ROW()-1,FALSE))</f>
        <v>22600</v>
      </c>
      <c r="L11">
        <f ca="1">IF(AND(ISNUMBER($L$80),$B$69=1),$L$80,HLOOKUP(INDIRECT(ADDRESS(2,COLUMN())),OFFSET($S$2,0,0,ROW()-1,13),ROW()-1,FALSE))</f>
        <v>22200</v>
      </c>
      <c r="M11">
        <f ca="1">IF(AND(ISNUMBER($M$80),$B$69=1),$M$80,HLOOKUP(INDIRECT(ADDRESS(2,COLUMN())),OFFSET($S$2,0,0,ROW()-1,13),ROW()-1,FALSE))</f>
        <v>22300</v>
      </c>
      <c r="N11">
        <f ca="1">IF(AND(ISNUMBER($N$80),$B$69=1),$N$80,HLOOKUP(INDIRECT(ADDRESS(2,COLUMN())),OFFSET($S$2,0,0,ROW()-1,13),ROW()-1,FALSE))</f>
        <v>30200</v>
      </c>
      <c r="O11">
        <f ca="1">IF(AND(ISNUMBER($O$80),$B$69=1),$O$80,HLOOKUP(INDIRECT(ADDRESS(2,COLUMN())),OFFSET($S$2,0,0,ROW()-1,13),ROW()-1,FALSE))</f>
        <v>28100</v>
      </c>
      <c r="P11">
        <f ca="1">IF(AND(ISNUMBER($P$80),$B$69=1),$P$80,HLOOKUP(INDIRECT(ADDRESS(2,COLUMN())),OFFSET($S$2,0,0,ROW()-1,13),ROW()-1,FALSE))</f>
        <v>30000</v>
      </c>
      <c r="Q11">
        <f ca="1">IF(AND(ISNUMBER($Q$80),$B$69=1),$Q$80,HLOOKUP(INDIRECT(ADDRESS(2,COLUMN())),OFFSET($S$2,0,0,ROW()-1,13),ROW()-1,FALSE))</f>
        <v>32900</v>
      </c>
      <c r="R11">
        <f ca="1">IF(AND(ISNUMBER($R$80),$B$69=1),$R$80,HLOOKUP(INDIRECT(ADDRESS(2,COLUMN())),OFFSET($S$2,0,0,ROW()-1,13),ROW()-1,FALSE))</f>
        <v>35400</v>
      </c>
      <c r="S11">
        <f>11200</f>
        <v>11200</v>
      </c>
      <c r="T11">
        <f>20700</f>
        <v>20700</v>
      </c>
      <c r="U11">
        <f>21600</f>
        <v>21600</v>
      </c>
      <c r="V11">
        <f>19100</f>
        <v>19100</v>
      </c>
      <c r="W11">
        <f>20700</f>
        <v>20700</v>
      </c>
      <c r="X11">
        <f>22600</f>
        <v>22600</v>
      </c>
      <c r="Y11">
        <f>22200</f>
        <v>22200</v>
      </c>
      <c r="Z11">
        <f>22300</f>
        <v>22300</v>
      </c>
      <c r="AA11">
        <f>30200</f>
        <v>30200</v>
      </c>
      <c r="AB11">
        <f>28100</f>
        <v>28100</v>
      </c>
      <c r="AC11">
        <f>30000</f>
        <v>30000</v>
      </c>
      <c r="AD11">
        <f>32900</f>
        <v>32900</v>
      </c>
      <c r="AE11">
        <f>35400</f>
        <v>35400</v>
      </c>
    </row>
    <row r="12" spans="1:31" x14ac:dyDescent="0.2">
      <c r="A12" t="str">
        <f>"    Australasia &amp; Oceania - Europe"</f>
        <v xml:space="preserve">    Australasia &amp; Oceania - Europe</v>
      </c>
      <c r="B12" t="str">
        <f>"CSHVOEUR Index"</f>
        <v>CSHVOEUR Index</v>
      </c>
      <c r="C12" t="str">
        <f t="shared" si="0"/>
        <v>PX385</v>
      </c>
      <c r="D12" t="str">
        <f t="shared" si="1"/>
        <v>INTERVAL_SUM</v>
      </c>
      <c r="E12" t="str">
        <f t="shared" si="2"/>
        <v>Dynamic</v>
      </c>
      <c r="F12">
        <f ca="1">IF(AND(ISNUMBER($F$81),$B$69=1),$F$81,HLOOKUP(INDIRECT(ADDRESS(2,COLUMN())),OFFSET($S$2,0,0,ROW()-1,13),ROW()-1,FALSE))</f>
        <v>129900</v>
      </c>
      <c r="G12">
        <f ca="1">IF(AND(ISNUMBER($G$81),$B$69=1),$G$81,HLOOKUP(INDIRECT(ADDRESS(2,COLUMN())),OFFSET($S$2,0,0,ROW()-1,13),ROW()-1,FALSE))</f>
        <v>183800</v>
      </c>
      <c r="H12">
        <f ca="1">IF(AND(ISNUMBER($H$81),$B$69=1),$H$81,HLOOKUP(INDIRECT(ADDRESS(2,COLUMN())),OFFSET($S$2,0,0,ROW()-1,13),ROW()-1,FALSE))</f>
        <v>188100</v>
      </c>
      <c r="I12">
        <f ca="1">IF(AND(ISNUMBER($I$81),$B$69=1),$I$81,HLOOKUP(INDIRECT(ADDRESS(2,COLUMN())),OFFSET($S$2,0,0,ROW()-1,13),ROW()-1,FALSE))</f>
        <v>185400</v>
      </c>
      <c r="J12">
        <f ca="1">IF(AND(ISNUMBER($J$81),$B$69=1),$J$81,HLOOKUP(INDIRECT(ADDRESS(2,COLUMN())),OFFSET($S$2,0,0,ROW()-1,13),ROW()-1,FALSE))</f>
        <v>197600</v>
      </c>
      <c r="K12">
        <f ca="1">IF(AND(ISNUMBER($K$81),$B$69=1),$K$81,HLOOKUP(INDIRECT(ADDRESS(2,COLUMN())),OFFSET($S$2,0,0,ROW()-1,13),ROW()-1,FALSE))</f>
        <v>203700</v>
      </c>
      <c r="L12">
        <f ca="1">IF(AND(ISNUMBER($L$81),$B$69=1),$L$81,HLOOKUP(INDIRECT(ADDRESS(2,COLUMN())),OFFSET($S$2,0,0,ROW()-1,13),ROW()-1,FALSE))</f>
        <v>184000</v>
      </c>
      <c r="M12">
        <f ca="1">IF(AND(ISNUMBER($M$81),$B$69=1),$M$81,HLOOKUP(INDIRECT(ADDRESS(2,COLUMN())),OFFSET($S$2,0,0,ROW()-1,13),ROW()-1,FALSE))</f>
        <v>187300</v>
      </c>
      <c r="N12">
        <f ca="1">IF(AND(ISNUMBER($N$81),$B$69=1),$N$81,HLOOKUP(INDIRECT(ADDRESS(2,COLUMN())),OFFSET($S$2,0,0,ROW()-1,13),ROW()-1,FALSE))</f>
        <v>184700</v>
      </c>
      <c r="O12">
        <f ca="1">IF(AND(ISNUMBER($O$81),$B$69=1),$O$81,HLOOKUP(INDIRECT(ADDRESS(2,COLUMN())),OFFSET($S$2,0,0,ROW()-1,13),ROW()-1,FALSE))</f>
        <v>184000</v>
      </c>
      <c r="P12">
        <f ca="1">IF(AND(ISNUMBER($P$81),$B$69=1),$P$81,HLOOKUP(INDIRECT(ADDRESS(2,COLUMN())),OFFSET($S$2,0,0,ROW()-1,13),ROW()-1,FALSE))</f>
        <v>176000</v>
      </c>
      <c r="Q12">
        <f ca="1">IF(AND(ISNUMBER($Q$81),$B$69=1),$Q$81,HLOOKUP(INDIRECT(ADDRESS(2,COLUMN())),OFFSET($S$2,0,0,ROW()-1,13),ROW()-1,FALSE))</f>
        <v>181200</v>
      </c>
      <c r="R12">
        <f ca="1">IF(AND(ISNUMBER($R$81),$B$69=1),$R$81,HLOOKUP(INDIRECT(ADDRESS(2,COLUMN())),OFFSET($S$2,0,0,ROW()-1,13),ROW()-1,FALSE))</f>
        <v>195100</v>
      </c>
      <c r="S12">
        <f>129900</f>
        <v>129900</v>
      </c>
      <c r="T12">
        <f>183800</f>
        <v>183800</v>
      </c>
      <c r="U12">
        <f>188100</f>
        <v>188100</v>
      </c>
      <c r="V12">
        <f>185400</f>
        <v>185400</v>
      </c>
      <c r="W12">
        <f>197600</f>
        <v>197600</v>
      </c>
      <c r="X12">
        <f>203700</f>
        <v>203700</v>
      </c>
      <c r="Y12">
        <f>184000</f>
        <v>184000</v>
      </c>
      <c r="Z12">
        <f>187300</f>
        <v>187300</v>
      </c>
      <c r="AA12">
        <f>184700</f>
        <v>184700</v>
      </c>
      <c r="AB12">
        <f>184000</f>
        <v>184000</v>
      </c>
      <c r="AC12">
        <f>176000</f>
        <v>176000</v>
      </c>
      <c r="AD12">
        <f>181200</f>
        <v>181200</v>
      </c>
      <c r="AE12">
        <f>195100</f>
        <v>195100</v>
      </c>
    </row>
    <row r="13" spans="1:31" x14ac:dyDescent="0.2">
      <c r="A13" t="str">
        <f>"    Australasia &amp; Oceania - Asia"</f>
        <v xml:space="preserve">    Australasia &amp; Oceania - Asia</v>
      </c>
      <c r="B13" t="str">
        <f>"CSHVOASR Index"</f>
        <v>CSHVOASR Index</v>
      </c>
      <c r="C13" t="str">
        <f t="shared" si="0"/>
        <v>PX385</v>
      </c>
      <c r="D13" t="str">
        <f t="shared" si="1"/>
        <v>INTERVAL_SUM</v>
      </c>
      <c r="E13" t="str">
        <f t="shared" si="2"/>
        <v>Dynamic</v>
      </c>
      <c r="F13">
        <f ca="1">IF(AND(ISNUMBER($F$82),$B$69=1),$F$82,HLOOKUP(INDIRECT(ADDRESS(2,COLUMN())),OFFSET($S$2,0,0,ROW()-1,13),ROW()-1,FALSE))</f>
        <v>1331400</v>
      </c>
      <c r="G13">
        <f ca="1">IF(AND(ISNUMBER($G$82),$B$69=1),$G$82,HLOOKUP(INDIRECT(ADDRESS(2,COLUMN())),OFFSET($S$2,0,0,ROW()-1,13),ROW()-1,FALSE))</f>
        <v>1660800</v>
      </c>
      <c r="H13">
        <f ca="1">IF(AND(ISNUMBER($H$82),$B$69=1),$H$82,HLOOKUP(INDIRECT(ADDRESS(2,COLUMN())),OFFSET($S$2,0,0,ROW()-1,13),ROW()-1,FALSE))</f>
        <v>1616300</v>
      </c>
      <c r="I13">
        <f ca="1">IF(AND(ISNUMBER($I$82),$B$69=1),$I$82,HLOOKUP(INDIRECT(ADDRESS(2,COLUMN())),OFFSET($S$2,0,0,ROW()-1,13),ROW()-1,FALSE))</f>
        <v>1592100</v>
      </c>
      <c r="J13">
        <f ca="1">IF(AND(ISNUMBER($J$82),$B$69=1),$J$82,HLOOKUP(INDIRECT(ADDRESS(2,COLUMN())),OFFSET($S$2,0,0,ROW()-1,13),ROW()-1,FALSE))</f>
        <v>1581300</v>
      </c>
      <c r="K13">
        <f ca="1">IF(AND(ISNUMBER($K$82),$B$69=1),$K$82,HLOOKUP(INDIRECT(ADDRESS(2,COLUMN())),OFFSET($S$2,0,0,ROW()-1,13),ROW()-1,FALSE))</f>
        <v>1650600</v>
      </c>
      <c r="L13">
        <f ca="1">IF(AND(ISNUMBER($L$82),$B$69=1),$L$82,HLOOKUP(INDIRECT(ADDRESS(2,COLUMN())),OFFSET($S$2,0,0,ROW()-1,13),ROW()-1,FALSE))</f>
        <v>1617100</v>
      </c>
      <c r="M13">
        <f ca="1">IF(AND(ISNUMBER($M$82),$B$69=1),$M$82,HLOOKUP(INDIRECT(ADDRESS(2,COLUMN())),OFFSET($S$2,0,0,ROW()-1,13),ROW()-1,FALSE))</f>
        <v>1517000</v>
      </c>
      <c r="N13">
        <f ca="1">IF(AND(ISNUMBER($N$82),$B$69=1),$N$82,HLOOKUP(INDIRECT(ADDRESS(2,COLUMN())),OFFSET($S$2,0,0,ROW()-1,13),ROW()-1,FALSE))</f>
        <v>1413400</v>
      </c>
      <c r="O13">
        <f ca="1">IF(AND(ISNUMBER($O$82),$B$69=1),$O$82,HLOOKUP(INDIRECT(ADDRESS(2,COLUMN())),OFFSET($S$2,0,0,ROW()-1,13),ROW()-1,FALSE))</f>
        <v>1452400</v>
      </c>
      <c r="P13">
        <f ca="1">IF(AND(ISNUMBER($P$82),$B$69=1),$P$82,HLOOKUP(INDIRECT(ADDRESS(2,COLUMN())),OFFSET($S$2,0,0,ROW()-1,13),ROW()-1,FALSE))</f>
        <v>1453800</v>
      </c>
      <c r="Q13">
        <f ca="1">IF(AND(ISNUMBER($Q$82),$B$69=1),$Q$82,HLOOKUP(INDIRECT(ADDRESS(2,COLUMN())),OFFSET($S$2,0,0,ROW()-1,13),ROW()-1,FALSE))</f>
        <v>1374800</v>
      </c>
      <c r="R13">
        <f ca="1">IF(AND(ISNUMBER($R$82),$B$69=1),$R$82,HLOOKUP(INDIRECT(ADDRESS(2,COLUMN())),OFFSET($S$2,0,0,ROW()-1,13),ROW()-1,FALSE))</f>
        <v>1306900</v>
      </c>
      <c r="S13">
        <f>1331400</f>
        <v>1331400</v>
      </c>
      <c r="T13">
        <f>1660800</f>
        <v>1660800</v>
      </c>
      <c r="U13">
        <f>1616300</f>
        <v>1616300</v>
      </c>
      <c r="V13">
        <f>1592100</f>
        <v>1592100</v>
      </c>
      <c r="W13">
        <f>1581300</f>
        <v>1581300</v>
      </c>
      <c r="X13">
        <f>1650600</f>
        <v>1650600</v>
      </c>
      <c r="Y13">
        <f>1617100</f>
        <v>1617100</v>
      </c>
      <c r="Z13">
        <f>1517000</f>
        <v>1517000</v>
      </c>
      <c r="AA13">
        <f>1413400</f>
        <v>1413400</v>
      </c>
      <c r="AB13">
        <f>1452400</f>
        <v>1452400</v>
      </c>
      <c r="AC13">
        <f>1453800</f>
        <v>1453800</v>
      </c>
      <c r="AD13">
        <f>1374800</f>
        <v>1374800</v>
      </c>
      <c r="AE13">
        <f>1306900</f>
        <v>1306900</v>
      </c>
    </row>
    <row r="14" spans="1:31" x14ac:dyDescent="0.2">
      <c r="A14" t="str">
        <f>"    Australasia &amp; Oceania - North America"</f>
        <v xml:space="preserve">    Australasia &amp; Oceania - North America</v>
      </c>
      <c r="B14" t="str">
        <f>"CSHVONAR Index"</f>
        <v>CSHVONAR Index</v>
      </c>
      <c r="C14" t="str">
        <f t="shared" si="0"/>
        <v>PX385</v>
      </c>
      <c r="D14" t="str">
        <f t="shared" si="1"/>
        <v>INTERVAL_SUM</v>
      </c>
      <c r="E14" t="str">
        <f t="shared" si="2"/>
        <v>Dynamic</v>
      </c>
      <c r="F14">
        <f ca="1">IF(AND(ISNUMBER($F$83),$B$69=1),$F$83,HLOOKUP(INDIRECT(ADDRESS(2,COLUMN())),OFFSET($S$2,0,0,ROW()-1,13),ROW()-1,FALSE))</f>
        <v>163700</v>
      </c>
      <c r="G14">
        <f ca="1">IF(AND(ISNUMBER($G$83),$B$69=1),$G$83,HLOOKUP(INDIRECT(ADDRESS(2,COLUMN())),OFFSET($S$2,0,0,ROW()-1,13),ROW()-1,FALSE))</f>
        <v>222400</v>
      </c>
      <c r="H14">
        <f ca="1">IF(AND(ISNUMBER($H$83),$B$69=1),$H$83,HLOOKUP(INDIRECT(ADDRESS(2,COLUMN())),OFFSET($S$2,0,0,ROW()-1,13),ROW()-1,FALSE))</f>
        <v>225600</v>
      </c>
      <c r="I14">
        <f ca="1">IF(AND(ISNUMBER($I$83),$B$69=1),$I$83,HLOOKUP(INDIRECT(ADDRESS(2,COLUMN())),OFFSET($S$2,0,0,ROW()-1,13),ROW()-1,FALSE))</f>
        <v>217200</v>
      </c>
      <c r="J14">
        <f ca="1">IF(AND(ISNUMBER($J$83),$B$69=1),$J$83,HLOOKUP(INDIRECT(ADDRESS(2,COLUMN())),OFFSET($S$2,0,0,ROW()-1,13),ROW()-1,FALSE))</f>
        <v>227600</v>
      </c>
      <c r="K14">
        <f ca="1">IF(AND(ISNUMBER($K$83),$B$69=1),$K$83,HLOOKUP(INDIRECT(ADDRESS(2,COLUMN())),OFFSET($S$2,0,0,ROW()-1,13),ROW()-1,FALSE))</f>
        <v>231900</v>
      </c>
      <c r="L14">
        <f ca="1">IF(AND(ISNUMBER($L$83),$B$69=1),$L$83,HLOOKUP(INDIRECT(ADDRESS(2,COLUMN())),OFFSET($S$2,0,0,ROW()-1,13),ROW()-1,FALSE))</f>
        <v>222300</v>
      </c>
      <c r="M14">
        <f ca="1">IF(AND(ISNUMBER($M$83),$B$69=1),$M$83,HLOOKUP(INDIRECT(ADDRESS(2,COLUMN())),OFFSET($S$2,0,0,ROW()-1,13),ROW()-1,FALSE))</f>
        <v>223100</v>
      </c>
      <c r="N14">
        <f ca="1">IF(AND(ISNUMBER($N$83),$B$69=1),$N$83,HLOOKUP(INDIRECT(ADDRESS(2,COLUMN())),OFFSET($S$2,0,0,ROW()-1,13),ROW()-1,FALSE))</f>
        <v>234400</v>
      </c>
      <c r="O14">
        <f ca="1">IF(AND(ISNUMBER($O$83),$B$69=1),$O$83,HLOOKUP(INDIRECT(ADDRESS(2,COLUMN())),OFFSET($S$2,0,0,ROW()-1,13),ROW()-1,FALSE))</f>
        <v>226100</v>
      </c>
      <c r="P14">
        <f ca="1">IF(AND(ISNUMBER($P$83),$B$69=1),$P$83,HLOOKUP(INDIRECT(ADDRESS(2,COLUMN())),OFFSET($S$2,0,0,ROW()-1,13),ROW()-1,FALSE))</f>
        <v>200300</v>
      </c>
      <c r="Q14">
        <f ca="1">IF(AND(ISNUMBER($Q$83),$B$69=1),$Q$83,HLOOKUP(INDIRECT(ADDRESS(2,COLUMN())),OFFSET($S$2,0,0,ROW()-1,13),ROW()-1,FALSE))</f>
        <v>197500</v>
      </c>
      <c r="R14">
        <f ca="1">IF(AND(ISNUMBER($R$83),$B$69=1),$R$83,HLOOKUP(INDIRECT(ADDRESS(2,COLUMN())),OFFSET($S$2,0,0,ROW()-1,13),ROW()-1,FALSE))</f>
        <v>184200</v>
      </c>
      <c r="S14">
        <f>163700</f>
        <v>163700</v>
      </c>
      <c r="T14">
        <f>222400</f>
        <v>222400</v>
      </c>
      <c r="U14">
        <f>225600</f>
        <v>225600</v>
      </c>
      <c r="V14">
        <f>217200</f>
        <v>217200</v>
      </c>
      <c r="W14">
        <f>227600</f>
        <v>227600</v>
      </c>
      <c r="X14">
        <f>231900</f>
        <v>231900</v>
      </c>
      <c r="Y14">
        <f>222300</f>
        <v>222300</v>
      </c>
      <c r="Z14">
        <f>223100</f>
        <v>223100</v>
      </c>
      <c r="AA14">
        <f>234400</f>
        <v>234400</v>
      </c>
      <c r="AB14">
        <f>226100</f>
        <v>226100</v>
      </c>
      <c r="AC14">
        <f>200300</f>
        <v>200300</v>
      </c>
      <c r="AD14">
        <f>197500</f>
        <v>197500</v>
      </c>
      <c r="AE14">
        <f>184200</f>
        <v>184200</v>
      </c>
    </row>
    <row r="15" spans="1:31" x14ac:dyDescent="0.2">
      <c r="A15" t="str">
        <f>"    Australasia &amp; Oceania - Australasia &amp; Oceania"</f>
        <v xml:space="preserve">    Australasia &amp; Oceania - Australasia &amp; Oceania</v>
      </c>
      <c r="B15" t="str">
        <f>"CSHVOAUO Index"</f>
        <v>CSHVOAUO Index</v>
      </c>
      <c r="C15" t="str">
        <f t="shared" si="0"/>
        <v>PX385</v>
      </c>
      <c r="D15" t="str">
        <f t="shared" si="1"/>
        <v>INTERVAL_SUM</v>
      </c>
      <c r="E15" t="str">
        <f t="shared" si="2"/>
        <v>Dynamic</v>
      </c>
      <c r="F15">
        <f ca="1">IF(AND(ISNUMBER($F$84),$B$69=1),$F$84,HLOOKUP(INDIRECT(ADDRESS(2,COLUMN())),OFFSET($S$2,0,0,ROW()-1,13),ROW()-1,FALSE))</f>
        <v>247500</v>
      </c>
      <c r="G15">
        <f ca="1">IF(AND(ISNUMBER($G$84),$B$69=1),$G$84,HLOOKUP(INDIRECT(ADDRESS(2,COLUMN())),OFFSET($S$2,0,0,ROW()-1,13),ROW()-1,FALSE))</f>
        <v>380900</v>
      </c>
      <c r="H15">
        <f ca="1">IF(AND(ISNUMBER($H$84),$B$69=1),$H$84,HLOOKUP(INDIRECT(ADDRESS(2,COLUMN())),OFFSET($S$2,0,0,ROW()-1,13),ROW()-1,FALSE))</f>
        <v>400400</v>
      </c>
      <c r="I15">
        <f ca="1">IF(AND(ISNUMBER($I$84),$B$69=1),$I$84,HLOOKUP(INDIRECT(ADDRESS(2,COLUMN())),OFFSET($S$2,0,0,ROW()-1,13),ROW()-1,FALSE))</f>
        <v>453300</v>
      </c>
      <c r="J15">
        <f ca="1">IF(AND(ISNUMBER($J$84),$B$69=1),$J$84,HLOOKUP(INDIRECT(ADDRESS(2,COLUMN())),OFFSET($S$2,0,0,ROW()-1,13),ROW()-1,FALSE))</f>
        <v>444900</v>
      </c>
      <c r="K15">
        <f ca="1">IF(AND(ISNUMBER($K$84),$B$69=1),$K$84,HLOOKUP(INDIRECT(ADDRESS(2,COLUMN())),OFFSET($S$2,0,0,ROW()-1,13),ROW()-1,FALSE))</f>
        <v>489600</v>
      </c>
      <c r="L15">
        <f ca="1">IF(AND(ISNUMBER($L$84),$B$69=1),$L$84,HLOOKUP(INDIRECT(ADDRESS(2,COLUMN())),OFFSET($S$2,0,0,ROW()-1,13),ROW()-1,FALSE))</f>
        <v>508300</v>
      </c>
      <c r="M15">
        <f ca="1">IF(AND(ISNUMBER($M$84),$B$69=1),$M$84,HLOOKUP(INDIRECT(ADDRESS(2,COLUMN())),OFFSET($S$2,0,0,ROW()-1,13),ROW()-1,FALSE))</f>
        <v>489100</v>
      </c>
      <c r="N15">
        <f ca="1">IF(AND(ISNUMBER($N$84),$B$69=1),$N$84,HLOOKUP(INDIRECT(ADDRESS(2,COLUMN())),OFFSET($S$2,0,0,ROW()-1,13),ROW()-1,FALSE))</f>
        <v>457600</v>
      </c>
      <c r="O15">
        <f ca="1">IF(AND(ISNUMBER($O$84),$B$69=1),$O$84,HLOOKUP(INDIRECT(ADDRESS(2,COLUMN())),OFFSET($S$2,0,0,ROW()-1,13),ROW()-1,FALSE))</f>
        <v>449800</v>
      </c>
      <c r="P15">
        <f ca="1">IF(AND(ISNUMBER($P$84),$B$69=1),$P$84,HLOOKUP(INDIRECT(ADDRESS(2,COLUMN())),OFFSET($S$2,0,0,ROW()-1,13),ROW()-1,FALSE))</f>
        <v>420800</v>
      </c>
      <c r="Q15">
        <f ca="1">IF(AND(ISNUMBER($Q$84),$B$69=1),$Q$84,HLOOKUP(INDIRECT(ADDRESS(2,COLUMN())),OFFSET($S$2,0,0,ROW()-1,13),ROW()-1,FALSE))</f>
        <v>414900</v>
      </c>
      <c r="R15">
        <f ca="1">IF(AND(ISNUMBER($R$84),$B$69=1),$R$84,HLOOKUP(INDIRECT(ADDRESS(2,COLUMN())),OFFSET($S$2,0,0,ROW()-1,13),ROW()-1,FALSE))</f>
        <v>438400</v>
      </c>
      <c r="S15">
        <f>247500</f>
        <v>247500</v>
      </c>
      <c r="T15">
        <f>380900</f>
        <v>380900</v>
      </c>
      <c r="U15">
        <f>400400</f>
        <v>400400</v>
      </c>
      <c r="V15">
        <f>453300</f>
        <v>453300</v>
      </c>
      <c r="W15">
        <f>444900</f>
        <v>444900</v>
      </c>
      <c r="X15">
        <f>489600</f>
        <v>489600</v>
      </c>
      <c r="Y15">
        <f>508300</f>
        <v>508300</v>
      </c>
      <c r="Z15">
        <f>489100</f>
        <v>489100</v>
      </c>
      <c r="AA15">
        <f>457600</f>
        <v>457600</v>
      </c>
      <c r="AB15">
        <f>449800</f>
        <v>449800</v>
      </c>
      <c r="AC15">
        <f>420800</f>
        <v>420800</v>
      </c>
      <c r="AD15">
        <f>414900</f>
        <v>414900</v>
      </c>
      <c r="AE15">
        <f>438400</f>
        <v>438400</v>
      </c>
    </row>
    <row r="16" spans="1:31" x14ac:dyDescent="0.2">
      <c r="A16" t="str">
        <f>"    Australasia &amp; Oceania - Sub Saharan Africa"</f>
        <v xml:space="preserve">    Australasia &amp; Oceania - Sub Saharan Africa</v>
      </c>
      <c r="B16" t="str">
        <f>"CSHVOSSA Index"</f>
        <v>CSHVOSSA Index</v>
      </c>
      <c r="C16" t="str">
        <f t="shared" si="0"/>
        <v>PX385</v>
      </c>
      <c r="D16" t="str">
        <f t="shared" si="1"/>
        <v>INTERVAL_SUM</v>
      </c>
      <c r="E16" t="str">
        <f t="shared" si="2"/>
        <v>Dynamic</v>
      </c>
      <c r="F16">
        <f ca="1">IF(AND(ISNUMBER($F$85),$B$69=1),$F$85,HLOOKUP(INDIRECT(ADDRESS(2,COLUMN())),OFFSET($S$2,0,0,ROW()-1,13),ROW()-1,FALSE))</f>
        <v>31900</v>
      </c>
      <c r="G16">
        <f ca="1">IF(AND(ISNUMBER($G$85),$B$69=1),$G$85,HLOOKUP(INDIRECT(ADDRESS(2,COLUMN())),OFFSET($S$2,0,0,ROW()-1,13),ROW()-1,FALSE))</f>
        <v>52100</v>
      </c>
      <c r="H16">
        <f ca="1">IF(AND(ISNUMBER($H$85),$B$69=1),$H$85,HLOOKUP(INDIRECT(ADDRESS(2,COLUMN())),OFFSET($S$2,0,0,ROW()-1,13),ROW()-1,FALSE))</f>
        <v>54800</v>
      </c>
      <c r="I16">
        <f ca="1">IF(AND(ISNUMBER($I$85),$B$69=1),$I$85,HLOOKUP(INDIRECT(ADDRESS(2,COLUMN())),OFFSET($S$2,0,0,ROW()-1,13),ROW()-1,FALSE))</f>
        <v>44100</v>
      </c>
      <c r="J16">
        <f ca="1">IF(AND(ISNUMBER($J$85),$B$69=1),$J$85,HLOOKUP(INDIRECT(ADDRESS(2,COLUMN())),OFFSET($S$2,0,0,ROW()-1,13),ROW()-1,FALSE))</f>
        <v>48100</v>
      </c>
      <c r="K16">
        <f ca="1">IF(AND(ISNUMBER($K$85),$B$69=1),$K$85,HLOOKUP(INDIRECT(ADDRESS(2,COLUMN())),OFFSET($S$2,0,0,ROW()-1,13),ROW()-1,FALSE))</f>
        <v>50800</v>
      </c>
      <c r="L16">
        <f ca="1">IF(AND(ISNUMBER($L$85),$B$69=1),$L$85,HLOOKUP(INDIRECT(ADDRESS(2,COLUMN())),OFFSET($S$2,0,0,ROW()-1,13),ROW()-1,FALSE))</f>
        <v>51400</v>
      </c>
      <c r="M16">
        <f ca="1">IF(AND(ISNUMBER($M$85),$B$69=1),$M$85,HLOOKUP(INDIRECT(ADDRESS(2,COLUMN())),OFFSET($S$2,0,0,ROW()-1,13),ROW()-1,FALSE))</f>
        <v>48600</v>
      </c>
      <c r="N16">
        <f ca="1">IF(AND(ISNUMBER($N$85),$B$69=1),$N$85,HLOOKUP(INDIRECT(ADDRESS(2,COLUMN())),OFFSET($S$2,0,0,ROW()-1,13),ROW()-1,FALSE))</f>
        <v>52000</v>
      </c>
      <c r="O16">
        <f ca="1">IF(AND(ISNUMBER($O$85),$B$69=1),$O$85,HLOOKUP(INDIRECT(ADDRESS(2,COLUMN())),OFFSET($S$2,0,0,ROW()-1,13),ROW()-1,FALSE))</f>
        <v>47600</v>
      </c>
      <c r="P16">
        <f ca="1">IF(AND(ISNUMBER($P$85),$B$69=1),$P$85,HLOOKUP(INDIRECT(ADDRESS(2,COLUMN())),OFFSET($S$2,0,0,ROW()-1,13),ROW()-1,FALSE))</f>
        <v>53100</v>
      </c>
      <c r="Q16">
        <f ca="1">IF(AND(ISNUMBER($Q$85),$B$69=1),$Q$85,HLOOKUP(INDIRECT(ADDRESS(2,COLUMN())),OFFSET($S$2,0,0,ROW()-1,13),ROW()-1,FALSE))</f>
        <v>53300</v>
      </c>
      <c r="R16">
        <f ca="1">IF(AND(ISNUMBER($R$85),$B$69=1),$R$85,HLOOKUP(INDIRECT(ADDRESS(2,COLUMN())),OFFSET($S$2,0,0,ROW()-1,13),ROW()-1,FALSE))</f>
        <v>50400</v>
      </c>
      <c r="S16">
        <f>31900</f>
        <v>31900</v>
      </c>
      <c r="T16">
        <f>52100</f>
        <v>52100</v>
      </c>
      <c r="U16">
        <f>54800</f>
        <v>54800</v>
      </c>
      <c r="V16">
        <f>44100</f>
        <v>44100</v>
      </c>
      <c r="W16">
        <f>48100</f>
        <v>48100</v>
      </c>
      <c r="X16">
        <f>50800</f>
        <v>50800</v>
      </c>
      <c r="Y16">
        <f>51400</f>
        <v>51400</v>
      </c>
      <c r="Z16">
        <f>48600</f>
        <v>48600</v>
      </c>
      <c r="AA16">
        <f>52000</f>
        <v>52000</v>
      </c>
      <c r="AB16">
        <f>47600</f>
        <v>47600</v>
      </c>
      <c r="AC16">
        <f>53100</f>
        <v>53100</v>
      </c>
      <c r="AD16">
        <f>53300</f>
        <v>53300</v>
      </c>
      <c r="AE16">
        <f>50400</f>
        <v>50400</v>
      </c>
    </row>
    <row r="17" spans="1:31" x14ac:dyDescent="0.2">
      <c r="A17" t="str">
        <f>"    Australasia &amp; Oceania - Indian Sub Cont. &amp; Middle East"</f>
        <v xml:space="preserve">    Australasia &amp; Oceania - Indian Sub Cont. &amp; Middle East</v>
      </c>
      <c r="B17" t="str">
        <f>"CSHVOIME Index"</f>
        <v>CSHVOIME Index</v>
      </c>
      <c r="C17" t="str">
        <f t="shared" si="0"/>
        <v>PX385</v>
      </c>
      <c r="D17" t="str">
        <f t="shared" si="1"/>
        <v>INTERVAL_SUM</v>
      </c>
      <c r="E17" t="str">
        <f t="shared" si="2"/>
        <v>Dynamic</v>
      </c>
      <c r="F17">
        <f ca="1">IF(AND(ISNUMBER($F$86),$B$69=1),$F$86,HLOOKUP(INDIRECT(ADDRESS(2,COLUMN())),OFFSET($S$2,0,0,ROW()-1,13),ROW()-1,FALSE))</f>
        <v>177800</v>
      </c>
      <c r="G17">
        <f ca="1">IF(AND(ISNUMBER($G$86),$B$69=1),$G$86,HLOOKUP(INDIRECT(ADDRESS(2,COLUMN())),OFFSET($S$2,0,0,ROW()-1,13),ROW()-1,FALSE))</f>
        <v>213800</v>
      </c>
      <c r="H17">
        <f ca="1">IF(AND(ISNUMBER($H$86),$B$69=1),$H$86,HLOOKUP(INDIRECT(ADDRESS(2,COLUMN())),OFFSET($S$2,0,0,ROW()-1,13),ROW()-1,FALSE))</f>
        <v>262700</v>
      </c>
      <c r="I17">
        <f ca="1">IF(AND(ISNUMBER($I$86),$B$69=1),$I$86,HLOOKUP(INDIRECT(ADDRESS(2,COLUMN())),OFFSET($S$2,0,0,ROW()-1,13),ROW()-1,FALSE))</f>
        <v>253700</v>
      </c>
      <c r="J17">
        <f ca="1">IF(AND(ISNUMBER($J$86),$B$69=1),$J$86,HLOOKUP(INDIRECT(ADDRESS(2,COLUMN())),OFFSET($S$2,0,0,ROW()-1,13),ROW()-1,FALSE))</f>
        <v>282500</v>
      </c>
      <c r="K17">
        <f ca="1">IF(AND(ISNUMBER($K$86),$B$69=1),$K$86,HLOOKUP(INDIRECT(ADDRESS(2,COLUMN())),OFFSET($S$2,0,0,ROW()-1,13),ROW()-1,FALSE))</f>
        <v>262900</v>
      </c>
      <c r="L17">
        <f ca="1">IF(AND(ISNUMBER($L$86),$B$69=1),$L$86,HLOOKUP(INDIRECT(ADDRESS(2,COLUMN())),OFFSET($S$2,0,0,ROW()-1,13),ROW()-1,FALSE))</f>
        <v>452200</v>
      </c>
      <c r="M17">
        <f ca="1">IF(AND(ISNUMBER($M$86),$B$69=1),$M$86,HLOOKUP(INDIRECT(ADDRESS(2,COLUMN())),OFFSET($S$2,0,0,ROW()-1,13),ROW()-1,FALSE))</f>
        <v>365100</v>
      </c>
      <c r="N17">
        <f ca="1">IF(AND(ISNUMBER($N$86),$B$69=1),$N$86,HLOOKUP(INDIRECT(ADDRESS(2,COLUMN())),OFFSET($S$2,0,0,ROW()-1,13),ROW()-1,FALSE))</f>
        <v>336000</v>
      </c>
      <c r="O17">
        <f ca="1">IF(AND(ISNUMBER($O$86),$B$69=1),$O$86,HLOOKUP(INDIRECT(ADDRESS(2,COLUMN())),OFFSET($S$2,0,0,ROW()-1,13),ROW()-1,FALSE))</f>
        <v>250500</v>
      </c>
      <c r="P17">
        <f ca="1">IF(AND(ISNUMBER($P$86),$B$69=1),$P$86,HLOOKUP(INDIRECT(ADDRESS(2,COLUMN())),OFFSET($S$2,0,0,ROW()-1,13),ROW()-1,FALSE))</f>
        <v>206500</v>
      </c>
      <c r="Q17">
        <f ca="1">IF(AND(ISNUMBER($Q$86),$B$69=1),$Q$86,HLOOKUP(INDIRECT(ADDRESS(2,COLUMN())),OFFSET($S$2,0,0,ROW()-1,13),ROW()-1,FALSE))</f>
        <v>223900</v>
      </c>
      <c r="R17">
        <f ca="1">IF(AND(ISNUMBER($R$86),$B$69=1),$R$86,HLOOKUP(INDIRECT(ADDRESS(2,COLUMN())),OFFSET($S$2,0,0,ROW()-1,13),ROW()-1,FALSE))</f>
        <v>194700</v>
      </c>
      <c r="S17">
        <f>177800</f>
        <v>177800</v>
      </c>
      <c r="T17">
        <f>213800</f>
        <v>213800</v>
      </c>
      <c r="U17">
        <f>262700</f>
        <v>262700</v>
      </c>
      <c r="V17">
        <f>253700</f>
        <v>253700</v>
      </c>
      <c r="W17">
        <f>282500</f>
        <v>282500</v>
      </c>
      <c r="X17">
        <f>262900</f>
        <v>262900</v>
      </c>
      <c r="Y17">
        <f>452200</f>
        <v>452200</v>
      </c>
      <c r="Z17">
        <f>365100</f>
        <v>365100</v>
      </c>
      <c r="AA17">
        <f>336000</f>
        <v>336000</v>
      </c>
      <c r="AB17">
        <f>250500</f>
        <v>250500</v>
      </c>
      <c r="AC17">
        <f>206500</f>
        <v>206500</v>
      </c>
      <c r="AD17">
        <f>223900</f>
        <v>223900</v>
      </c>
      <c r="AE17">
        <f>194700</f>
        <v>194700</v>
      </c>
    </row>
    <row r="18" spans="1:31" x14ac:dyDescent="0.2">
      <c r="A18" t="str">
        <f>"    Europe - Europe"</f>
        <v xml:space="preserve">    Europe - Europe</v>
      </c>
      <c r="B18" t="str">
        <f>"CSHVEEUR Index"</f>
        <v>CSHVEEUR Index</v>
      </c>
      <c r="C18" t="str">
        <f t="shared" si="0"/>
        <v>PX385</v>
      </c>
      <c r="D18" t="str">
        <f t="shared" si="1"/>
        <v>INTERVAL_SUM</v>
      </c>
      <c r="E18" t="str">
        <f t="shared" si="2"/>
        <v>Dynamic</v>
      </c>
      <c r="F18">
        <f ca="1">IF(AND(ISNUMBER($F$87),$B$69=1),$F$87,HLOOKUP(INDIRECT(ADDRESS(2,COLUMN())),OFFSET($S$2,0,0,ROW()-1,13),ROW()-1,FALSE))</f>
        <v>5716800</v>
      </c>
      <c r="G18">
        <f ca="1">IF(AND(ISNUMBER($G$87),$B$69=1),$G$87,HLOOKUP(INDIRECT(ADDRESS(2,COLUMN())),OFFSET($S$2,0,0,ROW()-1,13),ROW()-1,FALSE))</f>
        <v>8178400</v>
      </c>
      <c r="H18">
        <f ca="1">IF(AND(ISNUMBER($H$87),$B$69=1),$H$87,HLOOKUP(INDIRECT(ADDRESS(2,COLUMN())),OFFSET($S$2,0,0,ROW()-1,13),ROW()-1,FALSE))</f>
        <v>8933400</v>
      </c>
      <c r="I18">
        <f ca="1">IF(AND(ISNUMBER($I$87),$B$69=1),$I$87,HLOOKUP(INDIRECT(ADDRESS(2,COLUMN())),OFFSET($S$2,0,0,ROW()-1,13),ROW()-1,FALSE))</f>
        <v>8201800</v>
      </c>
      <c r="J18">
        <f ca="1">IF(AND(ISNUMBER($J$87),$B$69=1),$J$87,HLOOKUP(INDIRECT(ADDRESS(2,COLUMN())),OFFSET($S$2,0,0,ROW()-1,13),ROW()-1,FALSE))</f>
        <v>8222700</v>
      </c>
      <c r="K18">
        <f ca="1">IF(AND(ISNUMBER($K$87),$B$69=1),$K$87,HLOOKUP(INDIRECT(ADDRESS(2,COLUMN())),OFFSET($S$2,0,0,ROW()-1,13),ROW()-1,FALSE))</f>
        <v>7732100</v>
      </c>
      <c r="L18">
        <f ca="1">IF(AND(ISNUMBER($L$87),$B$69=1),$L$87,HLOOKUP(INDIRECT(ADDRESS(2,COLUMN())),OFFSET($S$2,0,0,ROW()-1,13),ROW()-1,FALSE))</f>
        <v>7255800</v>
      </c>
      <c r="M18">
        <f ca="1">IF(AND(ISNUMBER($M$87),$B$69=1),$M$87,HLOOKUP(INDIRECT(ADDRESS(2,COLUMN())),OFFSET($S$2,0,0,ROW()-1,13),ROW()-1,FALSE))</f>
        <v>7034900</v>
      </c>
      <c r="N18">
        <f ca="1">IF(AND(ISNUMBER($N$87),$B$69=1),$N$87,HLOOKUP(INDIRECT(ADDRESS(2,COLUMN())),OFFSET($S$2,0,0,ROW()-1,13),ROW()-1,FALSE))</f>
        <v>6764300</v>
      </c>
      <c r="O18">
        <f ca="1">IF(AND(ISNUMBER($O$87),$B$69=1),$O$87,HLOOKUP(INDIRECT(ADDRESS(2,COLUMN())),OFFSET($S$2,0,0,ROW()-1,13),ROW()-1,FALSE))</f>
        <v>6709800</v>
      </c>
      <c r="P18">
        <f ca="1">IF(AND(ISNUMBER($P$87),$B$69=1),$P$87,HLOOKUP(INDIRECT(ADDRESS(2,COLUMN())),OFFSET($S$2,0,0,ROW()-1,13),ROW()-1,FALSE))</f>
        <v>6263900</v>
      </c>
      <c r="Q18">
        <f ca="1">IF(AND(ISNUMBER($Q$87),$B$69=1),$Q$87,HLOOKUP(INDIRECT(ADDRESS(2,COLUMN())),OFFSET($S$2,0,0,ROW()-1,13),ROW()-1,FALSE))</f>
        <v>6010300</v>
      </c>
      <c r="R18">
        <f ca="1">IF(AND(ISNUMBER($R$87),$B$69=1),$R$87,HLOOKUP(INDIRECT(ADDRESS(2,COLUMN())),OFFSET($S$2,0,0,ROW()-1,13),ROW()-1,FALSE))</f>
        <v>5959700</v>
      </c>
      <c r="S18">
        <f>5716800</f>
        <v>5716800</v>
      </c>
      <c r="T18">
        <f>8178400</f>
        <v>8178400</v>
      </c>
      <c r="U18">
        <f>8933400</f>
        <v>8933400</v>
      </c>
      <c r="V18">
        <f>8201800</f>
        <v>8201800</v>
      </c>
      <c r="W18">
        <f>8222700</f>
        <v>8222700</v>
      </c>
      <c r="X18">
        <f>7732100</f>
        <v>7732100</v>
      </c>
      <c r="Y18">
        <f>7255800</f>
        <v>7255800</v>
      </c>
      <c r="Z18">
        <f>7034900</f>
        <v>7034900</v>
      </c>
      <c r="AA18">
        <f>6764300</f>
        <v>6764300</v>
      </c>
      <c r="AB18">
        <f>6709800</f>
        <v>6709800</v>
      </c>
      <c r="AC18">
        <f>6263900</f>
        <v>6263900</v>
      </c>
      <c r="AD18">
        <f>6010300</f>
        <v>6010300</v>
      </c>
      <c r="AE18">
        <f>5959700</f>
        <v>5959700</v>
      </c>
    </row>
    <row r="19" spans="1:31" x14ac:dyDescent="0.2">
      <c r="A19" t="str">
        <f>"    Europe - Asia"</f>
        <v xml:space="preserve">    Europe - Asia</v>
      </c>
      <c r="B19" t="str">
        <f>"CSHVEASR Index"</f>
        <v>CSHVEASR Index</v>
      </c>
      <c r="C19" t="str">
        <f t="shared" si="0"/>
        <v>PX385</v>
      </c>
      <c r="D19" t="str">
        <f t="shared" si="1"/>
        <v>INTERVAL_SUM</v>
      </c>
      <c r="E19" t="str">
        <f t="shared" si="2"/>
        <v>Dynamic</v>
      </c>
      <c r="F19">
        <f ca="1">IF(AND(ISNUMBER($F$88),$B$69=1),$F$88,HLOOKUP(INDIRECT(ADDRESS(2,COLUMN())),OFFSET($S$2,0,0,ROW()-1,13),ROW()-1,FALSE))</f>
        <v>4749500</v>
      </c>
      <c r="G19">
        <f ca="1">IF(AND(ISNUMBER($G$88),$B$69=1),$G$88,HLOOKUP(INDIRECT(ADDRESS(2,COLUMN())),OFFSET($S$2,0,0,ROW()-1,13),ROW()-1,FALSE))</f>
        <v>6730800</v>
      </c>
      <c r="H19">
        <f ca="1">IF(AND(ISNUMBER($H$88),$B$69=1),$H$88,HLOOKUP(INDIRECT(ADDRESS(2,COLUMN())),OFFSET($S$2,0,0,ROW()-1,13),ROW()-1,FALSE))</f>
        <v>7750800</v>
      </c>
      <c r="I19">
        <f ca="1">IF(AND(ISNUMBER($I$88),$B$69=1),$I$88,HLOOKUP(INDIRECT(ADDRESS(2,COLUMN())),OFFSET($S$2,0,0,ROW()-1,13),ROW()-1,FALSE))</f>
        <v>8209400</v>
      </c>
      <c r="J19">
        <f ca="1">IF(AND(ISNUMBER($J$88),$B$69=1),$J$88,HLOOKUP(INDIRECT(ADDRESS(2,COLUMN())),OFFSET($S$2,0,0,ROW()-1,13),ROW()-1,FALSE))</f>
        <v>8134100</v>
      </c>
      <c r="K19">
        <f ca="1">IF(AND(ISNUMBER($K$88),$B$69=1),$K$88,HLOOKUP(INDIRECT(ADDRESS(2,COLUMN())),OFFSET($S$2,0,0,ROW()-1,13),ROW()-1,FALSE))</f>
        <v>7649500</v>
      </c>
      <c r="L19">
        <f ca="1">IF(AND(ISNUMBER($L$88),$B$69=1),$L$88,HLOOKUP(INDIRECT(ADDRESS(2,COLUMN())),OFFSET($S$2,0,0,ROW()-1,13),ROW()-1,FALSE))</f>
        <v>7892400</v>
      </c>
      <c r="M19">
        <f ca="1">IF(AND(ISNUMBER($M$88),$B$69=1),$M$88,HLOOKUP(INDIRECT(ADDRESS(2,COLUMN())),OFFSET($S$2,0,0,ROW()-1,13),ROW()-1,FALSE))</f>
        <v>7460800</v>
      </c>
      <c r="N19">
        <f ca="1">IF(AND(ISNUMBER($N$88),$B$69=1),$N$88,HLOOKUP(INDIRECT(ADDRESS(2,COLUMN())),OFFSET($S$2,0,0,ROW()-1,13),ROW()-1,FALSE))</f>
        <v>6930000</v>
      </c>
      <c r="O19">
        <f ca="1">IF(AND(ISNUMBER($O$88),$B$69=1),$O$88,HLOOKUP(INDIRECT(ADDRESS(2,COLUMN())),OFFSET($S$2,0,0,ROW()-1,13),ROW()-1,FALSE))</f>
        <v>6853700</v>
      </c>
      <c r="P19">
        <f ca="1">IF(AND(ISNUMBER($P$88),$B$69=1),$P$88,HLOOKUP(INDIRECT(ADDRESS(2,COLUMN())),OFFSET($S$2,0,0,ROW()-1,13),ROW()-1,FALSE))</f>
        <v>6861100</v>
      </c>
      <c r="Q19">
        <f ca="1">IF(AND(ISNUMBER($Q$88),$B$69=1),$Q$88,HLOOKUP(INDIRECT(ADDRESS(2,COLUMN())),OFFSET($S$2,0,0,ROW()-1,13),ROW()-1,FALSE))</f>
        <v>6508100</v>
      </c>
      <c r="R19">
        <f ca="1">IF(AND(ISNUMBER($R$88),$B$69=1),$R$88,HLOOKUP(INDIRECT(ADDRESS(2,COLUMN())),OFFSET($S$2,0,0,ROW()-1,13),ROW()-1,FALSE))</f>
        <v>6230500</v>
      </c>
      <c r="S19">
        <f>4749500</f>
        <v>4749500</v>
      </c>
      <c r="T19">
        <f>6730800</f>
        <v>6730800</v>
      </c>
      <c r="U19">
        <f>7750800</f>
        <v>7750800</v>
      </c>
      <c r="V19">
        <f>8209400</f>
        <v>8209400</v>
      </c>
      <c r="W19">
        <f>8134100</f>
        <v>8134100</v>
      </c>
      <c r="X19">
        <f>7649500</f>
        <v>7649500</v>
      </c>
      <c r="Y19">
        <f>7892400</f>
        <v>7892400</v>
      </c>
      <c r="Z19">
        <f>7460800</f>
        <v>7460800</v>
      </c>
      <c r="AA19">
        <f>6930000</f>
        <v>6930000</v>
      </c>
      <c r="AB19">
        <f>6853700</f>
        <v>6853700</v>
      </c>
      <c r="AC19">
        <f>6861100</f>
        <v>6861100</v>
      </c>
      <c r="AD19">
        <f>6508100</f>
        <v>6508100</v>
      </c>
      <c r="AE19">
        <f>6230500</f>
        <v>6230500</v>
      </c>
    </row>
    <row r="20" spans="1:31" x14ac:dyDescent="0.2">
      <c r="A20" t="str">
        <f>"    Europe - North America"</f>
        <v xml:space="preserve">    Europe - North America</v>
      </c>
      <c r="B20" t="str">
        <f>"CSHVENAR Index"</f>
        <v>CSHVENAR Index</v>
      </c>
      <c r="C20" t="str">
        <f t="shared" si="0"/>
        <v>PX385</v>
      </c>
      <c r="D20" t="str">
        <f t="shared" si="1"/>
        <v>INTERVAL_SUM</v>
      </c>
      <c r="E20" t="str">
        <f t="shared" si="2"/>
        <v>Dynamic</v>
      </c>
      <c r="F20">
        <f ca="1">IF(AND(ISNUMBER($F$89),$B$69=1),$F$89,HLOOKUP(INDIRECT(ADDRESS(2,COLUMN())),OFFSET($S$2,0,0,ROW()-1,13),ROW()-1,FALSE))</f>
        <v>3665100</v>
      </c>
      <c r="G20">
        <f ca="1">IF(AND(ISNUMBER($G$89),$B$69=1),$G$89,HLOOKUP(INDIRECT(ADDRESS(2,COLUMN())),OFFSET($S$2,0,0,ROW()-1,13),ROW()-1,FALSE))</f>
        <v>5520200</v>
      </c>
      <c r="H20">
        <f ca="1">IF(AND(ISNUMBER($H$89),$B$69=1),$H$89,HLOOKUP(INDIRECT(ADDRESS(2,COLUMN())),OFFSET($S$2,0,0,ROW()-1,13),ROW()-1,FALSE))</f>
        <v>5627800</v>
      </c>
      <c r="I20">
        <f ca="1">IF(AND(ISNUMBER($I$89),$B$69=1),$I$89,HLOOKUP(INDIRECT(ADDRESS(2,COLUMN())),OFFSET($S$2,0,0,ROW()-1,13),ROW()-1,FALSE))</f>
        <v>5010800</v>
      </c>
      <c r="J20">
        <f ca="1">IF(AND(ISNUMBER($J$89),$B$69=1),$J$89,HLOOKUP(INDIRECT(ADDRESS(2,COLUMN())),OFFSET($S$2,0,0,ROW()-1,13),ROW()-1,FALSE))</f>
        <v>5102000</v>
      </c>
      <c r="K20">
        <f ca="1">IF(AND(ISNUMBER($K$89),$B$69=1),$K$89,HLOOKUP(INDIRECT(ADDRESS(2,COLUMN())),OFFSET($S$2,0,0,ROW()-1,13),ROW()-1,FALSE))</f>
        <v>4978300</v>
      </c>
      <c r="L20">
        <f ca="1">IF(AND(ISNUMBER($L$89),$B$69=1),$L$89,HLOOKUP(INDIRECT(ADDRESS(2,COLUMN())),OFFSET($S$2,0,0,ROW()-1,13),ROW()-1,FALSE))</f>
        <v>4683700</v>
      </c>
      <c r="M20">
        <f ca="1">IF(AND(ISNUMBER($M$89),$B$69=1),$M$89,HLOOKUP(INDIRECT(ADDRESS(2,COLUMN())),OFFSET($S$2,0,0,ROW()-1,13),ROW()-1,FALSE))</f>
        <v>4326100</v>
      </c>
      <c r="N20">
        <f ca="1">IF(AND(ISNUMBER($N$89),$B$69=1),$N$89,HLOOKUP(INDIRECT(ADDRESS(2,COLUMN())),OFFSET($S$2,0,0,ROW()-1,13),ROW()-1,FALSE))</f>
        <v>4178800</v>
      </c>
      <c r="O20">
        <f ca="1">IF(AND(ISNUMBER($O$89),$B$69=1),$O$89,HLOOKUP(INDIRECT(ADDRESS(2,COLUMN())),OFFSET($S$2,0,0,ROW()-1,13),ROW()-1,FALSE))</f>
        <v>3917300</v>
      </c>
      <c r="P20">
        <f ca="1">IF(AND(ISNUMBER($P$89),$B$69=1),$P$89,HLOOKUP(INDIRECT(ADDRESS(2,COLUMN())),OFFSET($S$2,0,0,ROW()-1,13),ROW()-1,FALSE))</f>
        <v>3586100</v>
      </c>
      <c r="Q20">
        <f ca="1">IF(AND(ISNUMBER($Q$89),$B$69=1),$Q$89,HLOOKUP(INDIRECT(ADDRESS(2,COLUMN())),OFFSET($S$2,0,0,ROW()-1,13),ROW()-1,FALSE))</f>
        <v>3469100</v>
      </c>
      <c r="R20">
        <f ca="1">IF(AND(ISNUMBER($R$89),$B$69=1),$R$89,HLOOKUP(INDIRECT(ADDRESS(2,COLUMN())),OFFSET($S$2,0,0,ROW()-1,13),ROW()-1,FALSE))</f>
        <v>3286000</v>
      </c>
      <c r="S20">
        <f>3665100</f>
        <v>3665100</v>
      </c>
      <c r="T20">
        <f>5520200</f>
        <v>5520200</v>
      </c>
      <c r="U20">
        <f>5627800</f>
        <v>5627800</v>
      </c>
      <c r="V20">
        <f>5010800</f>
        <v>5010800</v>
      </c>
      <c r="W20">
        <f>5102000</f>
        <v>5102000</v>
      </c>
      <c r="X20">
        <f>4978300</f>
        <v>4978300</v>
      </c>
      <c r="Y20">
        <f>4683700</f>
        <v>4683700</v>
      </c>
      <c r="Z20">
        <f>4326100</f>
        <v>4326100</v>
      </c>
      <c r="AA20">
        <f>4178800</f>
        <v>4178800</v>
      </c>
      <c r="AB20">
        <f>3917300</f>
        <v>3917300</v>
      </c>
      <c r="AC20">
        <f>3586100</f>
        <v>3586100</v>
      </c>
      <c r="AD20">
        <f>3469100</f>
        <v>3469100</v>
      </c>
      <c r="AE20">
        <f>3286000</f>
        <v>3286000</v>
      </c>
    </row>
    <row r="21" spans="1:31" x14ac:dyDescent="0.2">
      <c r="A21" t="str">
        <f>"    Europe - Australasia &amp; Oceania"</f>
        <v xml:space="preserve">    Europe - Australasia &amp; Oceania</v>
      </c>
      <c r="B21" t="str">
        <f>"CSHVEAUO Index"</f>
        <v>CSHVEAUO Index</v>
      </c>
      <c r="C21" t="str">
        <f t="shared" si="0"/>
        <v>PX385</v>
      </c>
      <c r="D21" t="str">
        <f t="shared" si="1"/>
        <v>INTERVAL_SUM</v>
      </c>
      <c r="E21" t="str">
        <f t="shared" si="2"/>
        <v>Dynamic</v>
      </c>
      <c r="F21">
        <f ca="1">IF(AND(ISNUMBER($F$90),$B$69=1),$F$90,HLOOKUP(INDIRECT(ADDRESS(2,COLUMN())),OFFSET($S$2,0,0,ROW()-1,13),ROW()-1,FALSE))</f>
        <v>456500</v>
      </c>
      <c r="G21">
        <f ca="1">IF(AND(ISNUMBER($G$90),$B$69=1),$G$90,HLOOKUP(INDIRECT(ADDRESS(2,COLUMN())),OFFSET($S$2,0,0,ROW()-1,13),ROW()-1,FALSE))</f>
        <v>711300</v>
      </c>
      <c r="H21">
        <f ca="1">IF(AND(ISNUMBER($H$90),$B$69=1),$H$90,HLOOKUP(INDIRECT(ADDRESS(2,COLUMN())),OFFSET($S$2,0,0,ROW()-1,13),ROW()-1,FALSE))</f>
        <v>754100</v>
      </c>
      <c r="I21">
        <f ca="1">IF(AND(ISNUMBER($I$90),$B$69=1),$I$90,HLOOKUP(INDIRECT(ADDRESS(2,COLUMN())),OFFSET($S$2,0,0,ROW()-1,13),ROW()-1,FALSE))</f>
        <v>699300</v>
      </c>
      <c r="J21">
        <f ca="1">IF(AND(ISNUMBER($J$90),$B$69=1),$J$90,HLOOKUP(INDIRECT(ADDRESS(2,COLUMN())),OFFSET($S$2,0,0,ROW()-1,13),ROW()-1,FALSE))</f>
        <v>723100</v>
      </c>
      <c r="K21">
        <f ca="1">IF(AND(ISNUMBER($K$90),$B$69=1),$K$90,HLOOKUP(INDIRECT(ADDRESS(2,COLUMN())),OFFSET($S$2,0,0,ROW()-1,13),ROW()-1,FALSE))</f>
        <v>756600</v>
      </c>
      <c r="L21">
        <f ca="1">IF(AND(ISNUMBER($L$90),$B$69=1),$L$90,HLOOKUP(INDIRECT(ADDRESS(2,COLUMN())),OFFSET($S$2,0,0,ROW()-1,13),ROW()-1,FALSE))</f>
        <v>690800</v>
      </c>
      <c r="M21">
        <f ca="1">IF(AND(ISNUMBER($M$90),$B$69=1),$M$90,HLOOKUP(INDIRECT(ADDRESS(2,COLUMN())),OFFSET($S$2,0,0,ROW()-1,13),ROW()-1,FALSE))</f>
        <v>603100</v>
      </c>
      <c r="N21">
        <f ca="1">IF(AND(ISNUMBER($N$90),$B$69=1),$N$90,HLOOKUP(INDIRECT(ADDRESS(2,COLUMN())),OFFSET($S$2,0,0,ROW()-1,13),ROW()-1,FALSE))</f>
        <v>558200</v>
      </c>
      <c r="O21">
        <f ca="1">IF(AND(ISNUMBER($O$90),$B$69=1),$O$90,HLOOKUP(INDIRECT(ADDRESS(2,COLUMN())),OFFSET($S$2,0,0,ROW()-1,13),ROW()-1,FALSE))</f>
        <v>545800</v>
      </c>
      <c r="P21">
        <f ca="1">IF(AND(ISNUMBER($P$90),$B$69=1),$P$90,HLOOKUP(INDIRECT(ADDRESS(2,COLUMN())),OFFSET($S$2,0,0,ROW()-1,13),ROW()-1,FALSE))</f>
        <v>530800</v>
      </c>
      <c r="Q21">
        <f ca="1">IF(AND(ISNUMBER($Q$90),$B$69=1),$Q$90,HLOOKUP(INDIRECT(ADDRESS(2,COLUMN())),OFFSET($S$2,0,0,ROW()-1,13),ROW()-1,FALSE))</f>
        <v>504300</v>
      </c>
      <c r="R21">
        <f ca="1">IF(AND(ISNUMBER($R$90),$B$69=1),$R$90,HLOOKUP(INDIRECT(ADDRESS(2,COLUMN())),OFFSET($S$2,0,0,ROW()-1,13),ROW()-1,FALSE))</f>
        <v>480400</v>
      </c>
      <c r="S21">
        <f>456500</f>
        <v>456500</v>
      </c>
      <c r="T21">
        <f>711300</f>
        <v>711300</v>
      </c>
      <c r="U21">
        <f>754100</f>
        <v>754100</v>
      </c>
      <c r="V21">
        <f>699300</f>
        <v>699300</v>
      </c>
      <c r="W21">
        <f>723100</f>
        <v>723100</v>
      </c>
      <c r="X21">
        <f>756600</f>
        <v>756600</v>
      </c>
      <c r="Y21">
        <f>690800</f>
        <v>690800</v>
      </c>
      <c r="Z21">
        <f>603100</f>
        <v>603100</v>
      </c>
      <c r="AA21">
        <f>558200</f>
        <v>558200</v>
      </c>
      <c r="AB21">
        <f>545800</f>
        <v>545800</v>
      </c>
      <c r="AC21">
        <f>530800</f>
        <v>530800</v>
      </c>
      <c r="AD21">
        <f>504300</f>
        <v>504300</v>
      </c>
      <c r="AE21">
        <f>480400</f>
        <v>480400</v>
      </c>
    </row>
    <row r="22" spans="1:31" x14ac:dyDescent="0.2">
      <c r="A22" t="str">
        <f>"    Europe - Sub Saharan Africa"</f>
        <v xml:space="preserve">    Europe - Sub Saharan Africa</v>
      </c>
      <c r="B22" t="str">
        <f>"CSHVESSA Index"</f>
        <v>CSHVESSA Index</v>
      </c>
      <c r="C22" t="str">
        <f t="shared" si="0"/>
        <v>PX385</v>
      </c>
      <c r="D22" t="str">
        <f t="shared" si="1"/>
        <v>INTERVAL_SUM</v>
      </c>
      <c r="E22" t="str">
        <f t="shared" si="2"/>
        <v>Dynamic</v>
      </c>
      <c r="F22">
        <f ca="1">IF(AND(ISNUMBER($F$91),$B$69=1),$F$91,HLOOKUP(INDIRECT(ADDRESS(2,COLUMN())),OFFSET($S$2,0,0,ROW()-1,13),ROW()-1,FALSE))</f>
        <v>1553500</v>
      </c>
      <c r="G22">
        <f ca="1">IF(AND(ISNUMBER($G$91),$B$69=1),$G$91,HLOOKUP(INDIRECT(ADDRESS(2,COLUMN())),OFFSET($S$2,0,0,ROW()-1,13),ROW()-1,FALSE))</f>
        <v>2208300</v>
      </c>
      <c r="H22">
        <f ca="1">IF(AND(ISNUMBER($H$91),$B$69=1),$H$91,HLOOKUP(INDIRECT(ADDRESS(2,COLUMN())),OFFSET($S$2,0,0,ROW()-1,13),ROW()-1,FALSE))</f>
        <v>2216400</v>
      </c>
      <c r="I22">
        <f ca="1">IF(AND(ISNUMBER($I$91),$B$69=1),$I$91,HLOOKUP(INDIRECT(ADDRESS(2,COLUMN())),OFFSET($S$2,0,0,ROW()-1,13),ROW()-1,FALSE))</f>
        <v>2058100</v>
      </c>
      <c r="J22">
        <f ca="1">IF(AND(ISNUMBER($J$91),$B$69=1),$J$91,HLOOKUP(INDIRECT(ADDRESS(2,COLUMN())),OFFSET($S$2,0,0,ROW()-1,13),ROW()-1,FALSE))</f>
        <v>2173700</v>
      </c>
      <c r="K22">
        <f ca="1">IF(AND(ISNUMBER($K$91),$B$69=1),$K$91,HLOOKUP(INDIRECT(ADDRESS(2,COLUMN())),OFFSET($S$2,0,0,ROW()-1,13),ROW()-1,FALSE))</f>
        <v>2100900</v>
      </c>
      <c r="L22">
        <f ca="1">IF(AND(ISNUMBER($L$91),$B$69=1),$L$91,HLOOKUP(INDIRECT(ADDRESS(2,COLUMN())),OFFSET($S$2,0,0,ROW()-1,13),ROW()-1,FALSE))</f>
        <v>2016400</v>
      </c>
      <c r="M22">
        <f ca="1">IF(AND(ISNUMBER($M$91),$B$69=1),$M$91,HLOOKUP(INDIRECT(ADDRESS(2,COLUMN())),OFFSET($S$2,0,0,ROW()-1,13),ROW()-1,FALSE))</f>
        <v>1895400</v>
      </c>
      <c r="N22">
        <f ca="1">IF(AND(ISNUMBER($N$91),$B$69=1),$N$91,HLOOKUP(INDIRECT(ADDRESS(2,COLUMN())),OFFSET($S$2,0,0,ROW()-1,13),ROW()-1,FALSE))</f>
        <v>2062500</v>
      </c>
      <c r="O22">
        <f ca="1">IF(AND(ISNUMBER($O$91),$B$69=1),$O$91,HLOOKUP(INDIRECT(ADDRESS(2,COLUMN())),OFFSET($S$2,0,0,ROW()-1,13),ROW()-1,FALSE))</f>
        <v>1986200</v>
      </c>
      <c r="P22">
        <f ca="1">IF(AND(ISNUMBER($P$91),$B$69=1),$P$91,HLOOKUP(INDIRECT(ADDRESS(2,COLUMN())),OFFSET($S$2,0,0,ROW()-1,13),ROW()-1,FALSE))</f>
        <v>2048300</v>
      </c>
      <c r="Q22">
        <f ca="1">IF(AND(ISNUMBER($Q$91),$B$69=1),$Q$91,HLOOKUP(INDIRECT(ADDRESS(2,COLUMN())),OFFSET($S$2,0,0,ROW()-1,13),ROW()-1,FALSE))</f>
        <v>1887800</v>
      </c>
      <c r="R22">
        <f ca="1">IF(AND(ISNUMBER($R$91),$B$69=1),$R$91,HLOOKUP(INDIRECT(ADDRESS(2,COLUMN())),OFFSET($S$2,0,0,ROW()-1,13),ROW()-1,FALSE))</f>
        <v>1759000</v>
      </c>
      <c r="S22">
        <f>1553500</f>
        <v>1553500</v>
      </c>
      <c r="T22">
        <f>2208300</f>
        <v>2208300</v>
      </c>
      <c r="U22">
        <f>2216400</f>
        <v>2216400</v>
      </c>
      <c r="V22">
        <f>2058100</f>
        <v>2058100</v>
      </c>
      <c r="W22">
        <f>2173700</f>
        <v>2173700</v>
      </c>
      <c r="X22">
        <f>2100900</f>
        <v>2100900</v>
      </c>
      <c r="Y22">
        <f>2016400</f>
        <v>2016400</v>
      </c>
      <c r="Z22">
        <f>1895400</f>
        <v>1895400</v>
      </c>
      <c r="AA22">
        <f>2062500</f>
        <v>2062500</v>
      </c>
      <c r="AB22">
        <f>1986200</f>
        <v>1986200</v>
      </c>
      <c r="AC22">
        <f>2048300</f>
        <v>2048300</v>
      </c>
      <c r="AD22">
        <f>1887800</f>
        <v>1887800</v>
      </c>
      <c r="AE22">
        <f>1759000</f>
        <v>1759000</v>
      </c>
    </row>
    <row r="23" spans="1:31" x14ac:dyDescent="0.2">
      <c r="A23" t="str">
        <f>"    Europe - Indian Sub Cont. &amp; Middle East"</f>
        <v xml:space="preserve">    Europe - Indian Sub Cont. &amp; Middle East</v>
      </c>
      <c r="B23" t="str">
        <f>"CSHVEIME Index"</f>
        <v>CSHVEIME Index</v>
      </c>
      <c r="C23" t="str">
        <f t="shared" si="0"/>
        <v>PX385</v>
      </c>
      <c r="D23" t="str">
        <f t="shared" si="1"/>
        <v>INTERVAL_SUM</v>
      </c>
      <c r="E23" t="str">
        <f t="shared" si="2"/>
        <v>Dynamic</v>
      </c>
      <c r="F23">
        <f ca="1">IF(AND(ISNUMBER($F$92),$B$69=1),$F$92,HLOOKUP(INDIRECT(ADDRESS(2,COLUMN())),OFFSET($S$2,0,0,ROW()-1,13),ROW()-1,FALSE))</f>
        <v>2827800</v>
      </c>
      <c r="G23">
        <f ca="1">IF(AND(ISNUMBER($G$92),$B$69=1),$G$92,HLOOKUP(INDIRECT(ADDRESS(2,COLUMN())),OFFSET($S$2,0,0,ROW()-1,13),ROW()-1,FALSE))</f>
        <v>3846400</v>
      </c>
      <c r="H23">
        <f ca="1">IF(AND(ISNUMBER($H$92),$B$69=1),$H$92,HLOOKUP(INDIRECT(ADDRESS(2,COLUMN())),OFFSET($S$2,0,0,ROW()-1,13),ROW()-1,FALSE))</f>
        <v>3711900</v>
      </c>
      <c r="I23">
        <f ca="1">IF(AND(ISNUMBER($I$92),$B$69=1),$I$92,HLOOKUP(INDIRECT(ADDRESS(2,COLUMN())),OFFSET($S$2,0,0,ROW()-1,13),ROW()-1,FALSE))</f>
        <v>3794700</v>
      </c>
      <c r="J23">
        <f ca="1">IF(AND(ISNUMBER($J$92),$B$69=1),$J$92,HLOOKUP(INDIRECT(ADDRESS(2,COLUMN())),OFFSET($S$2,0,0,ROW()-1,13),ROW()-1,FALSE))</f>
        <v>4037500</v>
      </c>
      <c r="K23">
        <f ca="1">IF(AND(ISNUMBER($K$92),$B$69=1),$K$92,HLOOKUP(INDIRECT(ADDRESS(2,COLUMN())),OFFSET($S$2,0,0,ROW()-1,13),ROW()-1,FALSE))</f>
        <v>3964900</v>
      </c>
      <c r="L23">
        <f ca="1">IF(AND(ISNUMBER($L$92),$B$69=1),$L$92,HLOOKUP(INDIRECT(ADDRESS(2,COLUMN())),OFFSET($S$2,0,0,ROW()-1,13),ROW()-1,FALSE))</f>
        <v>3878100</v>
      </c>
      <c r="M23">
        <f ca="1">IF(AND(ISNUMBER($M$92),$B$69=1),$M$92,HLOOKUP(INDIRECT(ADDRESS(2,COLUMN())),OFFSET($S$2,0,0,ROW()-1,13),ROW()-1,FALSE))</f>
        <v>3827300</v>
      </c>
      <c r="N23">
        <f ca="1">IF(AND(ISNUMBER($N$92),$B$69=1),$N$92,HLOOKUP(INDIRECT(ADDRESS(2,COLUMN())),OFFSET($S$2,0,0,ROW()-1,13),ROW()-1,FALSE))</f>
        <v>3630200</v>
      </c>
      <c r="O23">
        <f ca="1">IF(AND(ISNUMBER($O$92),$B$69=1),$O$92,HLOOKUP(INDIRECT(ADDRESS(2,COLUMN())),OFFSET($S$2,0,0,ROW()-1,13),ROW()-1,FALSE))</f>
        <v>3376000</v>
      </c>
      <c r="P23">
        <f ca="1">IF(AND(ISNUMBER($P$92),$B$69=1),$P$92,HLOOKUP(INDIRECT(ADDRESS(2,COLUMN())),OFFSET($S$2,0,0,ROW()-1,13),ROW()-1,FALSE))</f>
        <v>3090800</v>
      </c>
      <c r="Q23">
        <f ca="1">IF(AND(ISNUMBER($Q$92),$B$69=1),$Q$92,HLOOKUP(INDIRECT(ADDRESS(2,COLUMN())),OFFSET($S$2,0,0,ROW()-1,13),ROW()-1,FALSE))</f>
        <v>3146400</v>
      </c>
      <c r="R23">
        <f ca="1">IF(AND(ISNUMBER($R$92),$B$69=1),$R$92,HLOOKUP(INDIRECT(ADDRESS(2,COLUMN())),OFFSET($S$2,0,0,ROW()-1,13),ROW()-1,FALSE))</f>
        <v>3006700</v>
      </c>
      <c r="S23">
        <f>2827800</f>
        <v>2827800</v>
      </c>
      <c r="T23">
        <f>3846400</f>
        <v>3846400</v>
      </c>
      <c r="U23">
        <f>3711900</f>
        <v>3711900</v>
      </c>
      <c r="V23">
        <f>3794700</f>
        <v>3794700</v>
      </c>
      <c r="W23">
        <f>4037500</f>
        <v>4037500</v>
      </c>
      <c r="X23">
        <f>3964900</f>
        <v>3964900</v>
      </c>
      <c r="Y23">
        <f>3878100</f>
        <v>3878100</v>
      </c>
      <c r="Z23">
        <f>3827300</f>
        <v>3827300</v>
      </c>
      <c r="AA23">
        <f>3630200</f>
        <v>3630200</v>
      </c>
      <c r="AB23">
        <f>3376000</f>
        <v>3376000</v>
      </c>
      <c r="AC23">
        <f>3090800</f>
        <v>3090800</v>
      </c>
      <c r="AD23">
        <f>3146400</f>
        <v>3146400</v>
      </c>
      <c r="AE23">
        <f>3006700</f>
        <v>3006700</v>
      </c>
    </row>
    <row r="24" spans="1:31" x14ac:dyDescent="0.2">
      <c r="A24" t="str">
        <f>"    Europe - South &amp; Central America"</f>
        <v xml:space="preserve">    Europe - South &amp; Central America</v>
      </c>
      <c r="B24" t="str">
        <f>"CSHVESCA Index"</f>
        <v>CSHVESCA Index</v>
      </c>
      <c r="C24" t="str">
        <f t="shared" si="0"/>
        <v>PX385</v>
      </c>
      <c r="D24" t="str">
        <f t="shared" si="1"/>
        <v>INTERVAL_SUM</v>
      </c>
      <c r="E24" t="str">
        <f t="shared" si="2"/>
        <v>Dynamic</v>
      </c>
      <c r="F24">
        <f ca="1">IF(AND(ISNUMBER($F$93),$B$69=1),$F$93,HLOOKUP(INDIRECT(ADDRESS(2,COLUMN())),OFFSET($S$2,0,0,ROW()-1,13),ROW()-1,FALSE))</f>
        <v>1243800</v>
      </c>
      <c r="G24">
        <f ca="1">IF(AND(ISNUMBER($G$93),$B$69=1),$G$93,HLOOKUP(INDIRECT(ADDRESS(2,COLUMN())),OFFSET($S$2,0,0,ROW()-1,13),ROW()-1,FALSE))</f>
        <v>1927900</v>
      </c>
      <c r="H24">
        <f ca="1">IF(AND(ISNUMBER($H$93),$B$69=1),$H$93,HLOOKUP(INDIRECT(ADDRESS(2,COLUMN())),OFFSET($S$2,0,0,ROW()-1,13),ROW()-1,FALSE))</f>
        <v>2110900</v>
      </c>
      <c r="I24">
        <f ca="1">IF(AND(ISNUMBER($I$93),$B$69=1),$I$93,HLOOKUP(INDIRECT(ADDRESS(2,COLUMN())),OFFSET($S$2,0,0,ROW()-1,13),ROW()-1,FALSE))</f>
        <v>1791000</v>
      </c>
      <c r="J24">
        <f ca="1">IF(AND(ISNUMBER($J$93),$B$69=1),$J$93,HLOOKUP(INDIRECT(ADDRESS(2,COLUMN())),OFFSET($S$2,0,0,ROW()-1,13),ROW()-1,FALSE))</f>
        <v>1870800</v>
      </c>
      <c r="K24">
        <f ca="1">IF(AND(ISNUMBER($K$93),$B$69=1),$K$93,HLOOKUP(INDIRECT(ADDRESS(2,COLUMN())),OFFSET($S$2,0,0,ROW()-1,13),ROW()-1,FALSE))</f>
        <v>1907400</v>
      </c>
      <c r="L24">
        <f ca="1">IF(AND(ISNUMBER($L$93),$B$69=1),$L$93,HLOOKUP(INDIRECT(ADDRESS(2,COLUMN())),OFFSET($S$2,0,0,ROW()-1,13),ROW()-1,FALSE))</f>
        <v>1800300</v>
      </c>
      <c r="M24">
        <f ca="1">IF(AND(ISNUMBER($M$93),$B$69=1),$M$93,HLOOKUP(INDIRECT(ADDRESS(2,COLUMN())),OFFSET($S$2,0,0,ROW()-1,13),ROW()-1,FALSE))</f>
        <v>1615000</v>
      </c>
      <c r="N24">
        <f ca="1">IF(AND(ISNUMBER($N$93),$B$69=1),$N$93,HLOOKUP(INDIRECT(ADDRESS(2,COLUMN())),OFFSET($S$2,0,0,ROW()-1,13),ROW()-1,FALSE))</f>
        <v>1578500</v>
      </c>
      <c r="O24">
        <f ca="1">IF(AND(ISNUMBER($O$93),$B$69=1),$O$93,HLOOKUP(INDIRECT(ADDRESS(2,COLUMN())),OFFSET($S$2,0,0,ROW()-1,13),ROW()-1,FALSE))</f>
        <v>1590900</v>
      </c>
      <c r="P24">
        <f ca="1">IF(AND(ISNUMBER($P$93),$B$69=1),$P$93,HLOOKUP(INDIRECT(ADDRESS(2,COLUMN())),OFFSET($S$2,0,0,ROW()-1,13),ROW()-1,FALSE))</f>
        <v>1631800</v>
      </c>
      <c r="Q24">
        <f ca="1">IF(AND(ISNUMBER($Q$93),$B$69=1),$Q$93,HLOOKUP(INDIRECT(ADDRESS(2,COLUMN())),OFFSET($S$2,0,0,ROW()-1,13),ROW()-1,FALSE))</f>
        <v>1558200</v>
      </c>
      <c r="R24">
        <f ca="1">IF(AND(ISNUMBER($R$93),$B$69=1),$R$93,HLOOKUP(INDIRECT(ADDRESS(2,COLUMN())),OFFSET($S$2,0,0,ROW()-1,13),ROW()-1,FALSE))</f>
        <v>1475100</v>
      </c>
      <c r="S24">
        <f>1243800</f>
        <v>1243800</v>
      </c>
      <c r="T24">
        <f>1927900</f>
        <v>1927900</v>
      </c>
      <c r="U24">
        <f>2110900</f>
        <v>2110900</v>
      </c>
      <c r="V24">
        <f>1791000</f>
        <v>1791000</v>
      </c>
      <c r="W24">
        <f>1870800</f>
        <v>1870800</v>
      </c>
      <c r="X24">
        <f>1907400</f>
        <v>1907400</v>
      </c>
      <c r="Y24">
        <f>1800300</f>
        <v>1800300</v>
      </c>
      <c r="Z24">
        <f>1615000</f>
        <v>1615000</v>
      </c>
      <c r="AA24">
        <f>1578500</f>
        <v>1578500</v>
      </c>
      <c r="AB24">
        <f>1590900</f>
        <v>1590900</v>
      </c>
      <c r="AC24">
        <f>1631800</f>
        <v>1631800</v>
      </c>
      <c r="AD24">
        <f>1558200</f>
        <v>1558200</v>
      </c>
      <c r="AE24">
        <f>1475100</f>
        <v>1475100</v>
      </c>
    </row>
    <row r="25" spans="1:31" x14ac:dyDescent="0.2">
      <c r="A25" t="str">
        <f>"    Indian Sub Cont. &amp; Middle East - Australasia &amp; Oceania"</f>
        <v xml:space="preserve">    Indian Sub Cont. &amp; Middle East - Australasia &amp; Oceania</v>
      </c>
      <c r="B25" t="str">
        <f>"CSHVIAUO Index"</f>
        <v>CSHVIAUO Index</v>
      </c>
      <c r="C25" t="str">
        <f t="shared" si="0"/>
        <v>PX385</v>
      </c>
      <c r="D25" t="str">
        <f t="shared" si="1"/>
        <v>INTERVAL_SUM</v>
      </c>
      <c r="E25" t="str">
        <f t="shared" si="2"/>
        <v>Dynamic</v>
      </c>
      <c r="F25">
        <f ca="1">IF(AND(ISNUMBER($F$94),$B$69=1),$F$94,HLOOKUP(INDIRECT(ADDRESS(2,COLUMN())),OFFSET($S$2,0,0,ROW()-1,13),ROW()-1,FALSE))</f>
        <v>116700</v>
      </c>
      <c r="G25">
        <f ca="1">IF(AND(ISNUMBER($G$94),$B$69=1),$G$94,HLOOKUP(INDIRECT(ADDRESS(2,COLUMN())),OFFSET($S$2,0,0,ROW()-1,13),ROW()-1,FALSE))</f>
        <v>149600</v>
      </c>
      <c r="H25">
        <f ca="1">IF(AND(ISNUMBER($H$94),$B$69=1),$H$94,HLOOKUP(INDIRECT(ADDRESS(2,COLUMN())),OFFSET($S$2,0,0,ROW()-1,13),ROW()-1,FALSE))</f>
        <v>158200</v>
      </c>
      <c r="I25">
        <f ca="1">IF(AND(ISNUMBER($I$94),$B$69=1),$I$94,HLOOKUP(INDIRECT(ADDRESS(2,COLUMN())),OFFSET($S$2,0,0,ROW()-1,13),ROW()-1,FALSE))</f>
        <v>162700</v>
      </c>
      <c r="J25">
        <f ca="1">IF(AND(ISNUMBER($J$94),$B$69=1),$J$94,HLOOKUP(INDIRECT(ADDRESS(2,COLUMN())),OFFSET($S$2,0,0,ROW()-1,13),ROW()-1,FALSE))</f>
        <v>156000</v>
      </c>
      <c r="K25">
        <f ca="1">IF(AND(ISNUMBER($K$94),$B$69=1),$K$94,HLOOKUP(INDIRECT(ADDRESS(2,COLUMN())),OFFSET($S$2,0,0,ROW()-1,13),ROW()-1,FALSE))</f>
        <v>157200</v>
      </c>
      <c r="L25">
        <f ca="1">IF(AND(ISNUMBER($L$94),$B$69=1),$L$94,HLOOKUP(INDIRECT(ADDRESS(2,COLUMN())),OFFSET($S$2,0,0,ROW()-1,13),ROW()-1,FALSE))</f>
        <v>190100</v>
      </c>
      <c r="M25">
        <f ca="1">IF(AND(ISNUMBER($M$94),$B$69=1),$M$94,HLOOKUP(INDIRECT(ADDRESS(2,COLUMN())),OFFSET($S$2,0,0,ROW()-1,13),ROW()-1,FALSE))</f>
        <v>191900</v>
      </c>
      <c r="N25">
        <f ca="1">IF(AND(ISNUMBER($N$94),$B$69=1),$N$94,HLOOKUP(INDIRECT(ADDRESS(2,COLUMN())),OFFSET($S$2,0,0,ROW()-1,13),ROW()-1,FALSE))</f>
        <v>174100</v>
      </c>
      <c r="O25">
        <f ca="1">IF(AND(ISNUMBER($O$94),$B$69=1),$O$94,HLOOKUP(INDIRECT(ADDRESS(2,COLUMN())),OFFSET($S$2,0,0,ROW()-1,13),ROW()-1,FALSE))</f>
        <v>163600</v>
      </c>
      <c r="P25">
        <f ca="1">IF(AND(ISNUMBER($P$94),$B$69=1),$P$94,HLOOKUP(INDIRECT(ADDRESS(2,COLUMN())),OFFSET($S$2,0,0,ROW()-1,13),ROW()-1,FALSE))</f>
        <v>130000</v>
      </c>
      <c r="Q25">
        <f ca="1">IF(AND(ISNUMBER($Q$94),$B$69=1),$Q$94,HLOOKUP(INDIRECT(ADDRESS(2,COLUMN())),OFFSET($S$2,0,0,ROW()-1,13),ROW()-1,FALSE))</f>
        <v>109500</v>
      </c>
      <c r="R25">
        <f ca="1">IF(AND(ISNUMBER($R$94),$B$69=1),$R$94,HLOOKUP(INDIRECT(ADDRESS(2,COLUMN())),OFFSET($S$2,0,0,ROW()-1,13),ROW()-1,FALSE))</f>
        <v>101400</v>
      </c>
      <c r="S25">
        <f>116700</f>
        <v>116700</v>
      </c>
      <c r="T25">
        <f>149600</f>
        <v>149600</v>
      </c>
      <c r="U25">
        <f>158200</f>
        <v>158200</v>
      </c>
      <c r="V25">
        <f>162700</f>
        <v>162700</v>
      </c>
      <c r="W25">
        <f>156000</f>
        <v>156000</v>
      </c>
      <c r="X25">
        <f>157200</f>
        <v>157200</v>
      </c>
      <c r="Y25">
        <f>190100</f>
        <v>190100</v>
      </c>
      <c r="Z25">
        <f>191900</f>
        <v>191900</v>
      </c>
      <c r="AA25">
        <f>174100</f>
        <v>174100</v>
      </c>
      <c r="AB25">
        <f>163600</f>
        <v>163600</v>
      </c>
      <c r="AC25">
        <f>130000</f>
        <v>130000</v>
      </c>
      <c r="AD25">
        <f>109500</f>
        <v>109500</v>
      </c>
      <c r="AE25">
        <f>101400</f>
        <v>101400</v>
      </c>
    </row>
    <row r="26" spans="1:31" x14ac:dyDescent="0.2">
      <c r="A26" t="str">
        <f>"    Indian Sub Cont. &amp; Middle East - North America"</f>
        <v xml:space="preserve">    Indian Sub Cont. &amp; Middle East - North America</v>
      </c>
      <c r="B26" t="str">
        <f>"CSHVINAR Index"</f>
        <v>CSHVINAR Index</v>
      </c>
      <c r="C26" t="str">
        <f t="shared" si="0"/>
        <v>PX385</v>
      </c>
      <c r="D26" t="str">
        <f t="shared" si="1"/>
        <v>INTERVAL_SUM</v>
      </c>
      <c r="E26" t="str">
        <f t="shared" si="2"/>
        <v>Dynamic</v>
      </c>
      <c r="F26">
        <f ca="1">IF(AND(ISNUMBER($F$95),$B$69=1),$F$95,HLOOKUP(INDIRECT(ADDRESS(2,COLUMN())),OFFSET($S$2,0,0,ROW()-1,13),ROW()-1,FALSE))</f>
        <v>1335500</v>
      </c>
      <c r="G26">
        <f ca="1">IF(AND(ISNUMBER($G$95),$B$69=1),$G$95,HLOOKUP(INDIRECT(ADDRESS(2,COLUMN())),OFFSET($S$2,0,0,ROW()-1,13),ROW()-1,FALSE))</f>
        <v>1841900</v>
      </c>
      <c r="H26">
        <f ca="1">IF(AND(ISNUMBER($H$95),$B$69=1),$H$95,HLOOKUP(INDIRECT(ADDRESS(2,COLUMN())),OFFSET($S$2,0,0,ROW()-1,13),ROW()-1,FALSE))</f>
        <v>1940500</v>
      </c>
      <c r="I26">
        <f ca="1">IF(AND(ISNUMBER($I$95),$B$69=1),$I$95,HLOOKUP(INDIRECT(ADDRESS(2,COLUMN())),OFFSET($S$2,0,0,ROW()-1,13),ROW()-1,FALSE))</f>
        <v>1458100</v>
      </c>
      <c r="J26">
        <f ca="1">IF(AND(ISNUMBER($J$95),$B$69=1),$J$95,HLOOKUP(INDIRECT(ADDRESS(2,COLUMN())),OFFSET($S$2,0,0,ROW()-1,13),ROW()-1,FALSE))</f>
        <v>1436100</v>
      </c>
      <c r="K26">
        <f ca="1">IF(AND(ISNUMBER($K$95),$B$69=1),$K$95,HLOOKUP(INDIRECT(ADDRESS(2,COLUMN())),OFFSET($S$2,0,0,ROW()-1,13),ROW()-1,FALSE))</f>
        <v>1348800</v>
      </c>
      <c r="L26">
        <f ca="1">IF(AND(ISNUMBER($L$95),$B$69=1),$L$95,HLOOKUP(INDIRECT(ADDRESS(2,COLUMN())),OFFSET($S$2,0,0,ROW()-1,13),ROW()-1,FALSE))</f>
        <v>1183400</v>
      </c>
      <c r="M26">
        <f ca="1">IF(AND(ISNUMBER($M$95),$B$69=1),$M$95,HLOOKUP(INDIRECT(ADDRESS(2,COLUMN())),OFFSET($S$2,0,0,ROW()-1,13),ROW()-1,FALSE))</f>
        <v>1126100</v>
      </c>
      <c r="N26">
        <f ca="1">IF(AND(ISNUMBER($N$95),$B$69=1),$N$95,HLOOKUP(INDIRECT(ADDRESS(2,COLUMN())),OFFSET($S$2,0,0,ROW()-1,13),ROW()-1,FALSE))</f>
        <v>1063900</v>
      </c>
      <c r="O26">
        <f ca="1">IF(AND(ISNUMBER($O$95),$B$69=1),$O$95,HLOOKUP(INDIRECT(ADDRESS(2,COLUMN())),OFFSET($S$2,0,0,ROW()-1,13),ROW()-1,FALSE))</f>
        <v>990200</v>
      </c>
      <c r="P26">
        <f ca="1">IF(AND(ISNUMBER($P$95),$B$69=1),$P$95,HLOOKUP(INDIRECT(ADDRESS(2,COLUMN())),OFFSET($S$2,0,0,ROW()-1,13),ROW()-1,FALSE))</f>
        <v>892400</v>
      </c>
      <c r="Q26">
        <f ca="1">IF(AND(ISNUMBER($Q$95),$B$69=1),$Q$95,HLOOKUP(INDIRECT(ADDRESS(2,COLUMN())),OFFSET($S$2,0,0,ROW()-1,13),ROW()-1,FALSE))</f>
        <v>948500</v>
      </c>
      <c r="R26">
        <f ca="1">IF(AND(ISNUMBER($R$95),$B$69=1),$R$95,HLOOKUP(INDIRECT(ADDRESS(2,COLUMN())),OFFSET($S$2,0,0,ROW()-1,13),ROW()-1,FALSE))</f>
        <v>929400</v>
      </c>
      <c r="S26">
        <f>1335500</f>
        <v>1335500</v>
      </c>
      <c r="T26">
        <f>1841900</f>
        <v>1841900</v>
      </c>
      <c r="U26">
        <f>1940500</f>
        <v>1940500</v>
      </c>
      <c r="V26">
        <f>1458100</f>
        <v>1458100</v>
      </c>
      <c r="W26">
        <f>1436100</f>
        <v>1436100</v>
      </c>
      <c r="X26">
        <f>1348800</f>
        <v>1348800</v>
      </c>
      <c r="Y26">
        <f>1183400</f>
        <v>1183400</v>
      </c>
      <c r="Z26">
        <f>1126100</f>
        <v>1126100</v>
      </c>
      <c r="AA26">
        <f>1063900</f>
        <v>1063900</v>
      </c>
      <c r="AB26">
        <f>990200</f>
        <v>990200</v>
      </c>
      <c r="AC26">
        <f>892400</f>
        <v>892400</v>
      </c>
      <c r="AD26">
        <f>948500</f>
        <v>948500</v>
      </c>
      <c r="AE26">
        <f>929400</f>
        <v>929400</v>
      </c>
    </row>
    <row r="27" spans="1:31" x14ac:dyDescent="0.2">
      <c r="A27" t="str">
        <f>"    Indian Sub Cont. &amp; Middle East - Asia"</f>
        <v xml:space="preserve">    Indian Sub Cont. &amp; Middle East - Asia</v>
      </c>
      <c r="B27" t="str">
        <f>"CSHVIASR Index"</f>
        <v>CSHVIASR Index</v>
      </c>
      <c r="C27" t="str">
        <f t="shared" si="0"/>
        <v>PX385</v>
      </c>
      <c r="D27" t="str">
        <f t="shared" si="1"/>
        <v>INTERVAL_SUM</v>
      </c>
      <c r="E27" t="str">
        <f t="shared" si="2"/>
        <v>Dynamic</v>
      </c>
      <c r="F27">
        <f ca="1">IF(AND(ISNUMBER($F$96),$B$69=1),$F$96,HLOOKUP(INDIRECT(ADDRESS(2,COLUMN())),OFFSET($S$2,0,0,ROW()-1,13),ROW()-1,FALSE))</f>
        <v>2374800</v>
      </c>
      <c r="G27">
        <f ca="1">IF(AND(ISNUMBER($G$96),$B$69=1),$G$96,HLOOKUP(INDIRECT(ADDRESS(2,COLUMN())),OFFSET($S$2,0,0,ROW()-1,13),ROW()-1,FALSE))</f>
        <v>3223700</v>
      </c>
      <c r="H27">
        <f ca="1">IF(AND(ISNUMBER($H$96),$B$69=1),$H$96,HLOOKUP(INDIRECT(ADDRESS(2,COLUMN())),OFFSET($S$2,0,0,ROW()-1,13),ROW()-1,FALSE))</f>
        <v>3005300</v>
      </c>
      <c r="I27">
        <f ca="1">IF(AND(ISNUMBER($I$96),$B$69=1),$I$96,HLOOKUP(INDIRECT(ADDRESS(2,COLUMN())),OFFSET($S$2,0,0,ROW()-1,13),ROW()-1,FALSE))</f>
        <v>3139900</v>
      </c>
      <c r="J27">
        <f ca="1">IF(AND(ISNUMBER($J$96),$B$69=1),$J$96,HLOOKUP(INDIRECT(ADDRESS(2,COLUMN())),OFFSET($S$2,0,0,ROW()-1,13),ROW()-1,FALSE))</f>
        <v>2831600</v>
      </c>
      <c r="K27">
        <f ca="1">IF(AND(ISNUMBER($K$96),$B$69=1),$K$96,HLOOKUP(INDIRECT(ADDRESS(2,COLUMN())),OFFSET($S$2,0,0,ROW()-1,13),ROW()-1,FALSE))</f>
        <v>2993000</v>
      </c>
      <c r="L27">
        <f ca="1">IF(AND(ISNUMBER($L$96),$B$69=1),$L$96,HLOOKUP(INDIRECT(ADDRESS(2,COLUMN())),OFFSET($S$2,0,0,ROW()-1,13),ROW()-1,FALSE))</f>
        <v>2843000</v>
      </c>
      <c r="M27">
        <f ca="1">IF(AND(ISNUMBER($M$96),$B$69=1),$M$96,HLOOKUP(INDIRECT(ADDRESS(2,COLUMN())),OFFSET($S$2,0,0,ROW()-1,13),ROW()-1,FALSE))</f>
        <v>2633000</v>
      </c>
      <c r="N27">
        <f ca="1">IF(AND(ISNUMBER($N$96),$B$69=1),$N$96,HLOOKUP(INDIRECT(ADDRESS(2,COLUMN())),OFFSET($S$2,0,0,ROW()-1,13),ROW()-1,FALSE))</f>
        <v>2499300</v>
      </c>
      <c r="O27">
        <f ca="1">IF(AND(ISNUMBER($O$96),$B$69=1),$O$96,HLOOKUP(INDIRECT(ADDRESS(2,COLUMN())),OFFSET($S$2,0,0,ROW()-1,13),ROW()-1,FALSE))</f>
        <v>2464100</v>
      </c>
      <c r="P27">
        <f ca="1">IF(AND(ISNUMBER($P$96),$B$69=1),$P$96,HLOOKUP(INDIRECT(ADDRESS(2,COLUMN())),OFFSET($S$2,0,0,ROW()-1,13),ROW()-1,FALSE))</f>
        <v>2484600</v>
      </c>
      <c r="Q27">
        <f ca="1">IF(AND(ISNUMBER($Q$96),$B$69=1),$Q$96,HLOOKUP(INDIRECT(ADDRESS(2,COLUMN())),OFFSET($S$2,0,0,ROW()-1,13),ROW()-1,FALSE))</f>
        <v>2331700</v>
      </c>
      <c r="R27">
        <f ca="1">IF(AND(ISNUMBER($R$96),$B$69=1),$R$96,HLOOKUP(INDIRECT(ADDRESS(2,COLUMN())),OFFSET($S$2,0,0,ROW()-1,13),ROW()-1,FALSE))</f>
        <v>2260600</v>
      </c>
      <c r="S27">
        <f>2374800</f>
        <v>2374800</v>
      </c>
      <c r="T27">
        <f>3223700</f>
        <v>3223700</v>
      </c>
      <c r="U27">
        <f>3005300</f>
        <v>3005300</v>
      </c>
      <c r="V27">
        <f>3139900</f>
        <v>3139900</v>
      </c>
      <c r="W27">
        <f>2831600</f>
        <v>2831600</v>
      </c>
      <c r="X27">
        <f>2993000</f>
        <v>2993000</v>
      </c>
      <c r="Y27">
        <f>2843000</f>
        <v>2843000</v>
      </c>
      <c r="Z27">
        <f>2633000</f>
        <v>2633000</v>
      </c>
      <c r="AA27">
        <f>2499300</f>
        <v>2499300</v>
      </c>
      <c r="AB27">
        <f>2464100</f>
        <v>2464100</v>
      </c>
      <c r="AC27">
        <f>2484600</f>
        <v>2484600</v>
      </c>
      <c r="AD27">
        <f>2331700</f>
        <v>2331700</v>
      </c>
      <c r="AE27">
        <f>2260600</f>
        <v>2260600</v>
      </c>
    </row>
    <row r="28" spans="1:31" x14ac:dyDescent="0.2">
      <c r="A28" t="str">
        <f>"    Indian Sub Cont. &amp; Middle East - Europe"</f>
        <v xml:space="preserve">    Indian Sub Cont. &amp; Middle East - Europe</v>
      </c>
      <c r="B28" t="str">
        <f>"CSHVIEUR Index"</f>
        <v>CSHVIEUR Index</v>
      </c>
      <c r="C28" t="str">
        <f t="shared" si="0"/>
        <v>PX385</v>
      </c>
      <c r="D28" t="str">
        <f t="shared" si="1"/>
        <v>INTERVAL_SUM</v>
      </c>
      <c r="E28" t="str">
        <f t="shared" si="2"/>
        <v>Dynamic</v>
      </c>
      <c r="F28">
        <f ca="1">IF(AND(ISNUMBER($F$97),$B$69=1),$F$97,HLOOKUP(INDIRECT(ADDRESS(2,COLUMN())),OFFSET($S$2,0,0,ROW()-1,13),ROW()-1,FALSE))</f>
        <v>2448900</v>
      </c>
      <c r="G28">
        <f ca="1">IF(AND(ISNUMBER($G$97),$B$69=1),$G$97,HLOOKUP(INDIRECT(ADDRESS(2,COLUMN())),OFFSET($S$2,0,0,ROW()-1,13),ROW()-1,FALSE))</f>
        <v>3074600</v>
      </c>
      <c r="H28">
        <f ca="1">IF(AND(ISNUMBER($H$97),$B$69=1),$H$97,HLOOKUP(INDIRECT(ADDRESS(2,COLUMN())),OFFSET($S$2,0,0,ROW()-1,13),ROW()-1,FALSE))</f>
        <v>3253500</v>
      </c>
      <c r="I28">
        <f ca="1">IF(AND(ISNUMBER($I$97),$B$69=1),$I$97,HLOOKUP(INDIRECT(ADDRESS(2,COLUMN())),OFFSET($S$2,0,0,ROW()-1,13),ROW()-1,FALSE))</f>
        <v>2738900</v>
      </c>
      <c r="J28">
        <f ca="1">IF(AND(ISNUMBER($J$97),$B$69=1),$J$97,HLOOKUP(INDIRECT(ADDRESS(2,COLUMN())),OFFSET($S$2,0,0,ROW()-1,13),ROW()-1,FALSE))</f>
        <v>2883000</v>
      </c>
      <c r="K28">
        <f ca="1">IF(AND(ISNUMBER($K$97),$B$69=1),$K$97,HLOOKUP(INDIRECT(ADDRESS(2,COLUMN())),OFFSET($S$2,0,0,ROW()-1,13),ROW()-1,FALSE))</f>
        <v>2883200</v>
      </c>
      <c r="L28">
        <f ca="1">IF(AND(ISNUMBER($L$97),$B$69=1),$L$97,HLOOKUP(INDIRECT(ADDRESS(2,COLUMN())),OFFSET($S$2,0,0,ROW()-1,13),ROW()-1,FALSE))</f>
        <v>2741500</v>
      </c>
      <c r="M28">
        <f ca="1">IF(AND(ISNUMBER($M$97),$B$69=1),$M$97,HLOOKUP(INDIRECT(ADDRESS(2,COLUMN())),OFFSET($S$2,0,0,ROW()-1,13),ROW()-1,FALSE))</f>
        <v>2607000</v>
      </c>
      <c r="N28">
        <f ca="1">IF(AND(ISNUMBER($N$97),$B$69=1),$N$97,HLOOKUP(INDIRECT(ADDRESS(2,COLUMN())),OFFSET($S$2,0,0,ROW()-1,13),ROW()-1,FALSE))</f>
        <v>2400300</v>
      </c>
      <c r="O28">
        <f ca="1">IF(AND(ISNUMBER($O$97),$B$69=1),$O$97,HLOOKUP(INDIRECT(ADDRESS(2,COLUMN())),OFFSET($S$2,0,0,ROW()-1,13),ROW()-1,FALSE))</f>
        <v>2382800</v>
      </c>
      <c r="P28">
        <f ca="1">IF(AND(ISNUMBER($P$97),$B$69=1),$P$97,HLOOKUP(INDIRECT(ADDRESS(2,COLUMN())),OFFSET($S$2,0,0,ROW()-1,13),ROW()-1,FALSE))</f>
        <v>2200800</v>
      </c>
      <c r="Q28">
        <f ca="1">IF(AND(ISNUMBER($Q$97),$B$69=1),$Q$97,HLOOKUP(INDIRECT(ADDRESS(2,COLUMN())),OFFSET($S$2,0,0,ROW()-1,13),ROW()-1,FALSE))</f>
        <v>2065300</v>
      </c>
      <c r="R28">
        <f ca="1">IF(AND(ISNUMBER($R$97),$B$69=1),$R$97,HLOOKUP(INDIRECT(ADDRESS(2,COLUMN())),OFFSET($S$2,0,0,ROW()-1,13),ROW()-1,FALSE))</f>
        <v>2031800</v>
      </c>
      <c r="S28">
        <f>2448900</f>
        <v>2448900</v>
      </c>
      <c r="T28">
        <f>3074600</f>
        <v>3074600</v>
      </c>
      <c r="U28">
        <f>3253500</f>
        <v>3253500</v>
      </c>
      <c r="V28">
        <f>2738900</f>
        <v>2738900</v>
      </c>
      <c r="W28">
        <f>2883000</f>
        <v>2883000</v>
      </c>
      <c r="X28">
        <f>2883200</f>
        <v>2883200</v>
      </c>
      <c r="Y28">
        <f>2741500</f>
        <v>2741500</v>
      </c>
      <c r="Z28">
        <f>2607000</f>
        <v>2607000</v>
      </c>
      <c r="AA28">
        <f>2400300</f>
        <v>2400300</v>
      </c>
      <c r="AB28">
        <f>2382800</f>
        <v>2382800</v>
      </c>
      <c r="AC28">
        <f>2200800</f>
        <v>2200800</v>
      </c>
      <c r="AD28">
        <f>2065300</f>
        <v>2065300</v>
      </c>
      <c r="AE28">
        <f>2031800</f>
        <v>2031800</v>
      </c>
    </row>
    <row r="29" spans="1:31" x14ac:dyDescent="0.2">
      <c r="A29" t="str">
        <f>"    Indian Sub Cont. &amp; Middle East - South &amp; Central America"</f>
        <v xml:space="preserve">    Indian Sub Cont. &amp; Middle East - South &amp; Central America</v>
      </c>
      <c r="B29" t="str">
        <f>"CSHVISCA Index"</f>
        <v>CSHVISCA Index</v>
      </c>
      <c r="C29" t="str">
        <f t="shared" si="0"/>
        <v>PX385</v>
      </c>
      <c r="D29" t="str">
        <f t="shared" si="1"/>
        <v>INTERVAL_SUM</v>
      </c>
      <c r="E29" t="str">
        <f t="shared" si="2"/>
        <v>Dynamic</v>
      </c>
      <c r="F29">
        <f ca="1">IF(AND(ISNUMBER($F$98),$B$69=1),$F$98,HLOOKUP(INDIRECT(ADDRESS(2,COLUMN())),OFFSET($S$2,0,0,ROW()-1,13),ROW()-1,FALSE))</f>
        <v>299400</v>
      </c>
      <c r="G29">
        <f ca="1">IF(AND(ISNUMBER($G$98),$B$69=1),$G$98,HLOOKUP(INDIRECT(ADDRESS(2,COLUMN())),OFFSET($S$2,0,0,ROW()-1,13),ROW()-1,FALSE))</f>
        <v>307700</v>
      </c>
      <c r="H29">
        <f ca="1">IF(AND(ISNUMBER($H$98),$B$69=1),$H$98,HLOOKUP(INDIRECT(ADDRESS(2,COLUMN())),OFFSET($S$2,0,0,ROW()-1,13),ROW()-1,FALSE))</f>
        <v>444600</v>
      </c>
      <c r="I29">
        <f ca="1">IF(AND(ISNUMBER($I$98),$B$69=1),$I$98,HLOOKUP(INDIRECT(ADDRESS(2,COLUMN())),OFFSET($S$2,0,0,ROW()-1,13),ROW()-1,FALSE))</f>
        <v>324200</v>
      </c>
      <c r="J29">
        <f ca="1">IF(AND(ISNUMBER($J$98),$B$69=1),$J$98,HLOOKUP(INDIRECT(ADDRESS(2,COLUMN())),OFFSET($S$2,0,0,ROW()-1,13),ROW()-1,FALSE))</f>
        <v>323200</v>
      </c>
      <c r="K29">
        <f ca="1">IF(AND(ISNUMBER($K$98),$B$69=1),$K$98,HLOOKUP(INDIRECT(ADDRESS(2,COLUMN())),OFFSET($S$2,0,0,ROW()-1,13),ROW()-1,FALSE))</f>
        <v>359200</v>
      </c>
      <c r="L29">
        <f ca="1">IF(AND(ISNUMBER($L$98),$B$69=1),$L$98,HLOOKUP(INDIRECT(ADDRESS(2,COLUMN())),OFFSET($S$2,0,0,ROW()-1,13),ROW()-1,FALSE))</f>
        <v>342900</v>
      </c>
      <c r="M29">
        <f ca="1">IF(AND(ISNUMBER($M$98),$B$69=1),$M$98,HLOOKUP(INDIRECT(ADDRESS(2,COLUMN())),OFFSET($S$2,0,0,ROW()-1,13),ROW()-1,FALSE))</f>
        <v>297100</v>
      </c>
      <c r="N29">
        <f ca="1">IF(AND(ISNUMBER($N$98),$B$69=1),$N$98,HLOOKUP(INDIRECT(ADDRESS(2,COLUMN())),OFFSET($S$2,0,0,ROW()-1,13),ROW()-1,FALSE))</f>
        <v>288500</v>
      </c>
      <c r="O29">
        <f ca="1">IF(AND(ISNUMBER($O$98),$B$69=1),$O$98,HLOOKUP(INDIRECT(ADDRESS(2,COLUMN())),OFFSET($S$2,0,0,ROW()-1,13),ROW()-1,FALSE))</f>
        <v>303100</v>
      </c>
      <c r="P29">
        <f ca="1">IF(AND(ISNUMBER($P$98),$B$69=1),$P$98,HLOOKUP(INDIRECT(ADDRESS(2,COLUMN())),OFFSET($S$2,0,0,ROW()-1,13),ROW()-1,FALSE))</f>
        <v>281700</v>
      </c>
      <c r="Q29">
        <f ca="1">IF(AND(ISNUMBER($Q$98),$B$69=1),$Q$98,HLOOKUP(INDIRECT(ADDRESS(2,COLUMN())),OFFSET($S$2,0,0,ROW()-1,13),ROW()-1,FALSE))</f>
        <v>278400</v>
      </c>
      <c r="R29">
        <f ca="1">IF(AND(ISNUMBER($R$98),$B$69=1),$R$98,HLOOKUP(INDIRECT(ADDRESS(2,COLUMN())),OFFSET($S$2,0,0,ROW()-1,13),ROW()-1,FALSE))</f>
        <v>254300</v>
      </c>
      <c r="S29">
        <f>299400</f>
        <v>299400</v>
      </c>
      <c r="T29">
        <f>307700</f>
        <v>307700</v>
      </c>
      <c r="U29">
        <f>444600</f>
        <v>444600</v>
      </c>
      <c r="V29">
        <f>324200</f>
        <v>324200</v>
      </c>
      <c r="W29">
        <f>323200</f>
        <v>323200</v>
      </c>
      <c r="X29">
        <f>359200</f>
        <v>359200</v>
      </c>
      <c r="Y29">
        <f>342900</f>
        <v>342900</v>
      </c>
      <c r="Z29">
        <f>297100</f>
        <v>297100</v>
      </c>
      <c r="AA29">
        <f>288500</f>
        <v>288500</v>
      </c>
      <c r="AB29">
        <f>303100</f>
        <v>303100</v>
      </c>
      <c r="AC29">
        <f>281700</f>
        <v>281700</v>
      </c>
      <c r="AD29">
        <f>278400</f>
        <v>278400</v>
      </c>
      <c r="AE29">
        <f>254300</f>
        <v>254300</v>
      </c>
    </row>
    <row r="30" spans="1:31" x14ac:dyDescent="0.2">
      <c r="A30" t="str">
        <f>"    Indian Sub Cont. &amp; Middle East - Sub Saharan Africa"</f>
        <v xml:space="preserve">    Indian Sub Cont. &amp; Middle East - Sub Saharan Africa</v>
      </c>
      <c r="B30" t="str">
        <f>"CSHVISSA Index"</f>
        <v>CSHVISSA Index</v>
      </c>
      <c r="C30" t="str">
        <f t="shared" si="0"/>
        <v>PX385</v>
      </c>
      <c r="D30" t="str">
        <f t="shared" si="1"/>
        <v>INTERVAL_SUM</v>
      </c>
      <c r="E30" t="str">
        <f t="shared" si="2"/>
        <v>Dynamic</v>
      </c>
      <c r="F30">
        <f ca="1">IF(AND(ISNUMBER($F$99),$B$69=1),$F$99,HLOOKUP(INDIRECT(ADDRESS(2,COLUMN())),OFFSET($S$2,0,0,ROW()-1,13),ROW()-1,FALSE))</f>
        <v>1209500</v>
      </c>
      <c r="G30">
        <f ca="1">IF(AND(ISNUMBER($G$99),$B$69=1),$G$99,HLOOKUP(INDIRECT(ADDRESS(2,COLUMN())),OFFSET($S$2,0,0,ROW()-1,13),ROW()-1,FALSE))</f>
        <v>1336000</v>
      </c>
      <c r="H30">
        <f ca="1">IF(AND(ISNUMBER($H$99),$B$69=1),$H$99,HLOOKUP(INDIRECT(ADDRESS(2,COLUMN())),OFFSET($S$2,0,0,ROW()-1,13),ROW()-1,FALSE))</f>
        <v>1327200</v>
      </c>
      <c r="I30">
        <f ca="1">IF(AND(ISNUMBER($I$99),$B$69=1),$I$99,HLOOKUP(INDIRECT(ADDRESS(2,COLUMN())),OFFSET($S$2,0,0,ROW()-1,13),ROW()-1,FALSE))</f>
        <v>1260900</v>
      </c>
      <c r="J30">
        <f ca="1">IF(AND(ISNUMBER($J$99),$B$69=1),$J$99,HLOOKUP(INDIRECT(ADDRESS(2,COLUMN())),OFFSET($S$2,0,0,ROW()-1,13),ROW()-1,FALSE))</f>
        <v>1252900</v>
      </c>
      <c r="K30">
        <f ca="1">IF(AND(ISNUMBER($K$99),$B$69=1),$K$99,HLOOKUP(INDIRECT(ADDRESS(2,COLUMN())),OFFSET($S$2,0,0,ROW()-1,13),ROW()-1,FALSE))</f>
        <v>1194500</v>
      </c>
      <c r="L30">
        <f ca="1">IF(AND(ISNUMBER($L$99),$B$69=1),$L$99,HLOOKUP(INDIRECT(ADDRESS(2,COLUMN())),OFFSET($S$2,0,0,ROW()-1,13),ROW()-1,FALSE))</f>
        <v>1151300</v>
      </c>
      <c r="M30">
        <f ca="1">IF(AND(ISNUMBER($M$99),$B$69=1),$M$99,HLOOKUP(INDIRECT(ADDRESS(2,COLUMN())),OFFSET($S$2,0,0,ROW()-1,13),ROW()-1,FALSE))</f>
        <v>1041200</v>
      </c>
      <c r="N30">
        <f ca="1">IF(AND(ISNUMBER($N$99),$B$69=1),$N$99,HLOOKUP(INDIRECT(ADDRESS(2,COLUMN())),OFFSET($S$2,0,0,ROW()-1,13),ROW()-1,FALSE))</f>
        <v>1057500</v>
      </c>
      <c r="O30">
        <f ca="1">IF(AND(ISNUMBER($O$99),$B$69=1),$O$99,HLOOKUP(INDIRECT(ADDRESS(2,COLUMN())),OFFSET($S$2,0,0,ROW()-1,13),ROW()-1,FALSE))</f>
        <v>1054800</v>
      </c>
      <c r="P30">
        <f ca="1">IF(AND(ISNUMBER($P$99),$B$69=1),$P$99,HLOOKUP(INDIRECT(ADDRESS(2,COLUMN())),OFFSET($S$2,0,0,ROW()-1,13),ROW()-1,FALSE))</f>
        <v>950900</v>
      </c>
      <c r="Q30">
        <f ca="1">IF(AND(ISNUMBER($Q$99),$B$69=1),$Q$99,HLOOKUP(INDIRECT(ADDRESS(2,COLUMN())),OFFSET($S$2,0,0,ROW()-1,13),ROW()-1,FALSE))</f>
        <v>841600</v>
      </c>
      <c r="R30">
        <f ca="1">IF(AND(ISNUMBER($R$99),$B$69=1),$R$99,HLOOKUP(INDIRECT(ADDRESS(2,COLUMN())),OFFSET($S$2,0,0,ROW()-1,13),ROW()-1,FALSE))</f>
        <v>848400</v>
      </c>
      <c r="S30">
        <f>1209500</f>
        <v>1209500</v>
      </c>
      <c r="T30">
        <f>1336000</f>
        <v>1336000</v>
      </c>
      <c r="U30">
        <f>1327200</f>
        <v>1327200</v>
      </c>
      <c r="V30">
        <f>1260900</f>
        <v>1260900</v>
      </c>
      <c r="W30">
        <f>1252900</f>
        <v>1252900</v>
      </c>
      <c r="X30">
        <f>1194500</f>
        <v>1194500</v>
      </c>
      <c r="Y30">
        <f>1151300</f>
        <v>1151300</v>
      </c>
      <c r="Z30">
        <f>1041200</f>
        <v>1041200</v>
      </c>
      <c r="AA30">
        <f>1057500</f>
        <v>1057500</v>
      </c>
      <c r="AB30">
        <f>1054800</f>
        <v>1054800</v>
      </c>
      <c r="AC30">
        <f>950900</f>
        <v>950900</v>
      </c>
      <c r="AD30">
        <f>841600</f>
        <v>841600</v>
      </c>
      <c r="AE30">
        <f>848400</f>
        <v>848400</v>
      </c>
    </row>
    <row r="31" spans="1:31" x14ac:dyDescent="0.2">
      <c r="A31" t="str">
        <f>"    Indian Sub Cont. &amp; Middle East - Ind. Sub Cont. &amp; ME"</f>
        <v xml:space="preserve">    Indian Sub Cont. &amp; Middle East - Ind. Sub Cont. &amp; ME</v>
      </c>
      <c r="B31" t="str">
        <f>"CSHVIIME Index"</f>
        <v>CSHVIIME Index</v>
      </c>
      <c r="C31" t="str">
        <f t="shared" si="0"/>
        <v>PX385</v>
      </c>
      <c r="D31" t="str">
        <f t="shared" si="1"/>
        <v>INTERVAL_SUM</v>
      </c>
      <c r="E31" t="str">
        <f t="shared" si="2"/>
        <v>Dynamic</v>
      </c>
      <c r="F31">
        <f ca="1">IF(AND(ISNUMBER($F$100),$B$69=1),$F$100,HLOOKUP(INDIRECT(ADDRESS(2,COLUMN())),OFFSET($S$2,0,0,ROW()-1,13),ROW()-1,FALSE))</f>
        <v>3186200</v>
      </c>
      <c r="G31">
        <f ca="1">IF(AND(ISNUMBER($G$100),$B$69=1),$G$100,HLOOKUP(INDIRECT(ADDRESS(2,COLUMN())),OFFSET($S$2,0,0,ROW()-1,13),ROW()-1,FALSE))</f>
        <v>3911600</v>
      </c>
      <c r="H31">
        <f ca="1">IF(AND(ISNUMBER($H$100),$B$69=1),$H$100,HLOOKUP(INDIRECT(ADDRESS(2,COLUMN())),OFFSET($S$2,0,0,ROW()-1,13),ROW()-1,FALSE))</f>
        <v>3555200</v>
      </c>
      <c r="I31">
        <f ca="1">IF(AND(ISNUMBER($I$100),$B$69=1),$I$100,HLOOKUP(INDIRECT(ADDRESS(2,COLUMN())),OFFSET($S$2,0,0,ROW()-1,13),ROW()-1,FALSE))</f>
        <v>3985800</v>
      </c>
      <c r="J31">
        <f ca="1">IF(AND(ISNUMBER($J$100),$B$69=1),$J$100,HLOOKUP(INDIRECT(ADDRESS(2,COLUMN())),OFFSET($S$2,0,0,ROW()-1,13),ROW()-1,FALSE))</f>
        <v>3946600</v>
      </c>
      <c r="K31">
        <f ca="1">IF(AND(ISNUMBER($K$100),$B$69=1),$K$100,HLOOKUP(INDIRECT(ADDRESS(2,COLUMN())),OFFSET($S$2,0,0,ROW()-1,13),ROW()-1,FALSE))</f>
        <v>3782900</v>
      </c>
      <c r="L31">
        <f ca="1">IF(AND(ISNUMBER($L$100),$B$69=1),$L$100,HLOOKUP(INDIRECT(ADDRESS(2,COLUMN())),OFFSET($S$2,0,0,ROW()-1,13),ROW()-1,FALSE))</f>
        <v>3560700</v>
      </c>
      <c r="M31">
        <f ca="1">IF(AND(ISNUMBER($M$100),$B$69=1),$M$100,HLOOKUP(INDIRECT(ADDRESS(2,COLUMN())),OFFSET($S$2,0,0,ROW()-1,13),ROW()-1,FALSE))</f>
        <v>3337200</v>
      </c>
      <c r="N31">
        <f ca="1">IF(AND(ISNUMBER($N$100),$B$69=1),$N$100,HLOOKUP(INDIRECT(ADDRESS(2,COLUMN())),OFFSET($S$2,0,0,ROW()-1,13),ROW()-1,FALSE))</f>
        <v>3133800</v>
      </c>
      <c r="O31">
        <f ca="1">IF(AND(ISNUMBER($O$100),$B$69=1),$O$100,HLOOKUP(INDIRECT(ADDRESS(2,COLUMN())),OFFSET($S$2,0,0,ROW()-1,13),ROW()-1,FALSE))</f>
        <v>2962100</v>
      </c>
      <c r="P31">
        <f ca="1">IF(AND(ISNUMBER($P$100),$B$69=1),$P$100,HLOOKUP(INDIRECT(ADDRESS(2,COLUMN())),OFFSET($S$2,0,0,ROW()-1,13),ROW()-1,FALSE))</f>
        <v>2720300</v>
      </c>
      <c r="Q31">
        <f ca="1">IF(AND(ISNUMBER($Q$100),$B$69=1),$Q$100,HLOOKUP(INDIRECT(ADDRESS(2,COLUMN())),OFFSET($S$2,0,0,ROW()-1,13),ROW()-1,FALSE))</f>
        <v>2606100</v>
      </c>
      <c r="R31">
        <f ca="1">IF(AND(ISNUMBER($R$100),$B$69=1),$R$100,HLOOKUP(INDIRECT(ADDRESS(2,COLUMN())),OFFSET($S$2,0,0,ROW()-1,13),ROW()-1,FALSE))</f>
        <v>2269500</v>
      </c>
      <c r="S31">
        <f>3186200</f>
        <v>3186200</v>
      </c>
      <c r="T31">
        <f>3911600</f>
        <v>3911600</v>
      </c>
      <c r="U31">
        <f>3555200</f>
        <v>3555200</v>
      </c>
      <c r="V31">
        <f>3985800</f>
        <v>3985800</v>
      </c>
      <c r="W31">
        <f>3946600</f>
        <v>3946600</v>
      </c>
      <c r="X31">
        <f>3782900</f>
        <v>3782900</v>
      </c>
      <c r="Y31">
        <f>3560700</f>
        <v>3560700</v>
      </c>
      <c r="Z31">
        <f>3337200</f>
        <v>3337200</v>
      </c>
      <c r="AA31">
        <f>3133800</f>
        <v>3133800</v>
      </c>
      <c r="AB31">
        <f>2962100</f>
        <v>2962100</v>
      </c>
      <c r="AC31">
        <f>2720300</f>
        <v>2720300</v>
      </c>
      <c r="AD31">
        <f>2606100</f>
        <v>2606100</v>
      </c>
      <c r="AE31">
        <f>2269500</f>
        <v>2269500</v>
      </c>
    </row>
    <row r="32" spans="1:31" x14ac:dyDescent="0.2">
      <c r="A32" t="str">
        <f>"    North America - Europe"</f>
        <v xml:space="preserve">    North America - Europe</v>
      </c>
      <c r="B32" t="str">
        <f>"CSHVNEUR Index"</f>
        <v>CSHVNEUR Index</v>
      </c>
      <c r="C32" t="str">
        <f t="shared" si="0"/>
        <v>PX385</v>
      </c>
      <c r="D32" t="str">
        <f t="shared" si="1"/>
        <v>INTERVAL_SUM</v>
      </c>
      <c r="E32" t="str">
        <f t="shared" si="2"/>
        <v>Dynamic</v>
      </c>
      <c r="F32">
        <f ca="1">IF(AND(ISNUMBER($F$101),$B$69=1),$F$101,HLOOKUP(INDIRECT(ADDRESS(2,COLUMN())),OFFSET($S$2,0,0,ROW()-1,13),ROW()-1,FALSE))</f>
        <v>1909700</v>
      </c>
      <c r="G32">
        <f ca="1">IF(AND(ISNUMBER($G$101),$B$69=1),$G$101,HLOOKUP(INDIRECT(ADDRESS(2,COLUMN())),OFFSET($S$2,0,0,ROW()-1,13),ROW()-1,FALSE))</f>
        <v>2596200</v>
      </c>
      <c r="H32">
        <f ca="1">IF(AND(ISNUMBER($H$101),$B$69=1),$H$101,HLOOKUP(INDIRECT(ADDRESS(2,COLUMN())),OFFSET($S$2,0,0,ROW()-1,13),ROW()-1,FALSE))</f>
        <v>2685800</v>
      </c>
      <c r="I32">
        <f ca="1">IF(AND(ISNUMBER($I$101),$B$69=1),$I$101,HLOOKUP(INDIRECT(ADDRESS(2,COLUMN())),OFFSET($S$2,0,0,ROW()-1,13),ROW()-1,FALSE))</f>
        <v>2652300</v>
      </c>
      <c r="J32">
        <f ca="1">IF(AND(ISNUMBER($J$101),$B$69=1),$J$101,HLOOKUP(INDIRECT(ADDRESS(2,COLUMN())),OFFSET($S$2,0,0,ROW()-1,13),ROW()-1,FALSE))</f>
        <v>3009700</v>
      </c>
      <c r="K32">
        <f ca="1">IF(AND(ISNUMBER($K$101),$B$69=1),$K$101,HLOOKUP(INDIRECT(ADDRESS(2,COLUMN())),OFFSET($S$2,0,0,ROW()-1,13),ROW()-1,FALSE))</f>
        <v>2902900</v>
      </c>
      <c r="L32">
        <f ca="1">IF(AND(ISNUMBER($L$101),$B$69=1),$L$101,HLOOKUP(INDIRECT(ADDRESS(2,COLUMN())),OFFSET($S$2,0,0,ROW()-1,13),ROW()-1,FALSE))</f>
        <v>2734500</v>
      </c>
      <c r="M32">
        <f ca="1">IF(AND(ISNUMBER($M$101),$B$69=1),$M$101,HLOOKUP(INDIRECT(ADDRESS(2,COLUMN())),OFFSET($S$2,0,0,ROW()-1,13),ROW()-1,FALSE))</f>
        <v>2591600</v>
      </c>
      <c r="N32">
        <f ca="1">IF(AND(ISNUMBER($N$101),$B$69=1),$N$101,HLOOKUP(INDIRECT(ADDRESS(2,COLUMN())),OFFSET($S$2,0,0,ROW()-1,13),ROW()-1,FALSE))</f>
        <v>2579700</v>
      </c>
      <c r="O32">
        <f ca="1">IF(AND(ISNUMBER($O$101),$B$69=1),$O$101,HLOOKUP(INDIRECT(ADDRESS(2,COLUMN())),OFFSET($S$2,0,0,ROW()-1,13),ROW()-1,FALSE))</f>
        <v>2730100</v>
      </c>
      <c r="P32">
        <f ca="1">IF(AND(ISNUMBER($P$101),$B$69=1),$P$101,HLOOKUP(INDIRECT(ADDRESS(2,COLUMN())),OFFSET($S$2,0,0,ROW()-1,13),ROW()-1,FALSE))</f>
        <v>2728800</v>
      </c>
      <c r="Q32">
        <f ca="1">IF(AND(ISNUMBER($Q$101),$B$69=1),$Q$101,HLOOKUP(INDIRECT(ADDRESS(2,COLUMN())),OFFSET($S$2,0,0,ROW()-1,13),ROW()-1,FALSE))</f>
        <v>2631800</v>
      </c>
      <c r="R32">
        <f ca="1">IF(AND(ISNUMBER($R$101),$B$69=1),$R$101,HLOOKUP(INDIRECT(ADDRESS(2,COLUMN())),OFFSET($S$2,0,0,ROW()-1,13),ROW()-1,FALSE))</f>
        <v>2761700</v>
      </c>
      <c r="S32">
        <f>1909700</f>
        <v>1909700</v>
      </c>
      <c r="T32">
        <f>2596200</f>
        <v>2596200</v>
      </c>
      <c r="U32">
        <f>2685800</f>
        <v>2685800</v>
      </c>
      <c r="V32">
        <f>2652300</f>
        <v>2652300</v>
      </c>
      <c r="W32">
        <f>3009700</f>
        <v>3009700</v>
      </c>
      <c r="X32">
        <f>2902900</f>
        <v>2902900</v>
      </c>
      <c r="Y32">
        <f>2734500</f>
        <v>2734500</v>
      </c>
      <c r="Z32">
        <f>2591600</f>
        <v>2591600</v>
      </c>
      <c r="AA32">
        <f>2579700</f>
        <v>2579700</v>
      </c>
      <c r="AB32">
        <f>2730100</f>
        <v>2730100</v>
      </c>
      <c r="AC32">
        <f>2728800</f>
        <v>2728800</v>
      </c>
      <c r="AD32">
        <f>2631800</f>
        <v>2631800</v>
      </c>
      <c r="AE32">
        <f>2761700</f>
        <v>2761700</v>
      </c>
    </row>
    <row r="33" spans="1:31" x14ac:dyDescent="0.2">
      <c r="A33" t="str">
        <f>"    North America - South &amp; Central America"</f>
        <v xml:space="preserve">    North America - South &amp; Central America</v>
      </c>
      <c r="B33" t="str">
        <f>"CSHVNSCA Index"</f>
        <v>CSHVNSCA Index</v>
      </c>
      <c r="C33" t="str">
        <f t="shared" si="0"/>
        <v>PX385</v>
      </c>
      <c r="D33" t="str">
        <f t="shared" si="1"/>
        <v>INTERVAL_SUM</v>
      </c>
      <c r="E33" t="str">
        <f t="shared" si="2"/>
        <v>Dynamic</v>
      </c>
      <c r="F33">
        <f ca="1">IF(AND(ISNUMBER($F$102),$B$69=1),$F$102,HLOOKUP(INDIRECT(ADDRESS(2,COLUMN())),OFFSET($S$2,0,0,ROW()-1,13),ROW()-1,FALSE))</f>
        <v>2110900</v>
      </c>
      <c r="G33">
        <f ca="1">IF(AND(ISNUMBER($G$102),$B$69=1),$G$102,HLOOKUP(INDIRECT(ADDRESS(2,COLUMN())),OFFSET($S$2,0,0,ROW()-1,13),ROW()-1,FALSE))</f>
        <v>3019200</v>
      </c>
      <c r="H33">
        <f ca="1">IF(AND(ISNUMBER($H$102),$B$69=1),$H$102,HLOOKUP(INDIRECT(ADDRESS(2,COLUMN())),OFFSET($S$2,0,0,ROW()-1,13),ROW()-1,FALSE))</f>
        <v>2957900</v>
      </c>
      <c r="I33">
        <f ca="1">IF(AND(ISNUMBER($I$102),$B$69=1),$I$102,HLOOKUP(INDIRECT(ADDRESS(2,COLUMN())),OFFSET($S$2,0,0,ROW()-1,13),ROW()-1,FALSE))</f>
        <v>2626700</v>
      </c>
      <c r="J33">
        <f ca="1">IF(AND(ISNUMBER($J$102),$B$69=1),$J$102,HLOOKUP(INDIRECT(ADDRESS(2,COLUMN())),OFFSET($S$2,0,0,ROW()-1,13),ROW()-1,FALSE))</f>
        <v>2893200</v>
      </c>
      <c r="K33">
        <f ca="1">IF(AND(ISNUMBER($K$102),$B$69=1),$K$102,HLOOKUP(INDIRECT(ADDRESS(2,COLUMN())),OFFSET($S$2,0,0,ROW()-1,13),ROW()-1,FALSE))</f>
        <v>2977200</v>
      </c>
      <c r="L33">
        <f ca="1">IF(AND(ISNUMBER($L$102),$B$69=1),$L$102,HLOOKUP(INDIRECT(ADDRESS(2,COLUMN())),OFFSET($S$2,0,0,ROW()-1,13),ROW()-1,FALSE))</f>
        <v>2861200</v>
      </c>
      <c r="M33">
        <f ca="1">IF(AND(ISNUMBER($M$102),$B$69=1),$M$102,HLOOKUP(INDIRECT(ADDRESS(2,COLUMN())),OFFSET($S$2,0,0,ROW()-1,13),ROW()-1,FALSE))</f>
        <v>2872100</v>
      </c>
      <c r="N33">
        <f ca="1">IF(AND(ISNUMBER($N$102),$B$69=1),$N$102,HLOOKUP(INDIRECT(ADDRESS(2,COLUMN())),OFFSET($S$2,0,0,ROW()-1,13),ROW()-1,FALSE))</f>
        <v>2982200</v>
      </c>
      <c r="O33">
        <f ca="1">IF(AND(ISNUMBER($O$102),$B$69=1),$O$102,HLOOKUP(INDIRECT(ADDRESS(2,COLUMN())),OFFSET($S$2,0,0,ROW()-1,13),ROW()-1,FALSE))</f>
        <v>3063300</v>
      </c>
      <c r="P33">
        <f ca="1">IF(AND(ISNUMBER($P$102),$B$69=1),$P$102,HLOOKUP(INDIRECT(ADDRESS(2,COLUMN())),OFFSET($S$2,0,0,ROW()-1,13),ROW()-1,FALSE))</f>
        <v>3139500</v>
      </c>
      <c r="Q33">
        <f ca="1">IF(AND(ISNUMBER($Q$102),$B$69=1),$Q$102,HLOOKUP(INDIRECT(ADDRESS(2,COLUMN())),OFFSET($S$2,0,0,ROW()-1,13),ROW()-1,FALSE))</f>
        <v>1858000</v>
      </c>
      <c r="R33">
        <f ca="1">IF(AND(ISNUMBER($R$102),$B$69=1),$R$102,HLOOKUP(INDIRECT(ADDRESS(2,COLUMN())),OFFSET($S$2,0,0,ROW()-1,13),ROW()-1,FALSE))</f>
        <v>2010600</v>
      </c>
      <c r="S33">
        <f>2110900</f>
        <v>2110900</v>
      </c>
      <c r="T33">
        <f>3019200</f>
        <v>3019200</v>
      </c>
      <c r="U33">
        <f>2957900</f>
        <v>2957900</v>
      </c>
      <c r="V33">
        <f>2626700</f>
        <v>2626700</v>
      </c>
      <c r="W33">
        <f>2893200</f>
        <v>2893200</v>
      </c>
      <c r="X33">
        <f>2977200</f>
        <v>2977200</v>
      </c>
      <c r="Y33">
        <f>2861200</f>
        <v>2861200</v>
      </c>
      <c r="Z33">
        <f>2872100</f>
        <v>2872100</v>
      </c>
      <c r="AA33">
        <f>2982200</f>
        <v>2982200</v>
      </c>
      <c r="AB33">
        <f>3063300</f>
        <v>3063300</v>
      </c>
      <c r="AC33">
        <f>3139500</f>
        <v>3139500</v>
      </c>
      <c r="AD33">
        <f>1858000</f>
        <v>1858000</v>
      </c>
      <c r="AE33">
        <f>2010600</f>
        <v>2010600</v>
      </c>
    </row>
    <row r="34" spans="1:31" x14ac:dyDescent="0.2">
      <c r="A34" t="str">
        <f>"    North America - Indian Sub Cont. &amp; Middle East"</f>
        <v xml:space="preserve">    North America - Indian Sub Cont. &amp; Middle East</v>
      </c>
      <c r="B34" t="str">
        <f>"CSHVNIME Index"</f>
        <v>CSHVNIME Index</v>
      </c>
      <c r="C34" t="str">
        <f t="shared" si="0"/>
        <v>PX385</v>
      </c>
      <c r="D34" t="str">
        <f t="shared" si="1"/>
        <v>INTERVAL_SUM</v>
      </c>
      <c r="E34" t="str">
        <f t="shared" si="2"/>
        <v>Dynamic</v>
      </c>
      <c r="F34">
        <f ca="1">IF(AND(ISNUMBER($F$103),$B$69=1),$F$103,HLOOKUP(INDIRECT(ADDRESS(2,COLUMN())),OFFSET($S$2,0,0,ROW()-1,13),ROW()-1,FALSE))</f>
        <v>1200800</v>
      </c>
      <c r="G34">
        <f ca="1">IF(AND(ISNUMBER($G$103),$B$69=1),$G$103,HLOOKUP(INDIRECT(ADDRESS(2,COLUMN())),OFFSET($S$2,0,0,ROW()-1,13),ROW()-1,FALSE))</f>
        <v>1512500</v>
      </c>
      <c r="H34">
        <f ca="1">IF(AND(ISNUMBER($H$103),$B$69=1),$H$103,HLOOKUP(INDIRECT(ADDRESS(2,COLUMN())),OFFSET($S$2,0,0,ROW()-1,13),ROW()-1,FALSE))</f>
        <v>1412800</v>
      </c>
      <c r="I34">
        <f ca="1">IF(AND(ISNUMBER($I$103),$B$69=1),$I$103,HLOOKUP(INDIRECT(ADDRESS(2,COLUMN())),OFFSET($S$2,0,0,ROW()-1,13),ROW()-1,FALSE))</f>
        <v>1421000</v>
      </c>
      <c r="J34">
        <f ca="1">IF(AND(ISNUMBER($J$103),$B$69=1),$J$103,HLOOKUP(INDIRECT(ADDRESS(2,COLUMN())),OFFSET($S$2,0,0,ROW()-1,13),ROW()-1,FALSE))</f>
        <v>1676400</v>
      </c>
      <c r="K34">
        <f ca="1">IF(AND(ISNUMBER($K$103),$B$69=1),$K$103,HLOOKUP(INDIRECT(ADDRESS(2,COLUMN())),OFFSET($S$2,0,0,ROW()-1,13),ROW()-1,FALSE))</f>
        <v>1498700</v>
      </c>
      <c r="L34">
        <f ca="1">IF(AND(ISNUMBER($L$103),$B$69=1),$L$103,HLOOKUP(INDIRECT(ADDRESS(2,COLUMN())),OFFSET($S$2,0,0,ROW()-1,13),ROW()-1,FALSE))</f>
        <v>1277300</v>
      </c>
      <c r="M34">
        <f ca="1">IF(AND(ISNUMBER($M$103),$B$69=1),$M$103,HLOOKUP(INDIRECT(ADDRESS(2,COLUMN())),OFFSET($S$2,0,0,ROW()-1,13),ROW()-1,FALSE))</f>
        <v>1209800</v>
      </c>
      <c r="N34">
        <f ca="1">IF(AND(ISNUMBER($N$103),$B$69=1),$N$103,HLOOKUP(INDIRECT(ADDRESS(2,COLUMN())),OFFSET($S$2,0,0,ROW()-1,13),ROW()-1,FALSE))</f>
        <v>1148500</v>
      </c>
      <c r="O34">
        <f ca="1">IF(AND(ISNUMBER($O$103),$B$69=1),$O$103,HLOOKUP(INDIRECT(ADDRESS(2,COLUMN())),OFFSET($S$2,0,0,ROW()-1,13),ROW()-1,FALSE))</f>
        <v>1134400</v>
      </c>
      <c r="P34">
        <f ca="1">IF(AND(ISNUMBER($P$103),$B$69=1),$P$103,HLOOKUP(INDIRECT(ADDRESS(2,COLUMN())),OFFSET($S$2,0,0,ROW()-1,13),ROW()-1,FALSE))</f>
        <v>1149200</v>
      </c>
      <c r="Q34">
        <f ca="1">IF(AND(ISNUMBER($Q$103),$B$69=1),$Q$103,HLOOKUP(INDIRECT(ADDRESS(2,COLUMN())),OFFSET($S$2,0,0,ROW()-1,13),ROW()-1,FALSE))</f>
        <v>1045100</v>
      </c>
      <c r="R34">
        <f ca="1">IF(AND(ISNUMBER($R$103),$B$69=1),$R$103,HLOOKUP(INDIRECT(ADDRESS(2,COLUMN())),OFFSET($S$2,0,0,ROW()-1,13),ROW()-1,FALSE))</f>
        <v>1064300</v>
      </c>
      <c r="S34">
        <f>1200800</f>
        <v>1200800</v>
      </c>
      <c r="T34">
        <f>1512500</f>
        <v>1512500</v>
      </c>
      <c r="U34">
        <f>1412800</f>
        <v>1412800</v>
      </c>
      <c r="V34">
        <f>1421000</f>
        <v>1421000</v>
      </c>
      <c r="W34">
        <f>1676400</f>
        <v>1676400</v>
      </c>
      <c r="X34">
        <f>1498700</f>
        <v>1498700</v>
      </c>
      <c r="Y34">
        <f>1277300</f>
        <v>1277300</v>
      </c>
      <c r="Z34">
        <f>1209800</f>
        <v>1209800</v>
      </c>
      <c r="AA34">
        <f>1148500</f>
        <v>1148500</v>
      </c>
      <c r="AB34">
        <f>1134400</f>
        <v>1134400</v>
      </c>
      <c r="AC34">
        <f>1149200</f>
        <v>1149200</v>
      </c>
      <c r="AD34">
        <f>1045100</f>
        <v>1045100</v>
      </c>
      <c r="AE34">
        <f>1064300</f>
        <v>1064300</v>
      </c>
    </row>
    <row r="35" spans="1:31" x14ac:dyDescent="0.2">
      <c r="A35" t="str">
        <f>"    North America - Sub Saharan Africa"</f>
        <v xml:space="preserve">    North America - Sub Saharan Africa</v>
      </c>
      <c r="B35" t="str">
        <f>"CSHVNSSA Index"</f>
        <v>CSHVNSSA Index</v>
      </c>
      <c r="C35" t="str">
        <f t="shared" si="0"/>
        <v>PX385</v>
      </c>
      <c r="D35" t="str">
        <f t="shared" si="1"/>
        <v>INTERVAL_SUM</v>
      </c>
      <c r="E35" t="str">
        <f t="shared" si="2"/>
        <v>Dynamic</v>
      </c>
      <c r="F35">
        <f ca="1">IF(AND(ISNUMBER($F$104),$B$69=1),$F$104,HLOOKUP(INDIRECT(ADDRESS(2,COLUMN())),OFFSET($S$2,0,0,ROW()-1,13),ROW()-1,FALSE))</f>
        <v>226700</v>
      </c>
      <c r="G35">
        <f ca="1">IF(AND(ISNUMBER($G$104),$B$69=1),$G$104,HLOOKUP(INDIRECT(ADDRESS(2,COLUMN())),OFFSET($S$2,0,0,ROW()-1,13),ROW()-1,FALSE))</f>
        <v>311900</v>
      </c>
      <c r="H35">
        <f ca="1">IF(AND(ISNUMBER($H$104),$B$69=1),$H$104,HLOOKUP(INDIRECT(ADDRESS(2,COLUMN())),OFFSET($S$2,0,0,ROW()-1,13),ROW()-1,FALSE))</f>
        <v>360400</v>
      </c>
      <c r="I35">
        <f ca="1">IF(AND(ISNUMBER($I$104),$B$69=1),$I$104,HLOOKUP(INDIRECT(ADDRESS(2,COLUMN())),OFFSET($S$2,0,0,ROW()-1,13),ROW()-1,FALSE))</f>
        <v>350000</v>
      </c>
      <c r="J35">
        <f ca="1">IF(AND(ISNUMBER($J$104),$B$69=1),$J$104,HLOOKUP(INDIRECT(ADDRESS(2,COLUMN())),OFFSET($S$2,0,0,ROW()-1,13),ROW()-1,FALSE))</f>
        <v>378300</v>
      </c>
      <c r="K35">
        <f ca="1">IF(AND(ISNUMBER($K$104),$B$69=1),$K$104,HLOOKUP(INDIRECT(ADDRESS(2,COLUMN())),OFFSET($S$2,0,0,ROW()-1,13),ROW()-1,FALSE))</f>
        <v>334400</v>
      </c>
      <c r="L35">
        <f ca="1">IF(AND(ISNUMBER($L$104),$B$69=1),$L$104,HLOOKUP(INDIRECT(ADDRESS(2,COLUMN())),OFFSET($S$2,0,0,ROW()-1,13),ROW()-1,FALSE))</f>
        <v>304800</v>
      </c>
      <c r="M35">
        <f ca="1">IF(AND(ISNUMBER($M$104),$B$69=1),$M$104,HLOOKUP(INDIRECT(ADDRESS(2,COLUMN())),OFFSET($S$2,0,0,ROW()-1,13),ROW()-1,FALSE))</f>
        <v>296100</v>
      </c>
      <c r="N35">
        <f ca="1">IF(AND(ISNUMBER($N$104),$B$69=1),$N$104,HLOOKUP(INDIRECT(ADDRESS(2,COLUMN())),OFFSET($S$2,0,0,ROW()-1,13),ROW()-1,FALSE))</f>
        <v>296900</v>
      </c>
      <c r="O35">
        <f ca="1">IF(AND(ISNUMBER($O$104),$B$69=1),$O$104,HLOOKUP(INDIRECT(ADDRESS(2,COLUMN())),OFFSET($S$2,0,0,ROW()-1,13),ROW()-1,FALSE))</f>
        <v>315300</v>
      </c>
      <c r="P35">
        <f ca="1">IF(AND(ISNUMBER($P$104),$B$69=1),$P$104,HLOOKUP(INDIRECT(ADDRESS(2,COLUMN())),OFFSET($S$2,0,0,ROW()-1,13),ROW()-1,FALSE))</f>
        <v>324700</v>
      </c>
      <c r="Q35">
        <f ca="1">IF(AND(ISNUMBER($Q$104),$B$69=1),$Q$104,HLOOKUP(INDIRECT(ADDRESS(2,COLUMN())),OFFSET($S$2,0,0,ROW()-1,13),ROW()-1,FALSE))</f>
        <v>373600</v>
      </c>
      <c r="R35">
        <f ca="1">IF(AND(ISNUMBER($R$104),$B$69=1),$R$104,HLOOKUP(INDIRECT(ADDRESS(2,COLUMN())),OFFSET($S$2,0,0,ROW()-1,13),ROW()-1,FALSE))</f>
        <v>369800</v>
      </c>
      <c r="S35">
        <f>226700</f>
        <v>226700</v>
      </c>
      <c r="T35">
        <f>311900</f>
        <v>311900</v>
      </c>
      <c r="U35">
        <f>360400</f>
        <v>360400</v>
      </c>
      <c r="V35">
        <f>350000</f>
        <v>350000</v>
      </c>
      <c r="W35">
        <f>378300</f>
        <v>378300</v>
      </c>
      <c r="X35">
        <f>334400</f>
        <v>334400</v>
      </c>
      <c r="Y35">
        <f>304800</f>
        <v>304800</v>
      </c>
      <c r="Z35">
        <f>296100</f>
        <v>296100</v>
      </c>
      <c r="AA35">
        <f>296900</f>
        <v>296900</v>
      </c>
      <c r="AB35">
        <f>315300</f>
        <v>315300</v>
      </c>
      <c r="AC35">
        <f>324700</f>
        <v>324700</v>
      </c>
      <c r="AD35">
        <f>373600</f>
        <v>373600</v>
      </c>
      <c r="AE35">
        <f>369800</f>
        <v>369800</v>
      </c>
    </row>
    <row r="36" spans="1:31" x14ac:dyDescent="0.2">
      <c r="A36" t="str">
        <f>"    North America - North America"</f>
        <v xml:space="preserve">    North America - North America</v>
      </c>
      <c r="B36" t="str">
        <f>"CSHVNNAR Index"</f>
        <v>CSHVNNAR Index</v>
      </c>
      <c r="C36" t="str">
        <f t="shared" ref="C36:C52" si="3">"PX385"</f>
        <v>PX385</v>
      </c>
      <c r="D36" t="str">
        <f t="shared" ref="D36:D52" si="4">"INTERVAL_SUM"</f>
        <v>INTERVAL_SUM</v>
      </c>
      <c r="E36" t="str">
        <f t="shared" ref="E36:E52" si="5">"Dynamic"</f>
        <v>Dynamic</v>
      </c>
      <c r="F36">
        <f ca="1">IF(AND(ISNUMBER($F$105),$B$69=1),$F$105,HLOOKUP(INDIRECT(ADDRESS(2,COLUMN())),OFFSET($S$2,0,0,ROW()-1,13),ROW()-1,FALSE))</f>
        <v>167100</v>
      </c>
      <c r="G36">
        <f ca="1">IF(AND(ISNUMBER($G$105),$B$69=1),$G$105,HLOOKUP(INDIRECT(ADDRESS(2,COLUMN())),OFFSET($S$2,0,0,ROW()-1,13),ROW()-1,FALSE))</f>
        <v>261900</v>
      </c>
      <c r="H36">
        <f ca="1">IF(AND(ISNUMBER($H$105),$B$69=1),$H$105,HLOOKUP(INDIRECT(ADDRESS(2,COLUMN())),OFFSET($S$2,0,0,ROW()-1,13),ROW()-1,FALSE))</f>
        <v>301100</v>
      </c>
      <c r="I36">
        <f ca="1">IF(AND(ISNUMBER($I$105),$B$69=1),$I$105,HLOOKUP(INDIRECT(ADDRESS(2,COLUMN())),OFFSET($S$2,0,0,ROW()-1,13),ROW()-1,FALSE))</f>
        <v>305500</v>
      </c>
      <c r="J36">
        <f ca="1">IF(AND(ISNUMBER($J$105),$B$69=1),$J$105,HLOOKUP(INDIRECT(ADDRESS(2,COLUMN())),OFFSET($S$2,0,0,ROW()-1,13),ROW()-1,FALSE))</f>
        <v>331000</v>
      </c>
      <c r="K36">
        <f ca="1">IF(AND(ISNUMBER($K$105),$B$69=1),$K$105,HLOOKUP(INDIRECT(ADDRESS(2,COLUMN())),OFFSET($S$2,0,0,ROW()-1,13),ROW()-1,FALSE))</f>
        <v>319100</v>
      </c>
      <c r="L36">
        <f ca="1">IF(AND(ISNUMBER($L$105),$B$69=1),$L$105,HLOOKUP(INDIRECT(ADDRESS(2,COLUMN())),OFFSET($S$2,0,0,ROW()-1,13),ROW()-1,FALSE))</f>
        <v>291600</v>
      </c>
      <c r="M36">
        <f ca="1">IF(AND(ISNUMBER($M$105),$B$69=1),$M$105,HLOOKUP(INDIRECT(ADDRESS(2,COLUMN())),OFFSET($S$2,0,0,ROW()-1,13),ROW()-1,FALSE))</f>
        <v>266400</v>
      </c>
      <c r="N36">
        <f ca="1">IF(AND(ISNUMBER($N$105),$B$69=1),$N$105,HLOOKUP(INDIRECT(ADDRESS(2,COLUMN())),OFFSET($S$2,0,0,ROW()-1,13),ROW()-1,FALSE))</f>
        <v>246100</v>
      </c>
      <c r="O36">
        <f ca="1">IF(AND(ISNUMBER($O$105),$B$69=1),$O$105,HLOOKUP(INDIRECT(ADDRESS(2,COLUMN())),OFFSET($S$2,0,0,ROW()-1,13),ROW()-1,FALSE))</f>
        <v>236600</v>
      </c>
      <c r="P36">
        <f ca="1">IF(AND(ISNUMBER($P$105),$B$69=1),$P$105,HLOOKUP(INDIRECT(ADDRESS(2,COLUMN())),OFFSET($S$2,0,0,ROW()-1,13),ROW()-1,FALSE))</f>
        <v>237600</v>
      </c>
      <c r="Q36">
        <f ca="1">IF(AND(ISNUMBER($Q$105),$B$69=1),$Q$105,HLOOKUP(INDIRECT(ADDRESS(2,COLUMN())),OFFSET($S$2,0,0,ROW()-1,13),ROW()-1,FALSE))</f>
        <v>476300</v>
      </c>
      <c r="R36">
        <f ca="1">IF(AND(ISNUMBER($R$105),$B$69=1),$R$105,HLOOKUP(INDIRECT(ADDRESS(2,COLUMN())),OFFSET($S$2,0,0,ROW()-1,13),ROW()-1,FALSE))</f>
        <v>416300</v>
      </c>
      <c r="S36">
        <f>167100</f>
        <v>167100</v>
      </c>
      <c r="T36">
        <f>261900</f>
        <v>261900</v>
      </c>
      <c r="U36">
        <f>301100</f>
        <v>301100</v>
      </c>
      <c r="V36">
        <f>305500</f>
        <v>305500</v>
      </c>
      <c r="W36">
        <f>331000</f>
        <v>331000</v>
      </c>
      <c r="X36">
        <f>319100</f>
        <v>319100</v>
      </c>
      <c r="Y36">
        <f>291600</f>
        <v>291600</v>
      </c>
      <c r="Z36">
        <f>266400</f>
        <v>266400</v>
      </c>
      <c r="AA36">
        <f>246100</f>
        <v>246100</v>
      </c>
      <c r="AB36">
        <f>236600</f>
        <v>236600</v>
      </c>
      <c r="AC36">
        <f>237600</f>
        <v>237600</v>
      </c>
      <c r="AD36">
        <f>476300</f>
        <v>476300</v>
      </c>
      <c r="AE36">
        <f>416300</f>
        <v>416300</v>
      </c>
    </row>
    <row r="37" spans="1:31" x14ac:dyDescent="0.2">
      <c r="A37" t="str">
        <f>"    North America - Asia"</f>
        <v xml:space="preserve">    North America - Asia</v>
      </c>
      <c r="B37" t="str">
        <f>"CSHVNASR Index"</f>
        <v>CSHVNASR Index</v>
      </c>
      <c r="C37" t="str">
        <f t="shared" si="3"/>
        <v>PX385</v>
      </c>
      <c r="D37" t="str">
        <f t="shared" si="4"/>
        <v>INTERVAL_SUM</v>
      </c>
      <c r="E37" t="str">
        <f t="shared" si="5"/>
        <v>Dynamic</v>
      </c>
      <c r="F37">
        <f ca="1">IF(AND(ISNUMBER($F$106),$B$69=1),$F$106,HLOOKUP(INDIRECT(ADDRESS(2,COLUMN())),OFFSET($S$2,0,0,ROW()-1,13),ROW()-1,FALSE))</f>
        <v>4538100</v>
      </c>
      <c r="G37">
        <f ca="1">IF(AND(ISNUMBER($G$106),$B$69=1),$G$106,HLOOKUP(INDIRECT(ADDRESS(2,COLUMN())),OFFSET($S$2,0,0,ROW()-1,13),ROW()-1,FALSE))</f>
        <v>6005900</v>
      </c>
      <c r="H37">
        <f ca="1">IF(AND(ISNUMBER($H$106),$B$69=1),$H$106,HLOOKUP(INDIRECT(ADDRESS(2,COLUMN())),OFFSET($S$2,0,0,ROW()-1,13),ROW()-1,FALSE))</f>
        <v>6377600</v>
      </c>
      <c r="I37">
        <f ca="1">IF(AND(ISNUMBER($I$106),$B$69=1),$I$106,HLOOKUP(INDIRECT(ADDRESS(2,COLUMN())),OFFSET($S$2,0,0,ROW()-1,13),ROW()-1,FALSE))</f>
        <v>7304400</v>
      </c>
      <c r="J37">
        <f ca="1">IF(AND(ISNUMBER($J$106),$B$69=1),$J$106,HLOOKUP(INDIRECT(ADDRESS(2,COLUMN())),OFFSET($S$2,0,0,ROW()-1,13),ROW()-1,FALSE))</f>
        <v>7448200</v>
      </c>
      <c r="K37">
        <f ca="1">IF(AND(ISNUMBER($K$106),$B$69=1),$K$106,HLOOKUP(INDIRECT(ADDRESS(2,COLUMN())),OFFSET($S$2,0,0,ROW()-1,13),ROW()-1,FALSE))</f>
        <v>7514000</v>
      </c>
      <c r="L37">
        <f ca="1">IF(AND(ISNUMBER($L$106),$B$69=1),$L$106,HLOOKUP(INDIRECT(ADDRESS(2,COLUMN())),OFFSET($S$2,0,0,ROW()-1,13),ROW()-1,FALSE))</f>
        <v>7997400</v>
      </c>
      <c r="M37">
        <f ca="1">IF(AND(ISNUMBER($M$106),$B$69=1),$M$106,HLOOKUP(INDIRECT(ADDRESS(2,COLUMN())),OFFSET($S$2,0,0,ROW()-1,13),ROW()-1,FALSE))</f>
        <v>7861000</v>
      </c>
      <c r="N37">
        <f ca="1">IF(AND(ISNUMBER($N$106),$B$69=1),$N$106,HLOOKUP(INDIRECT(ADDRESS(2,COLUMN())),OFFSET($S$2,0,0,ROW()-1,13),ROW()-1,FALSE))</f>
        <v>7304700</v>
      </c>
      <c r="O37">
        <f ca="1">IF(AND(ISNUMBER($O$106),$B$69=1),$O$106,HLOOKUP(INDIRECT(ADDRESS(2,COLUMN())),OFFSET($S$2,0,0,ROW()-1,13),ROW()-1,FALSE))</f>
        <v>7568600</v>
      </c>
      <c r="P37">
        <f ca="1">IF(AND(ISNUMBER($P$106),$B$69=1),$P$106,HLOOKUP(INDIRECT(ADDRESS(2,COLUMN())),OFFSET($S$2,0,0,ROW()-1,13),ROW()-1,FALSE))</f>
        <v>7895600</v>
      </c>
      <c r="Q37">
        <f ca="1">IF(AND(ISNUMBER($Q$106),$B$69=1),$Q$106,HLOOKUP(INDIRECT(ADDRESS(2,COLUMN())),OFFSET($S$2,0,0,ROW()-1,13),ROW()-1,FALSE))</f>
        <v>7760600</v>
      </c>
      <c r="R37">
        <f ca="1">IF(AND(ISNUMBER($R$106),$B$69=1),$R$106,HLOOKUP(INDIRECT(ADDRESS(2,COLUMN())),OFFSET($S$2,0,0,ROW()-1,13),ROW()-1,FALSE))</f>
        <v>7828600</v>
      </c>
      <c r="S37">
        <f>4538100</f>
        <v>4538100</v>
      </c>
      <c r="T37">
        <f>6005900</f>
        <v>6005900</v>
      </c>
      <c r="U37">
        <f>6377600</f>
        <v>6377600</v>
      </c>
      <c r="V37">
        <f>7304400</f>
        <v>7304400</v>
      </c>
      <c r="W37">
        <f>7448200</f>
        <v>7448200</v>
      </c>
      <c r="X37">
        <f>7514000</f>
        <v>7514000</v>
      </c>
      <c r="Y37">
        <f>7997400</f>
        <v>7997400</v>
      </c>
      <c r="Z37">
        <f>7861000</f>
        <v>7861000</v>
      </c>
      <c r="AA37">
        <f>7304700</f>
        <v>7304700</v>
      </c>
      <c r="AB37">
        <f>7568600</f>
        <v>7568600</v>
      </c>
      <c r="AC37">
        <f>7895600</f>
        <v>7895600</v>
      </c>
      <c r="AD37">
        <f>7760600</f>
        <v>7760600</v>
      </c>
      <c r="AE37">
        <f>7828600</f>
        <v>7828600</v>
      </c>
    </row>
    <row r="38" spans="1:31" x14ac:dyDescent="0.2">
      <c r="A38" t="str">
        <f>"    North America - Australasia &amp; Oceania"</f>
        <v xml:space="preserve">    North America - Australasia &amp; Oceania</v>
      </c>
      <c r="B38" t="str">
        <f>"CSHVNAUO Index"</f>
        <v>CSHVNAUO Index</v>
      </c>
      <c r="C38" t="str">
        <f t="shared" si="3"/>
        <v>PX385</v>
      </c>
      <c r="D38" t="str">
        <f t="shared" si="4"/>
        <v>INTERVAL_SUM</v>
      </c>
      <c r="E38" t="str">
        <f t="shared" si="5"/>
        <v>Dynamic</v>
      </c>
      <c r="F38">
        <f ca="1">IF(AND(ISNUMBER($F$107),$B$69=1),$F$107,HLOOKUP(INDIRECT(ADDRESS(2,COLUMN())),OFFSET($S$2,0,0,ROW()-1,13),ROW()-1,FALSE))</f>
        <v>199500</v>
      </c>
      <c r="G38">
        <f ca="1">IF(AND(ISNUMBER($G$107),$B$69=1),$G$107,HLOOKUP(INDIRECT(ADDRESS(2,COLUMN())),OFFSET($S$2,0,0,ROW()-1,13),ROW()-1,FALSE))</f>
        <v>334000</v>
      </c>
      <c r="H38">
        <f ca="1">IF(AND(ISNUMBER($H$107),$B$69=1),$H$107,HLOOKUP(INDIRECT(ADDRESS(2,COLUMN())),OFFSET($S$2,0,0,ROW()-1,13),ROW()-1,FALSE))</f>
        <v>324600</v>
      </c>
      <c r="I38">
        <f ca="1">IF(AND(ISNUMBER($I$107),$B$69=1),$I$107,HLOOKUP(INDIRECT(ADDRESS(2,COLUMN())),OFFSET($S$2,0,0,ROW()-1,13),ROW()-1,FALSE))</f>
        <v>331500</v>
      </c>
      <c r="J38">
        <f ca="1">IF(AND(ISNUMBER($J$107),$B$69=1),$J$107,HLOOKUP(INDIRECT(ADDRESS(2,COLUMN())),OFFSET($S$2,0,0,ROW()-1,13),ROW()-1,FALSE))</f>
        <v>344600</v>
      </c>
      <c r="K38">
        <f ca="1">IF(AND(ISNUMBER($K$107),$B$69=1),$K$107,HLOOKUP(INDIRECT(ADDRESS(2,COLUMN())),OFFSET($S$2,0,0,ROW()-1,13),ROW()-1,FALSE))</f>
        <v>340800</v>
      </c>
      <c r="L38">
        <f ca="1">IF(AND(ISNUMBER($L$107),$B$69=1),$L$107,HLOOKUP(INDIRECT(ADDRESS(2,COLUMN())),OFFSET($S$2,0,0,ROW()-1,13),ROW()-1,FALSE))</f>
        <v>352100</v>
      </c>
      <c r="M38">
        <f ca="1">IF(AND(ISNUMBER($M$107),$B$69=1),$M$107,HLOOKUP(INDIRECT(ADDRESS(2,COLUMN())),OFFSET($S$2,0,0,ROW()-1,13),ROW()-1,FALSE))</f>
        <v>367300</v>
      </c>
      <c r="N38">
        <f ca="1">IF(AND(ISNUMBER($N$107),$B$69=1),$N$107,HLOOKUP(INDIRECT(ADDRESS(2,COLUMN())),OFFSET($S$2,0,0,ROW()-1,13),ROW()-1,FALSE))</f>
        <v>370600</v>
      </c>
      <c r="O38">
        <f ca="1">IF(AND(ISNUMBER($O$107),$B$69=1),$O$107,HLOOKUP(INDIRECT(ADDRESS(2,COLUMN())),OFFSET($S$2,0,0,ROW()-1,13),ROW()-1,FALSE))</f>
        <v>403000</v>
      </c>
      <c r="P38">
        <f ca="1">IF(AND(ISNUMBER($P$107),$B$69=1),$P$107,HLOOKUP(INDIRECT(ADDRESS(2,COLUMN())),OFFSET($S$2,0,0,ROW()-1,13),ROW()-1,FALSE))</f>
        <v>397600</v>
      </c>
      <c r="Q38">
        <f ca="1">IF(AND(ISNUMBER($Q$107),$B$69=1),$Q$107,HLOOKUP(INDIRECT(ADDRESS(2,COLUMN())),OFFSET($S$2,0,0,ROW()-1,13),ROW()-1,FALSE))</f>
        <v>325700</v>
      </c>
      <c r="R38">
        <f ca="1">IF(AND(ISNUMBER($R$107),$B$69=1),$R$107,HLOOKUP(INDIRECT(ADDRESS(2,COLUMN())),OFFSET($S$2,0,0,ROW()-1,13),ROW()-1,FALSE))</f>
        <v>320300</v>
      </c>
      <c r="S38">
        <f>199500</f>
        <v>199500</v>
      </c>
      <c r="T38">
        <f>334000</f>
        <v>334000</v>
      </c>
      <c r="U38">
        <f>324600</f>
        <v>324600</v>
      </c>
      <c r="V38">
        <f>331500</f>
        <v>331500</v>
      </c>
      <c r="W38">
        <f>344600</f>
        <v>344600</v>
      </c>
      <c r="X38">
        <f>340800</f>
        <v>340800</v>
      </c>
      <c r="Y38">
        <f>352100</f>
        <v>352100</v>
      </c>
      <c r="Z38">
        <f>367300</f>
        <v>367300</v>
      </c>
      <c r="AA38">
        <f>370600</f>
        <v>370600</v>
      </c>
      <c r="AB38">
        <f>403000</f>
        <v>403000</v>
      </c>
      <c r="AC38">
        <f>397600</f>
        <v>397600</v>
      </c>
      <c r="AD38">
        <f>325700</f>
        <v>325700</v>
      </c>
      <c r="AE38">
        <f>320300</f>
        <v>320300</v>
      </c>
    </row>
    <row r="39" spans="1:31" x14ac:dyDescent="0.2">
      <c r="A39" t="str">
        <f>"    South &amp; Central America - South &amp; Central America"</f>
        <v xml:space="preserve">    South &amp; Central America - South &amp; Central America</v>
      </c>
      <c r="B39" t="str">
        <f>"CSHVCSCA Index"</f>
        <v>CSHVCSCA Index</v>
      </c>
      <c r="C39" t="str">
        <f t="shared" si="3"/>
        <v>PX385</v>
      </c>
      <c r="D39" t="str">
        <f t="shared" si="4"/>
        <v>INTERVAL_SUM</v>
      </c>
      <c r="E39" t="str">
        <f t="shared" si="5"/>
        <v>Dynamic</v>
      </c>
      <c r="F39">
        <f ca="1">IF(AND(ISNUMBER($F$108),$B$69=1),$F$108,HLOOKUP(INDIRECT(ADDRESS(2,COLUMN())),OFFSET($S$2,0,0,ROW()-1,13),ROW()-1,FALSE))</f>
        <v>1107300</v>
      </c>
      <c r="G39">
        <f ca="1">IF(AND(ISNUMBER($G$108),$B$69=1),$G$108,HLOOKUP(INDIRECT(ADDRESS(2,COLUMN())),OFFSET($S$2,0,0,ROW()-1,13),ROW()-1,FALSE))</f>
        <v>1480500</v>
      </c>
      <c r="H39">
        <f ca="1">IF(AND(ISNUMBER($H$108),$B$69=1),$H$108,HLOOKUP(INDIRECT(ADDRESS(2,COLUMN())),OFFSET($S$2,0,0,ROW()-1,13),ROW()-1,FALSE))</f>
        <v>1585900</v>
      </c>
      <c r="I39">
        <f ca="1">IF(AND(ISNUMBER($I$108),$B$69=1),$I$108,HLOOKUP(INDIRECT(ADDRESS(2,COLUMN())),OFFSET($S$2,0,0,ROW()-1,13),ROW()-1,FALSE))</f>
        <v>1481200</v>
      </c>
      <c r="J39">
        <f ca="1">IF(AND(ISNUMBER($J$108),$B$69=1),$J$108,HLOOKUP(INDIRECT(ADDRESS(2,COLUMN())),OFFSET($S$2,0,0,ROW()-1,13),ROW()-1,FALSE))</f>
        <v>1841800</v>
      </c>
      <c r="K39">
        <f ca="1">IF(AND(ISNUMBER($K$108),$B$69=1),$K$108,HLOOKUP(INDIRECT(ADDRESS(2,COLUMN())),OFFSET($S$2,0,0,ROW()-1,13),ROW()-1,FALSE))</f>
        <v>1823000</v>
      </c>
      <c r="L39">
        <f ca="1">IF(AND(ISNUMBER($L$108),$B$69=1),$L$108,HLOOKUP(INDIRECT(ADDRESS(2,COLUMN())),OFFSET($S$2,0,0,ROW()-1,13),ROW()-1,FALSE))</f>
        <v>1735400</v>
      </c>
      <c r="M39">
        <f ca="1">IF(AND(ISNUMBER($M$108),$B$69=1),$M$108,HLOOKUP(INDIRECT(ADDRESS(2,COLUMN())),OFFSET($S$2,0,0,ROW()-1,13),ROW()-1,FALSE))</f>
        <v>1550400</v>
      </c>
      <c r="N39">
        <f ca="1">IF(AND(ISNUMBER($N$108),$B$69=1),$N$108,HLOOKUP(INDIRECT(ADDRESS(2,COLUMN())),OFFSET($S$2,0,0,ROW()-1,13),ROW()-1,FALSE))</f>
        <v>1523400</v>
      </c>
      <c r="O39">
        <f ca="1">IF(AND(ISNUMBER($O$108),$B$69=1),$O$108,HLOOKUP(INDIRECT(ADDRESS(2,COLUMN())),OFFSET($S$2,0,0,ROW()-1,13),ROW()-1,FALSE))</f>
        <v>1483400</v>
      </c>
      <c r="P39">
        <f ca="1">IF(AND(ISNUMBER($P$108),$B$69=1),$P$108,HLOOKUP(INDIRECT(ADDRESS(2,COLUMN())),OFFSET($S$2,0,0,ROW()-1,13),ROW()-1,FALSE))</f>
        <v>1427400</v>
      </c>
      <c r="Q39">
        <f ca="1">IF(AND(ISNUMBER($Q$108),$B$69=1),$Q$108,HLOOKUP(INDIRECT(ADDRESS(2,COLUMN())),OFFSET($S$2,0,0,ROW()-1,13),ROW()-1,FALSE))</f>
        <v>1300500</v>
      </c>
      <c r="R39">
        <f ca="1">IF(AND(ISNUMBER($R$108),$B$69=1),$R$108,HLOOKUP(INDIRECT(ADDRESS(2,COLUMN())),OFFSET($S$2,0,0,ROW()-1,13),ROW()-1,FALSE))</f>
        <v>1274000</v>
      </c>
      <c r="S39">
        <f>1107300</f>
        <v>1107300</v>
      </c>
      <c r="T39">
        <f>1480500</f>
        <v>1480500</v>
      </c>
      <c r="U39">
        <f>1585900</f>
        <v>1585900</v>
      </c>
      <c r="V39">
        <f>1481200</f>
        <v>1481200</v>
      </c>
      <c r="W39">
        <f>1841800</f>
        <v>1841800</v>
      </c>
      <c r="X39">
        <f>1823000</f>
        <v>1823000</v>
      </c>
      <c r="Y39">
        <f>1735400</f>
        <v>1735400</v>
      </c>
      <c r="Z39">
        <f>1550400</f>
        <v>1550400</v>
      </c>
      <c r="AA39">
        <f>1523400</f>
        <v>1523400</v>
      </c>
      <c r="AB39">
        <f>1483400</f>
        <v>1483400</v>
      </c>
      <c r="AC39">
        <f>1427400</f>
        <v>1427400</v>
      </c>
      <c r="AD39">
        <f>1300500</f>
        <v>1300500</v>
      </c>
      <c r="AE39">
        <f>1274000</f>
        <v>1274000</v>
      </c>
    </row>
    <row r="40" spans="1:31" x14ac:dyDescent="0.2">
      <c r="A40" t="str">
        <f>"    South &amp; Central America - Indian Sub Cont. &amp; Middle East"</f>
        <v xml:space="preserve">    South &amp; Central America - Indian Sub Cont. &amp; Middle East</v>
      </c>
      <c r="B40" t="str">
        <f>"CSHVCIME Index"</f>
        <v>CSHVCIME Index</v>
      </c>
      <c r="C40" t="str">
        <f t="shared" si="3"/>
        <v>PX385</v>
      </c>
      <c r="D40" t="str">
        <f t="shared" si="4"/>
        <v>INTERVAL_SUM</v>
      </c>
      <c r="E40" t="str">
        <f t="shared" si="5"/>
        <v>Dynamic</v>
      </c>
      <c r="F40">
        <f ca="1">IF(AND(ISNUMBER($F$109),$B$69=1),$F$109,HLOOKUP(INDIRECT(ADDRESS(2,COLUMN())),OFFSET($S$2,0,0,ROW()-1,13),ROW()-1,FALSE))</f>
        <v>358400</v>
      </c>
      <c r="G40">
        <f ca="1">IF(AND(ISNUMBER($G$109),$B$69=1),$G$109,HLOOKUP(INDIRECT(ADDRESS(2,COLUMN())),OFFSET($S$2,0,0,ROW()-1,13),ROW()-1,FALSE))</f>
        <v>440200</v>
      </c>
      <c r="H40">
        <f ca="1">IF(AND(ISNUMBER($H$109),$B$69=1),$H$109,HLOOKUP(INDIRECT(ADDRESS(2,COLUMN())),OFFSET($S$2,0,0,ROW()-1,13),ROW()-1,FALSE))</f>
        <v>435000</v>
      </c>
      <c r="I40">
        <f ca="1">IF(AND(ISNUMBER($I$109),$B$69=1),$I$109,HLOOKUP(INDIRECT(ADDRESS(2,COLUMN())),OFFSET($S$2,0,0,ROW()-1,13),ROW()-1,FALSE))</f>
        <v>455800</v>
      </c>
      <c r="J40">
        <f ca="1">IF(AND(ISNUMBER($J$109),$B$69=1),$J$109,HLOOKUP(INDIRECT(ADDRESS(2,COLUMN())),OFFSET($S$2,0,0,ROW()-1,13),ROW()-1,FALSE))</f>
        <v>434500</v>
      </c>
      <c r="K40">
        <f ca="1">IF(AND(ISNUMBER($K$109),$B$69=1),$K$109,HLOOKUP(INDIRECT(ADDRESS(2,COLUMN())),OFFSET($S$2,0,0,ROW()-1,13),ROW()-1,FALSE))</f>
        <v>415000</v>
      </c>
      <c r="L40">
        <f ca="1">IF(AND(ISNUMBER($L$109),$B$69=1),$L$109,HLOOKUP(INDIRECT(ADDRESS(2,COLUMN())),OFFSET($S$2,0,0,ROW()-1,13),ROW()-1,FALSE))</f>
        <v>446900</v>
      </c>
      <c r="M40">
        <f ca="1">IF(AND(ISNUMBER($M$109),$B$69=1),$M$109,HLOOKUP(INDIRECT(ADDRESS(2,COLUMN())),OFFSET($S$2,0,0,ROW()-1,13),ROW()-1,FALSE))</f>
        <v>460900</v>
      </c>
      <c r="N40">
        <f ca="1">IF(AND(ISNUMBER($N$109),$B$69=1),$N$109,HLOOKUP(INDIRECT(ADDRESS(2,COLUMN())),OFFSET($S$2,0,0,ROW()-1,13),ROW()-1,FALSE))</f>
        <v>391700</v>
      </c>
      <c r="O40">
        <f ca="1">IF(AND(ISNUMBER($O$109),$B$69=1),$O$109,HLOOKUP(INDIRECT(ADDRESS(2,COLUMN())),OFFSET($S$2,0,0,ROW()-1,13),ROW()-1,FALSE))</f>
        <v>320900</v>
      </c>
      <c r="P40">
        <f ca="1">IF(AND(ISNUMBER($P$109),$B$69=1),$P$109,HLOOKUP(INDIRECT(ADDRESS(2,COLUMN())),OFFSET($S$2,0,0,ROW()-1,13),ROW()-1,FALSE))</f>
        <v>284300</v>
      </c>
      <c r="Q40">
        <f ca="1">IF(AND(ISNUMBER($Q$109),$B$69=1),$Q$109,HLOOKUP(INDIRECT(ADDRESS(2,COLUMN())),OFFSET($S$2,0,0,ROW()-1,13),ROW()-1,FALSE))</f>
        <v>294700</v>
      </c>
      <c r="R40">
        <f ca="1">IF(AND(ISNUMBER($R$109),$B$69=1),$R$109,HLOOKUP(INDIRECT(ADDRESS(2,COLUMN())),OFFSET($S$2,0,0,ROW()-1,13),ROW()-1,FALSE))</f>
        <v>281200</v>
      </c>
      <c r="S40">
        <f>358400</f>
        <v>358400</v>
      </c>
      <c r="T40">
        <f>440200</f>
        <v>440200</v>
      </c>
      <c r="U40">
        <f>435000</f>
        <v>435000</v>
      </c>
      <c r="V40">
        <f>455800</f>
        <v>455800</v>
      </c>
      <c r="W40">
        <f>434500</f>
        <v>434500</v>
      </c>
      <c r="X40">
        <f>415000</f>
        <v>415000</v>
      </c>
      <c r="Y40">
        <f>446900</f>
        <v>446900</v>
      </c>
      <c r="Z40">
        <f>460900</f>
        <v>460900</v>
      </c>
      <c r="AA40">
        <f>391700</f>
        <v>391700</v>
      </c>
      <c r="AB40">
        <f>320900</f>
        <v>320900</v>
      </c>
      <c r="AC40">
        <f>284300</f>
        <v>284300</v>
      </c>
      <c r="AD40">
        <f>294700</f>
        <v>294700</v>
      </c>
      <c r="AE40">
        <f>281200</f>
        <v>281200</v>
      </c>
    </row>
    <row r="41" spans="1:31" x14ac:dyDescent="0.2">
      <c r="A41" t="str">
        <f>"    South &amp; Central America - Europe"</f>
        <v xml:space="preserve">    South &amp; Central America - Europe</v>
      </c>
      <c r="B41" t="str">
        <f>"CSHVCEUR Index"</f>
        <v>CSHVCEUR Index</v>
      </c>
      <c r="C41" t="str">
        <f t="shared" si="3"/>
        <v>PX385</v>
      </c>
      <c r="D41" t="str">
        <f t="shared" si="4"/>
        <v>INTERVAL_SUM</v>
      </c>
      <c r="E41" t="str">
        <f t="shared" si="5"/>
        <v>Dynamic</v>
      </c>
      <c r="F41">
        <f ca="1">IF(AND(ISNUMBER($F$110),$B$69=1),$F$110,HLOOKUP(INDIRECT(ADDRESS(2,COLUMN())),OFFSET($S$2,0,0,ROW()-1,13),ROW()-1,FALSE))</f>
        <v>1513300</v>
      </c>
      <c r="G41">
        <f ca="1">IF(AND(ISNUMBER($G$110),$B$69=1),$G$110,HLOOKUP(INDIRECT(ADDRESS(2,COLUMN())),OFFSET($S$2,0,0,ROW()-1,13),ROW()-1,FALSE))</f>
        <v>2058900</v>
      </c>
      <c r="H41">
        <f ca="1">IF(AND(ISNUMBER($H$110),$B$69=1),$H$110,HLOOKUP(INDIRECT(ADDRESS(2,COLUMN())),OFFSET($S$2,0,0,ROW()-1,13),ROW()-1,FALSE))</f>
        <v>2207400</v>
      </c>
      <c r="I41">
        <f ca="1">IF(AND(ISNUMBER($I$110),$B$69=1),$I$110,HLOOKUP(INDIRECT(ADDRESS(2,COLUMN())),OFFSET($S$2,0,0,ROW()-1,13),ROW()-1,FALSE))</f>
        <v>2110200</v>
      </c>
      <c r="J41">
        <f ca="1">IF(AND(ISNUMBER($J$110),$B$69=1),$J$110,HLOOKUP(INDIRECT(ADDRESS(2,COLUMN())),OFFSET($S$2,0,0,ROW()-1,13),ROW()-1,FALSE))</f>
        <v>2023500</v>
      </c>
      <c r="K41">
        <f ca="1">IF(AND(ISNUMBER($K$110),$B$69=1),$K$110,HLOOKUP(INDIRECT(ADDRESS(2,COLUMN())),OFFSET($S$2,0,0,ROW()-1,13),ROW()-1,FALSE))</f>
        <v>2087600</v>
      </c>
      <c r="L41">
        <f ca="1">IF(AND(ISNUMBER($L$110),$B$69=1),$L$110,HLOOKUP(INDIRECT(ADDRESS(2,COLUMN())),OFFSET($S$2,0,0,ROW()-1,13),ROW()-1,FALSE))</f>
        <v>1912000</v>
      </c>
      <c r="M41">
        <f ca="1">IF(AND(ISNUMBER($M$110),$B$69=1),$M$110,HLOOKUP(INDIRECT(ADDRESS(2,COLUMN())),OFFSET($S$2,0,0,ROW()-1,13),ROW()-1,FALSE))</f>
        <v>1840700</v>
      </c>
      <c r="N41">
        <f ca="1">IF(AND(ISNUMBER($N$110),$B$69=1),$N$110,HLOOKUP(INDIRECT(ADDRESS(2,COLUMN())),OFFSET($S$2,0,0,ROW()-1,13),ROW()-1,FALSE))</f>
        <v>1747100</v>
      </c>
      <c r="O41">
        <f ca="1">IF(AND(ISNUMBER($O$110),$B$69=1),$O$110,HLOOKUP(INDIRECT(ADDRESS(2,COLUMN())),OFFSET($S$2,0,0,ROW()-1,13),ROW()-1,FALSE))</f>
        <v>1641400</v>
      </c>
      <c r="P41">
        <f ca="1">IF(AND(ISNUMBER($P$110),$B$69=1),$P$110,HLOOKUP(INDIRECT(ADDRESS(2,COLUMN())),OFFSET($S$2,0,0,ROW()-1,13),ROW()-1,FALSE))</f>
        <v>1608300</v>
      </c>
      <c r="Q41">
        <f ca="1">IF(AND(ISNUMBER($Q$110),$B$69=1),$Q$110,HLOOKUP(INDIRECT(ADDRESS(2,COLUMN())),OFFSET($S$2,0,0,ROW()-1,13),ROW()-1,FALSE))</f>
        <v>1584100</v>
      </c>
      <c r="R41">
        <f ca="1">IF(AND(ISNUMBER($R$110),$B$69=1),$R$110,HLOOKUP(INDIRECT(ADDRESS(2,COLUMN())),OFFSET($S$2,0,0,ROW()-1,13),ROW()-1,FALSE))</f>
        <v>1644600</v>
      </c>
      <c r="S41">
        <f>1513300</f>
        <v>1513300</v>
      </c>
      <c r="T41">
        <f>2058900</f>
        <v>2058900</v>
      </c>
      <c r="U41">
        <f>2207400</f>
        <v>2207400</v>
      </c>
      <c r="V41">
        <f>2110200</f>
        <v>2110200</v>
      </c>
      <c r="W41">
        <f>2023500</f>
        <v>2023500</v>
      </c>
      <c r="X41">
        <f>2087600</f>
        <v>2087600</v>
      </c>
      <c r="Y41">
        <f>1912000</f>
        <v>1912000</v>
      </c>
      <c r="Z41">
        <f>1840700</f>
        <v>1840700</v>
      </c>
      <c r="AA41">
        <f>1747100</f>
        <v>1747100</v>
      </c>
      <c r="AB41">
        <f>1641400</f>
        <v>1641400</v>
      </c>
      <c r="AC41">
        <f>1608300</f>
        <v>1608300</v>
      </c>
      <c r="AD41">
        <f>1584100</f>
        <v>1584100</v>
      </c>
      <c r="AE41">
        <f>1644600</f>
        <v>1644600</v>
      </c>
    </row>
    <row r="42" spans="1:31" x14ac:dyDescent="0.2">
      <c r="A42" t="str">
        <f>"    South &amp; Central America - Asia"</f>
        <v xml:space="preserve">    South &amp; Central America - Asia</v>
      </c>
      <c r="B42" t="str">
        <f>"CSHVCASR Index"</f>
        <v>CSHVCASR Index</v>
      </c>
      <c r="C42" t="str">
        <f t="shared" si="3"/>
        <v>PX385</v>
      </c>
      <c r="D42" t="str">
        <f t="shared" si="4"/>
        <v>INTERVAL_SUM</v>
      </c>
      <c r="E42" t="str">
        <f t="shared" si="5"/>
        <v>Dynamic</v>
      </c>
      <c r="F42">
        <f ca="1">IF(AND(ISNUMBER($F$111),$B$69=1),$F$111,HLOOKUP(INDIRECT(ADDRESS(2,COLUMN())),OFFSET($S$2,0,0,ROW()-1,13),ROW()-1,FALSE))</f>
        <v>1479600</v>
      </c>
      <c r="G42">
        <f ca="1">IF(AND(ISNUMBER($G$111),$B$69=1),$G$111,HLOOKUP(INDIRECT(ADDRESS(2,COLUMN())),OFFSET($S$2,0,0,ROW()-1,13),ROW()-1,FALSE))</f>
        <v>1915300</v>
      </c>
      <c r="H42">
        <f ca="1">IF(AND(ISNUMBER($H$111),$B$69=1),$H$111,HLOOKUP(INDIRECT(ADDRESS(2,COLUMN())),OFFSET($S$2,0,0,ROW()-1,13),ROW()-1,FALSE))</f>
        <v>1968700</v>
      </c>
      <c r="I42">
        <f ca="1">IF(AND(ISNUMBER($I$111),$B$69=1),$I$111,HLOOKUP(INDIRECT(ADDRESS(2,COLUMN())),OFFSET($S$2,0,0,ROW()-1,13),ROW()-1,FALSE))</f>
        <v>2102100</v>
      </c>
      <c r="J42">
        <f ca="1">IF(AND(ISNUMBER($J$111),$B$69=1),$J$111,HLOOKUP(INDIRECT(ADDRESS(2,COLUMN())),OFFSET($S$2,0,0,ROW()-1,13),ROW()-1,FALSE))</f>
        <v>1891000</v>
      </c>
      <c r="K42">
        <f ca="1">IF(AND(ISNUMBER($K$111),$B$69=1),$K$111,HLOOKUP(INDIRECT(ADDRESS(2,COLUMN())),OFFSET($S$2,0,0,ROW()-1,13),ROW()-1,FALSE))</f>
        <v>1903800</v>
      </c>
      <c r="L42">
        <f ca="1">IF(AND(ISNUMBER($L$111),$B$69=1),$L$111,HLOOKUP(INDIRECT(ADDRESS(2,COLUMN())),OFFSET($S$2,0,0,ROW()-1,13),ROW()-1,FALSE))</f>
        <v>1813900</v>
      </c>
      <c r="M42">
        <f ca="1">IF(AND(ISNUMBER($M$111),$B$69=1),$M$111,HLOOKUP(INDIRECT(ADDRESS(2,COLUMN())),OFFSET($S$2,0,0,ROW()-1,13),ROW()-1,FALSE))</f>
        <v>1662900</v>
      </c>
      <c r="N42">
        <f ca="1">IF(AND(ISNUMBER($N$111),$B$69=1),$N$111,HLOOKUP(INDIRECT(ADDRESS(2,COLUMN())),OFFSET($S$2,0,0,ROW()-1,13),ROW()-1,FALSE))</f>
        <v>1566400</v>
      </c>
      <c r="O42">
        <f ca="1">IF(AND(ISNUMBER($O$111),$B$69=1),$O$111,HLOOKUP(INDIRECT(ADDRESS(2,COLUMN())),OFFSET($S$2,0,0,ROW()-1,13),ROW()-1,FALSE))</f>
        <v>1551500</v>
      </c>
      <c r="P42">
        <f ca="1">IF(AND(ISNUMBER($P$111),$B$69=1),$P$111,HLOOKUP(INDIRECT(ADDRESS(2,COLUMN())),OFFSET($S$2,0,0,ROW()-1,13),ROW()-1,FALSE))</f>
        <v>1433500</v>
      </c>
      <c r="Q42">
        <f ca="1">IF(AND(ISNUMBER($Q$111),$B$69=1),$Q$111,HLOOKUP(INDIRECT(ADDRESS(2,COLUMN())),OFFSET($S$2,0,0,ROW()-1,13),ROW()-1,FALSE))</f>
        <v>1318800</v>
      </c>
      <c r="R42">
        <f ca="1">IF(AND(ISNUMBER($R$111),$B$69=1),$R$111,HLOOKUP(INDIRECT(ADDRESS(2,COLUMN())),OFFSET($S$2,0,0,ROW()-1,13),ROW()-1,FALSE))</f>
        <v>1391400</v>
      </c>
      <c r="S42">
        <f>1479600</f>
        <v>1479600</v>
      </c>
      <c r="T42">
        <f>1915300</f>
        <v>1915300</v>
      </c>
      <c r="U42">
        <f>1968700</f>
        <v>1968700</v>
      </c>
      <c r="V42">
        <f>2102100</f>
        <v>2102100</v>
      </c>
      <c r="W42">
        <f>1891000</f>
        <v>1891000</v>
      </c>
      <c r="X42">
        <f>1903800</f>
        <v>1903800</v>
      </c>
      <c r="Y42">
        <f>1813900</f>
        <v>1813900</v>
      </c>
      <c r="Z42">
        <f>1662900</f>
        <v>1662900</v>
      </c>
      <c r="AA42">
        <f>1566400</f>
        <v>1566400</v>
      </c>
      <c r="AB42">
        <f>1551500</f>
        <v>1551500</v>
      </c>
      <c r="AC42">
        <f>1433500</f>
        <v>1433500</v>
      </c>
      <c r="AD42">
        <f>1318800</f>
        <v>1318800</v>
      </c>
      <c r="AE42">
        <f>1391400</f>
        <v>1391400</v>
      </c>
    </row>
    <row r="43" spans="1:31" x14ac:dyDescent="0.2">
      <c r="A43" t="str">
        <f>"    South &amp; Central America - North America"</f>
        <v xml:space="preserve">    South &amp; Central America - North America</v>
      </c>
      <c r="B43" t="str">
        <f>"CSHVCNAR Index"</f>
        <v>CSHVCNAR Index</v>
      </c>
      <c r="C43" t="str">
        <f t="shared" si="3"/>
        <v>PX385</v>
      </c>
      <c r="D43" t="str">
        <f t="shared" si="4"/>
        <v>INTERVAL_SUM</v>
      </c>
      <c r="E43" t="str">
        <f t="shared" si="5"/>
        <v>Dynamic</v>
      </c>
      <c r="F43">
        <f ca="1">IF(AND(ISNUMBER($F$112),$B$69=1),$F$112,HLOOKUP(INDIRECT(ADDRESS(2,COLUMN())),OFFSET($S$2,0,0,ROW()-1,13),ROW()-1,FALSE))</f>
        <v>1919400</v>
      </c>
      <c r="G43">
        <f ca="1">IF(AND(ISNUMBER($G$112),$B$69=1),$G$112,HLOOKUP(INDIRECT(ADDRESS(2,COLUMN())),OFFSET($S$2,0,0,ROW()-1,13),ROW()-1,FALSE))</f>
        <v>2685700</v>
      </c>
      <c r="H43">
        <f ca="1">IF(AND(ISNUMBER($H$112),$B$69=1),$H$112,HLOOKUP(INDIRECT(ADDRESS(2,COLUMN())),OFFSET($S$2,0,0,ROW()-1,13),ROW()-1,FALSE))</f>
        <v>2683500</v>
      </c>
      <c r="I43">
        <f ca="1">IF(AND(ISNUMBER($I$112),$B$69=1),$I$112,HLOOKUP(INDIRECT(ADDRESS(2,COLUMN())),OFFSET($S$2,0,0,ROW()-1,13),ROW()-1,FALSE))</f>
        <v>2585100</v>
      </c>
      <c r="J43">
        <f ca="1">IF(AND(ISNUMBER($J$112),$B$69=1),$J$112,HLOOKUP(INDIRECT(ADDRESS(2,COLUMN())),OFFSET($S$2,0,0,ROW()-1,13),ROW()-1,FALSE))</f>
        <v>2527600</v>
      </c>
      <c r="K43">
        <f ca="1">IF(AND(ISNUMBER($K$112),$B$69=1),$K$112,HLOOKUP(INDIRECT(ADDRESS(2,COLUMN())),OFFSET($S$2,0,0,ROW()-1,13),ROW()-1,FALSE))</f>
        <v>2477000</v>
      </c>
      <c r="L43">
        <f ca="1">IF(AND(ISNUMBER($L$112),$B$69=1),$L$112,HLOOKUP(INDIRECT(ADDRESS(2,COLUMN())),OFFSET($S$2,0,0,ROW()-1,13),ROW()-1,FALSE))</f>
        <v>2385300</v>
      </c>
      <c r="M43">
        <f ca="1">IF(AND(ISNUMBER($M$112),$B$69=1),$M$112,HLOOKUP(INDIRECT(ADDRESS(2,COLUMN())),OFFSET($S$2,0,0,ROW()-1,13),ROW()-1,FALSE))</f>
        <v>2327900</v>
      </c>
      <c r="N43">
        <f ca="1">IF(AND(ISNUMBER($N$112),$B$69=1),$N$112,HLOOKUP(INDIRECT(ADDRESS(2,COLUMN())),OFFSET($S$2,0,0,ROW()-1,13),ROW()-1,FALSE))</f>
        <v>2192700</v>
      </c>
      <c r="O43">
        <f ca="1">IF(AND(ISNUMBER($O$112),$B$69=1),$O$112,HLOOKUP(INDIRECT(ADDRESS(2,COLUMN())),OFFSET($S$2,0,0,ROW()-1,13),ROW()-1,FALSE))</f>
        <v>2141800</v>
      </c>
      <c r="P43">
        <f ca="1">IF(AND(ISNUMBER($P$112),$B$69=1),$P$112,HLOOKUP(INDIRECT(ADDRESS(2,COLUMN())),OFFSET($S$2,0,0,ROW()-1,13),ROW()-1,FALSE))</f>
        <v>2092700</v>
      </c>
      <c r="Q43">
        <f ca="1">IF(AND(ISNUMBER($Q$112),$B$69=1),$Q$112,HLOOKUP(INDIRECT(ADDRESS(2,COLUMN())),OFFSET($S$2,0,0,ROW()-1,13),ROW()-1,FALSE))</f>
        <v>1246200</v>
      </c>
      <c r="R43">
        <f ca="1">IF(AND(ISNUMBER($R$112),$B$69=1),$R$112,HLOOKUP(INDIRECT(ADDRESS(2,COLUMN())),OFFSET($S$2,0,0,ROW()-1,13),ROW()-1,FALSE))</f>
        <v>1594500</v>
      </c>
      <c r="S43">
        <f>1919400</f>
        <v>1919400</v>
      </c>
      <c r="T43">
        <f>2685700</f>
        <v>2685700</v>
      </c>
      <c r="U43">
        <f>2683500</f>
        <v>2683500</v>
      </c>
      <c r="V43">
        <f>2585100</f>
        <v>2585100</v>
      </c>
      <c r="W43">
        <f>2527600</f>
        <v>2527600</v>
      </c>
      <c r="X43">
        <f>2477000</f>
        <v>2477000</v>
      </c>
      <c r="Y43">
        <f>2385300</f>
        <v>2385300</v>
      </c>
      <c r="Z43">
        <f>2327900</f>
        <v>2327900</v>
      </c>
      <c r="AA43">
        <f>2192700</f>
        <v>2192700</v>
      </c>
      <c r="AB43">
        <f>2141800</f>
        <v>2141800</v>
      </c>
      <c r="AC43">
        <f>2092700</f>
        <v>2092700</v>
      </c>
      <c r="AD43">
        <f>1246200</f>
        <v>1246200</v>
      </c>
      <c r="AE43">
        <f>1594500</f>
        <v>1594500</v>
      </c>
    </row>
    <row r="44" spans="1:31" x14ac:dyDescent="0.2">
      <c r="A44" t="str">
        <f>"    South &amp; Central America - Australasia &amp; Oceania"</f>
        <v xml:space="preserve">    South &amp; Central America - Australasia &amp; Oceania</v>
      </c>
      <c r="B44" t="str">
        <f>"CSHVCAUO Index"</f>
        <v>CSHVCAUO Index</v>
      </c>
      <c r="C44" t="str">
        <f t="shared" si="3"/>
        <v>PX385</v>
      </c>
      <c r="D44" t="str">
        <f t="shared" si="4"/>
        <v>INTERVAL_SUM</v>
      </c>
      <c r="E44" t="str">
        <f t="shared" si="5"/>
        <v>Dynamic</v>
      </c>
      <c r="F44">
        <f ca="1">IF(AND(ISNUMBER($F$113),$B$69=1),$F$113,HLOOKUP(INDIRECT(ADDRESS(2,COLUMN())),OFFSET($S$2,0,0,ROW()-1,13),ROW()-1,FALSE))</f>
        <v>28000</v>
      </c>
      <c r="G44">
        <f ca="1">IF(AND(ISNUMBER($G$113),$B$69=1),$G$113,HLOOKUP(INDIRECT(ADDRESS(2,COLUMN())),OFFSET($S$2,0,0,ROW()-1,13),ROW()-1,FALSE))</f>
        <v>40700</v>
      </c>
      <c r="H44">
        <f ca="1">IF(AND(ISNUMBER($H$113),$B$69=1),$H$113,HLOOKUP(INDIRECT(ADDRESS(2,COLUMN())),OFFSET($S$2,0,0,ROW()-1,13),ROW()-1,FALSE))</f>
        <v>48300</v>
      </c>
      <c r="I44">
        <f ca="1">IF(AND(ISNUMBER($I$113),$B$69=1),$I$113,HLOOKUP(INDIRECT(ADDRESS(2,COLUMN())),OFFSET($S$2,0,0,ROW()-1,13),ROW()-1,FALSE))</f>
        <v>44600</v>
      </c>
      <c r="J44">
        <f ca="1">IF(AND(ISNUMBER($J$113),$B$69=1),$J$113,HLOOKUP(INDIRECT(ADDRESS(2,COLUMN())),OFFSET($S$2,0,0,ROW()-1,13),ROW()-1,FALSE))</f>
        <v>39100</v>
      </c>
      <c r="K44">
        <f ca="1">IF(AND(ISNUMBER($K$113),$B$69=1),$K$113,HLOOKUP(INDIRECT(ADDRESS(2,COLUMN())),OFFSET($S$2,0,0,ROW()-1,13),ROW()-1,FALSE))</f>
        <v>41200</v>
      </c>
      <c r="L44">
        <f ca="1">IF(AND(ISNUMBER($L$113),$B$69=1),$L$113,HLOOKUP(INDIRECT(ADDRESS(2,COLUMN())),OFFSET($S$2,0,0,ROW()-1,13),ROW()-1,FALSE))</f>
        <v>41000</v>
      </c>
      <c r="M44">
        <f ca="1">IF(AND(ISNUMBER($M$113),$B$69=1),$M$113,HLOOKUP(INDIRECT(ADDRESS(2,COLUMN())),OFFSET($S$2,0,0,ROW()-1,13),ROW()-1,FALSE))</f>
        <v>57400</v>
      </c>
      <c r="N44">
        <f ca="1">IF(AND(ISNUMBER($N$113),$B$69=1),$N$113,HLOOKUP(INDIRECT(ADDRESS(2,COLUMN())),OFFSET($S$2,0,0,ROW()-1,13),ROW()-1,FALSE))</f>
        <v>57900</v>
      </c>
      <c r="O44">
        <f ca="1">IF(AND(ISNUMBER($O$113),$B$69=1),$O$113,HLOOKUP(INDIRECT(ADDRESS(2,COLUMN())),OFFSET($S$2,0,0,ROW()-1,13),ROW()-1,FALSE))</f>
        <v>59300</v>
      </c>
      <c r="P44">
        <f ca="1">IF(AND(ISNUMBER($P$113),$B$69=1),$P$113,HLOOKUP(INDIRECT(ADDRESS(2,COLUMN())),OFFSET($S$2,0,0,ROW()-1,13),ROW()-1,FALSE))</f>
        <v>48800</v>
      </c>
      <c r="Q44">
        <f ca="1">IF(AND(ISNUMBER($Q$113),$B$69=1),$Q$113,HLOOKUP(INDIRECT(ADDRESS(2,COLUMN())),OFFSET($S$2,0,0,ROW()-1,13),ROW()-1,FALSE))</f>
        <v>48900</v>
      </c>
      <c r="R44">
        <f ca="1">IF(AND(ISNUMBER($R$113),$B$69=1),$R$113,HLOOKUP(INDIRECT(ADDRESS(2,COLUMN())),OFFSET($S$2,0,0,ROW()-1,13),ROW()-1,FALSE))</f>
        <v>45500</v>
      </c>
      <c r="S44">
        <f>28000</f>
        <v>28000</v>
      </c>
      <c r="T44">
        <f>40700</f>
        <v>40700</v>
      </c>
      <c r="U44">
        <f>48300</f>
        <v>48300</v>
      </c>
      <c r="V44">
        <f>44600</f>
        <v>44600</v>
      </c>
      <c r="W44">
        <f>39100</f>
        <v>39100</v>
      </c>
      <c r="X44">
        <f>41200</f>
        <v>41200</v>
      </c>
      <c r="Y44">
        <f>41000</f>
        <v>41000</v>
      </c>
      <c r="Z44">
        <f>57400</f>
        <v>57400</v>
      </c>
      <c r="AA44">
        <f>57900</f>
        <v>57900</v>
      </c>
      <c r="AB44">
        <f>59300</f>
        <v>59300</v>
      </c>
      <c r="AC44">
        <f>48800</f>
        <v>48800</v>
      </c>
      <c r="AD44">
        <f>48900</f>
        <v>48900</v>
      </c>
      <c r="AE44">
        <f>45500</f>
        <v>45500</v>
      </c>
    </row>
    <row r="45" spans="1:31" x14ac:dyDescent="0.2">
      <c r="A45" t="str">
        <f>"    South &amp; Central America - Sub Saharan Africa"</f>
        <v xml:space="preserve">    South &amp; Central America - Sub Saharan Africa</v>
      </c>
      <c r="B45" t="str">
        <f>"CSHVCSSA Index"</f>
        <v>CSHVCSSA Index</v>
      </c>
      <c r="C45" t="str">
        <f t="shared" si="3"/>
        <v>PX385</v>
      </c>
      <c r="D45" t="str">
        <f t="shared" si="4"/>
        <v>INTERVAL_SUM</v>
      </c>
      <c r="E45" t="str">
        <f t="shared" si="5"/>
        <v>Dynamic</v>
      </c>
      <c r="F45">
        <f ca="1">IF(AND(ISNUMBER($F$114),$B$69=1),$F$114,HLOOKUP(INDIRECT(ADDRESS(2,COLUMN())),OFFSET($S$2,0,0,ROW()-1,13),ROW()-1,FALSE))</f>
        <v>276500</v>
      </c>
      <c r="G45">
        <f ca="1">IF(AND(ISNUMBER($G$114),$B$69=1),$G$114,HLOOKUP(INDIRECT(ADDRESS(2,COLUMN())),OFFSET($S$2,0,0,ROW()-1,13),ROW()-1,FALSE))</f>
        <v>315300</v>
      </c>
      <c r="H45">
        <f ca="1">IF(AND(ISNUMBER($H$114),$B$69=1),$H$114,HLOOKUP(INDIRECT(ADDRESS(2,COLUMN())),OFFSET($S$2,0,0,ROW()-1,13),ROW()-1,FALSE))</f>
        <v>318100</v>
      </c>
      <c r="I45">
        <f ca="1">IF(AND(ISNUMBER($I$114),$B$69=1),$I$114,HLOOKUP(INDIRECT(ADDRESS(2,COLUMN())),OFFSET($S$2,0,0,ROW()-1,13),ROW()-1,FALSE))</f>
        <v>274900</v>
      </c>
      <c r="J45">
        <f ca="1">IF(AND(ISNUMBER($J$114),$B$69=1),$J$114,HLOOKUP(INDIRECT(ADDRESS(2,COLUMN())),OFFSET($S$2,0,0,ROW()-1,13),ROW()-1,FALSE))</f>
        <v>289000</v>
      </c>
      <c r="K45">
        <f ca="1">IF(AND(ISNUMBER($K$114),$B$69=1),$K$114,HLOOKUP(INDIRECT(ADDRESS(2,COLUMN())),OFFSET($S$2,0,0,ROW()-1,13),ROW()-1,FALSE))</f>
        <v>290200</v>
      </c>
      <c r="L45">
        <f ca="1">IF(AND(ISNUMBER($L$114),$B$69=1),$L$114,HLOOKUP(INDIRECT(ADDRESS(2,COLUMN())),OFFSET($S$2,0,0,ROW()-1,13),ROW()-1,FALSE))</f>
        <v>304400</v>
      </c>
      <c r="M45">
        <f ca="1">IF(AND(ISNUMBER($M$114),$B$69=1),$M$114,HLOOKUP(INDIRECT(ADDRESS(2,COLUMN())),OFFSET($S$2,0,0,ROW()-1,13),ROW()-1,FALSE))</f>
        <v>244300</v>
      </c>
      <c r="N45">
        <f ca="1">IF(AND(ISNUMBER($N$114),$B$69=1),$N$114,HLOOKUP(INDIRECT(ADDRESS(2,COLUMN())),OFFSET($S$2,0,0,ROW()-1,13),ROW()-1,FALSE))</f>
        <v>256100</v>
      </c>
      <c r="O45">
        <f ca="1">IF(AND(ISNUMBER($O$114),$B$69=1),$O$114,HLOOKUP(INDIRECT(ADDRESS(2,COLUMN())),OFFSET($S$2,0,0,ROW()-1,13),ROW()-1,FALSE))</f>
        <v>262400</v>
      </c>
      <c r="P45">
        <f ca="1">IF(AND(ISNUMBER($P$114),$B$69=1),$P$114,HLOOKUP(INDIRECT(ADDRESS(2,COLUMN())),OFFSET($S$2,0,0,ROW()-1,13),ROW()-1,FALSE))</f>
        <v>245200</v>
      </c>
      <c r="Q45">
        <f ca="1">IF(AND(ISNUMBER($Q$114),$B$69=1),$Q$114,HLOOKUP(INDIRECT(ADDRESS(2,COLUMN())),OFFSET($S$2,0,0,ROW()-1,13),ROW()-1,FALSE))</f>
        <v>255500</v>
      </c>
      <c r="R45">
        <f ca="1">IF(AND(ISNUMBER($R$114),$B$69=1),$R$114,HLOOKUP(INDIRECT(ADDRESS(2,COLUMN())),OFFSET($S$2,0,0,ROW()-1,13),ROW()-1,FALSE))</f>
        <v>276300</v>
      </c>
      <c r="S45">
        <f>276500</f>
        <v>276500</v>
      </c>
      <c r="T45">
        <f>315300</f>
        <v>315300</v>
      </c>
      <c r="U45">
        <f>318100</f>
        <v>318100</v>
      </c>
      <c r="V45">
        <f>274900</f>
        <v>274900</v>
      </c>
      <c r="W45">
        <f>289000</f>
        <v>289000</v>
      </c>
      <c r="X45">
        <f>290200</f>
        <v>290200</v>
      </c>
      <c r="Y45">
        <f>304400</f>
        <v>304400</v>
      </c>
      <c r="Z45">
        <f>244300</f>
        <v>244300</v>
      </c>
      <c r="AA45">
        <f>256100</f>
        <v>256100</v>
      </c>
      <c r="AB45">
        <f>262400</f>
        <v>262400</v>
      </c>
      <c r="AC45">
        <f>245200</f>
        <v>245200</v>
      </c>
      <c r="AD45">
        <f>255500</f>
        <v>255500</v>
      </c>
      <c r="AE45">
        <f>276300</f>
        <v>276300</v>
      </c>
    </row>
    <row r="46" spans="1:31" x14ac:dyDescent="0.2">
      <c r="A46" t="str">
        <f>"    Sub Saharan Africa - Europe"</f>
        <v xml:space="preserve">    Sub Saharan Africa - Europe</v>
      </c>
      <c r="B46" t="str">
        <f>"CSHVSEUR Index"</f>
        <v>CSHVSEUR Index</v>
      </c>
      <c r="C46" t="str">
        <f t="shared" si="3"/>
        <v>PX385</v>
      </c>
      <c r="D46" t="str">
        <f t="shared" si="4"/>
        <v>INTERVAL_SUM</v>
      </c>
      <c r="E46" t="str">
        <f t="shared" si="5"/>
        <v>Dynamic</v>
      </c>
      <c r="F46">
        <f ca="1">IF(AND(ISNUMBER($F$115),$B$69=1),$F$115,HLOOKUP(INDIRECT(ADDRESS(2,COLUMN())),OFFSET($S$2,0,0,ROW()-1,13),ROW()-1,FALSE))</f>
        <v>743800</v>
      </c>
      <c r="G46">
        <f ca="1">IF(AND(ISNUMBER($G$115),$B$69=1),$G$115,HLOOKUP(INDIRECT(ADDRESS(2,COLUMN())),OFFSET($S$2,0,0,ROW()-1,13),ROW()-1,FALSE))</f>
        <v>935900</v>
      </c>
      <c r="H46">
        <f ca="1">IF(AND(ISNUMBER($H$115),$B$69=1),$H$115,HLOOKUP(INDIRECT(ADDRESS(2,COLUMN())),OFFSET($S$2,0,0,ROW()-1,13),ROW()-1,FALSE))</f>
        <v>879600</v>
      </c>
      <c r="I46">
        <f ca="1">IF(AND(ISNUMBER($I$115),$B$69=1),$I$115,HLOOKUP(INDIRECT(ADDRESS(2,COLUMN())),OFFSET($S$2,0,0,ROW()-1,13),ROW()-1,FALSE))</f>
        <v>827900</v>
      </c>
      <c r="J46">
        <f ca="1">IF(AND(ISNUMBER($J$115),$B$69=1),$J$115,HLOOKUP(INDIRECT(ADDRESS(2,COLUMN())),OFFSET($S$2,0,0,ROW()-1,13),ROW()-1,FALSE))</f>
        <v>815000</v>
      </c>
      <c r="K46">
        <f ca="1">IF(AND(ISNUMBER($K$115),$B$69=1),$K$115,HLOOKUP(INDIRECT(ADDRESS(2,COLUMN())),OFFSET($S$2,0,0,ROW()-1,13),ROW()-1,FALSE))</f>
        <v>862800</v>
      </c>
      <c r="L46">
        <f ca="1">IF(AND(ISNUMBER($L$115),$B$69=1),$L$115,HLOOKUP(INDIRECT(ADDRESS(2,COLUMN())),OFFSET($S$2,0,0,ROW()-1,13),ROW()-1,FALSE))</f>
        <v>824600</v>
      </c>
      <c r="M46">
        <f ca="1">IF(AND(ISNUMBER($M$115),$B$69=1),$M$115,HLOOKUP(INDIRECT(ADDRESS(2,COLUMN())),OFFSET($S$2,0,0,ROW()-1,13),ROW()-1,FALSE))</f>
        <v>773900</v>
      </c>
      <c r="N46">
        <f ca="1">IF(AND(ISNUMBER($N$115),$B$69=1),$N$115,HLOOKUP(INDIRECT(ADDRESS(2,COLUMN())),OFFSET($S$2,0,0,ROW()-1,13),ROW()-1,FALSE))</f>
        <v>848800</v>
      </c>
      <c r="O46">
        <f ca="1">IF(AND(ISNUMBER($O$115),$B$69=1),$O$115,HLOOKUP(INDIRECT(ADDRESS(2,COLUMN())),OFFSET($S$2,0,0,ROW()-1,13),ROW()-1,FALSE))</f>
        <v>781100</v>
      </c>
      <c r="P46">
        <f ca="1">IF(AND(ISNUMBER($P$115),$B$69=1),$P$115,HLOOKUP(INDIRECT(ADDRESS(2,COLUMN())),OFFSET($S$2,0,0,ROW()-1,13),ROW()-1,FALSE))</f>
        <v>804100</v>
      </c>
      <c r="Q46">
        <f ca="1">IF(AND(ISNUMBER($Q$115),$B$69=1),$Q$115,HLOOKUP(INDIRECT(ADDRESS(2,COLUMN())),OFFSET($S$2,0,0,ROW()-1,13),ROW()-1,FALSE))</f>
        <v>783500</v>
      </c>
      <c r="R46">
        <f ca="1">IF(AND(ISNUMBER($R$115),$B$69=1),$R$115,HLOOKUP(INDIRECT(ADDRESS(2,COLUMN())),OFFSET($S$2,0,0,ROW()-1,13),ROW()-1,FALSE))</f>
        <v>782400</v>
      </c>
      <c r="S46">
        <f>743800</f>
        <v>743800</v>
      </c>
      <c r="T46">
        <f>935900</f>
        <v>935900</v>
      </c>
      <c r="U46">
        <f>879600</f>
        <v>879600</v>
      </c>
      <c r="V46">
        <f>827900</f>
        <v>827900</v>
      </c>
      <c r="W46">
        <f>815000</f>
        <v>815000</v>
      </c>
      <c r="X46">
        <f>862800</f>
        <v>862800</v>
      </c>
      <c r="Y46">
        <f>824600</f>
        <v>824600</v>
      </c>
      <c r="Z46">
        <f>773900</f>
        <v>773900</v>
      </c>
      <c r="AA46">
        <f>848800</f>
        <v>848800</v>
      </c>
      <c r="AB46">
        <f>781100</f>
        <v>781100</v>
      </c>
      <c r="AC46">
        <f>804100</f>
        <v>804100</v>
      </c>
      <c r="AD46">
        <f>783500</f>
        <v>783500</v>
      </c>
      <c r="AE46">
        <f>782400</f>
        <v>782400</v>
      </c>
    </row>
    <row r="47" spans="1:31" x14ac:dyDescent="0.2">
      <c r="A47" t="str">
        <f>"    Sub Saharan Africa - Asia"</f>
        <v xml:space="preserve">    Sub Saharan Africa - Asia</v>
      </c>
      <c r="B47" t="str">
        <f>"CSHVSASR Index"</f>
        <v>CSHVSASR Index</v>
      </c>
      <c r="C47" t="str">
        <f t="shared" si="3"/>
        <v>PX385</v>
      </c>
      <c r="D47" t="str">
        <f t="shared" si="4"/>
        <v>INTERVAL_SUM</v>
      </c>
      <c r="E47" t="str">
        <f t="shared" si="5"/>
        <v>Dynamic</v>
      </c>
      <c r="F47">
        <f ca="1">IF(AND(ISNUMBER($F$116),$B$69=1),$F$116,HLOOKUP(INDIRECT(ADDRESS(2,COLUMN())),OFFSET($S$2,0,0,ROW()-1,13),ROW()-1,FALSE))</f>
        <v>1010000</v>
      </c>
      <c r="G47">
        <f ca="1">IF(AND(ISNUMBER($G$116),$B$69=1),$G$116,HLOOKUP(INDIRECT(ADDRESS(2,COLUMN())),OFFSET($S$2,0,0,ROW()-1,13),ROW()-1,FALSE))</f>
        <v>1170300</v>
      </c>
      <c r="H47">
        <f ca="1">IF(AND(ISNUMBER($H$116),$B$69=1),$H$116,HLOOKUP(INDIRECT(ADDRESS(2,COLUMN())),OFFSET($S$2,0,0,ROW()-1,13),ROW()-1,FALSE))</f>
        <v>1273200</v>
      </c>
      <c r="I47">
        <f ca="1">IF(AND(ISNUMBER($I$116),$B$69=1),$I$116,HLOOKUP(INDIRECT(ADDRESS(2,COLUMN())),OFFSET($S$2,0,0,ROW()-1,13),ROW()-1,FALSE))</f>
        <v>1237600</v>
      </c>
      <c r="J47">
        <f ca="1">IF(AND(ISNUMBER($J$116),$B$69=1),$J$116,HLOOKUP(INDIRECT(ADDRESS(2,COLUMN())),OFFSET($S$2,0,0,ROW()-1,13),ROW()-1,FALSE))</f>
        <v>1311800</v>
      </c>
      <c r="K47">
        <f ca="1">IF(AND(ISNUMBER($K$116),$B$69=1),$K$116,HLOOKUP(INDIRECT(ADDRESS(2,COLUMN())),OFFSET($S$2,0,0,ROW()-1,13),ROW()-1,FALSE))</f>
        <v>1174400</v>
      </c>
      <c r="L47">
        <f ca="1">IF(AND(ISNUMBER($L$116),$B$69=1),$L$116,HLOOKUP(INDIRECT(ADDRESS(2,COLUMN())),OFFSET($S$2,0,0,ROW()-1,13),ROW()-1,FALSE))</f>
        <v>1137700</v>
      </c>
      <c r="M47">
        <f ca="1">IF(AND(ISNUMBER($M$116),$B$69=1),$M$116,HLOOKUP(INDIRECT(ADDRESS(2,COLUMN())),OFFSET($S$2,0,0,ROW()-1,13),ROW()-1,FALSE))</f>
        <v>1008100</v>
      </c>
      <c r="N47">
        <f ca="1">IF(AND(ISNUMBER($N$116),$B$69=1),$N$116,HLOOKUP(INDIRECT(ADDRESS(2,COLUMN())),OFFSET($S$2,0,0,ROW()-1,13),ROW()-1,FALSE))</f>
        <v>986600</v>
      </c>
      <c r="O47">
        <f ca="1">IF(AND(ISNUMBER($O$116),$B$69=1),$O$116,HLOOKUP(INDIRECT(ADDRESS(2,COLUMN())),OFFSET($S$2,0,0,ROW()-1,13),ROW()-1,FALSE))</f>
        <v>1070100</v>
      </c>
      <c r="P47">
        <f ca="1">IF(AND(ISNUMBER($P$116),$B$69=1),$P$116,HLOOKUP(INDIRECT(ADDRESS(2,COLUMN())),OFFSET($S$2,0,0,ROW()-1,13),ROW()-1,FALSE))</f>
        <v>1096100</v>
      </c>
      <c r="Q47">
        <f ca="1">IF(AND(ISNUMBER($Q$116),$B$69=1),$Q$116,HLOOKUP(INDIRECT(ADDRESS(2,COLUMN())),OFFSET($S$2,0,0,ROW()-1,13),ROW()-1,FALSE))</f>
        <v>1060600</v>
      </c>
      <c r="R47">
        <f ca="1">IF(AND(ISNUMBER($R$116),$B$69=1),$R$116,HLOOKUP(INDIRECT(ADDRESS(2,COLUMN())),OFFSET($S$2,0,0,ROW()-1,13),ROW()-1,FALSE))</f>
        <v>1234800</v>
      </c>
      <c r="S47">
        <f>1010000</f>
        <v>1010000</v>
      </c>
      <c r="T47">
        <f>1170300</f>
        <v>1170300</v>
      </c>
      <c r="U47">
        <f>1273200</f>
        <v>1273200</v>
      </c>
      <c r="V47">
        <f>1237600</f>
        <v>1237600</v>
      </c>
      <c r="W47">
        <f>1311800</f>
        <v>1311800</v>
      </c>
      <c r="X47">
        <f>1174400</f>
        <v>1174400</v>
      </c>
      <c r="Y47">
        <f>1137700</f>
        <v>1137700</v>
      </c>
      <c r="Z47">
        <f>1008100</f>
        <v>1008100</v>
      </c>
      <c r="AA47">
        <f>986600</f>
        <v>986600</v>
      </c>
      <c r="AB47">
        <f>1070100</f>
        <v>1070100</v>
      </c>
      <c r="AC47">
        <f>1096100</f>
        <v>1096100</v>
      </c>
      <c r="AD47">
        <f>1060600</f>
        <v>1060600</v>
      </c>
      <c r="AE47">
        <f>1234800</f>
        <v>1234800</v>
      </c>
    </row>
    <row r="48" spans="1:31" x14ac:dyDescent="0.2">
      <c r="A48" t="str">
        <f>"    Sub Saharan Africa - North America"</f>
        <v xml:space="preserve">    Sub Saharan Africa - North America</v>
      </c>
      <c r="B48" t="str">
        <f>"CSHVSNAR Index"</f>
        <v>CSHVSNAR Index</v>
      </c>
      <c r="C48" t="str">
        <f t="shared" si="3"/>
        <v>PX385</v>
      </c>
      <c r="D48" t="str">
        <f t="shared" si="4"/>
        <v>INTERVAL_SUM</v>
      </c>
      <c r="E48" t="str">
        <f t="shared" si="5"/>
        <v>Dynamic</v>
      </c>
      <c r="F48">
        <f ca="1">IF(AND(ISNUMBER($F$117),$B$69=1),$F$117,HLOOKUP(INDIRECT(ADDRESS(2,COLUMN())),OFFSET($S$2,0,0,ROW()-1,13),ROW()-1,FALSE))</f>
        <v>129100</v>
      </c>
      <c r="G48">
        <f ca="1">IF(AND(ISNUMBER($G$117),$B$69=1),$G$117,HLOOKUP(INDIRECT(ADDRESS(2,COLUMN())),OFFSET($S$2,0,0,ROW()-1,13),ROW()-1,FALSE))</f>
        <v>166100</v>
      </c>
      <c r="H48">
        <f ca="1">IF(AND(ISNUMBER($H$117),$B$69=1),$H$117,HLOOKUP(INDIRECT(ADDRESS(2,COLUMN())),OFFSET($S$2,0,0,ROW()-1,13),ROW()-1,FALSE))</f>
        <v>161400</v>
      </c>
      <c r="I48">
        <f ca="1">IF(AND(ISNUMBER($I$117),$B$69=1),$I$117,HLOOKUP(INDIRECT(ADDRESS(2,COLUMN())),OFFSET($S$2,0,0,ROW()-1,13),ROW()-1,FALSE))</f>
        <v>132000</v>
      </c>
      <c r="J48">
        <f ca="1">IF(AND(ISNUMBER($J$117),$B$69=1),$J$117,HLOOKUP(INDIRECT(ADDRESS(2,COLUMN())),OFFSET($S$2,0,0,ROW()-1,13),ROW()-1,FALSE))</f>
        <v>129400</v>
      </c>
      <c r="K48">
        <f ca="1">IF(AND(ISNUMBER($K$117),$B$69=1),$K$117,HLOOKUP(INDIRECT(ADDRESS(2,COLUMN())),OFFSET($S$2,0,0,ROW()-1,13),ROW()-1,FALSE))</f>
        <v>131100</v>
      </c>
      <c r="L48">
        <f ca="1">IF(AND(ISNUMBER($L$117),$B$69=1),$L$117,HLOOKUP(INDIRECT(ADDRESS(2,COLUMN())),OFFSET($S$2,0,0,ROW()-1,13),ROW()-1,FALSE))</f>
        <v>116600</v>
      </c>
      <c r="M48">
        <f ca="1">IF(AND(ISNUMBER($M$117),$B$69=1),$M$117,HLOOKUP(INDIRECT(ADDRESS(2,COLUMN())),OFFSET($S$2,0,0,ROW()-1,13),ROW()-1,FALSE))</f>
        <v>120100</v>
      </c>
      <c r="N48">
        <f ca="1">IF(AND(ISNUMBER($N$117),$B$69=1),$N$117,HLOOKUP(INDIRECT(ADDRESS(2,COLUMN())),OFFSET($S$2,0,0,ROW()-1,13),ROW()-1,FALSE))</f>
        <v>122600</v>
      </c>
      <c r="O48">
        <f ca="1">IF(AND(ISNUMBER($O$117),$B$69=1),$O$117,HLOOKUP(INDIRECT(ADDRESS(2,COLUMN())),OFFSET($S$2,0,0,ROW()-1,13),ROW()-1,FALSE))</f>
        <v>126200</v>
      </c>
      <c r="P48">
        <f ca="1">IF(AND(ISNUMBER($P$117),$B$69=1),$P$117,HLOOKUP(INDIRECT(ADDRESS(2,COLUMN())),OFFSET($S$2,0,0,ROW()-1,13),ROW()-1,FALSE))</f>
        <v>117000</v>
      </c>
      <c r="Q48">
        <f ca="1">IF(AND(ISNUMBER($Q$117),$B$69=1),$Q$117,HLOOKUP(INDIRECT(ADDRESS(2,COLUMN())),OFFSET($S$2,0,0,ROW()-1,13),ROW()-1,FALSE))</f>
        <v>223900</v>
      </c>
      <c r="R48">
        <f ca="1">IF(AND(ISNUMBER($R$117),$B$69=1),$R$117,HLOOKUP(INDIRECT(ADDRESS(2,COLUMN())),OFFSET($S$2,0,0,ROW()-1,13),ROW()-1,FALSE))</f>
        <v>210200</v>
      </c>
      <c r="S48">
        <f>129100</f>
        <v>129100</v>
      </c>
      <c r="T48">
        <f>166100</f>
        <v>166100</v>
      </c>
      <c r="U48">
        <f>161400</f>
        <v>161400</v>
      </c>
      <c r="V48">
        <f>132000</f>
        <v>132000</v>
      </c>
      <c r="W48">
        <f>129400</f>
        <v>129400</v>
      </c>
      <c r="X48">
        <f>131100</f>
        <v>131100</v>
      </c>
      <c r="Y48">
        <f>116600</f>
        <v>116600</v>
      </c>
      <c r="Z48">
        <f>120100</f>
        <v>120100</v>
      </c>
      <c r="AA48">
        <f>122600</f>
        <v>122600</v>
      </c>
      <c r="AB48">
        <f>126200</f>
        <v>126200</v>
      </c>
      <c r="AC48">
        <f>117000</f>
        <v>117000</v>
      </c>
      <c r="AD48">
        <f>223900</f>
        <v>223900</v>
      </c>
      <c r="AE48">
        <f>210200</f>
        <v>210200</v>
      </c>
    </row>
    <row r="49" spans="1:31" x14ac:dyDescent="0.2">
      <c r="A49" t="str">
        <f>"    Sub Saharan Africa - Australasia &amp; Oceania"</f>
        <v xml:space="preserve">    Sub Saharan Africa - Australasia &amp; Oceania</v>
      </c>
      <c r="B49" t="str">
        <f>"CSHVSAUO Index"</f>
        <v>CSHVSAUO Index</v>
      </c>
      <c r="C49" t="str">
        <f t="shared" si="3"/>
        <v>PX385</v>
      </c>
      <c r="D49" t="str">
        <f t="shared" si="4"/>
        <v>INTERVAL_SUM</v>
      </c>
      <c r="E49" t="str">
        <f t="shared" si="5"/>
        <v>Dynamic</v>
      </c>
      <c r="F49">
        <f ca="1">IF(AND(ISNUMBER($F$118),$B$69=1),$F$118,HLOOKUP(INDIRECT(ADDRESS(2,COLUMN())),OFFSET($S$2,0,0,ROW()-1,13),ROW()-1,FALSE))</f>
        <v>15600</v>
      </c>
      <c r="G49">
        <f ca="1">IF(AND(ISNUMBER($G$118),$B$69=1),$G$118,HLOOKUP(INDIRECT(ADDRESS(2,COLUMN())),OFFSET($S$2,0,0,ROW()-1,13),ROW()-1,FALSE))</f>
        <v>18500</v>
      </c>
      <c r="H49">
        <f ca="1">IF(AND(ISNUMBER($H$118),$B$69=1),$H$118,HLOOKUP(INDIRECT(ADDRESS(2,COLUMN())),OFFSET($S$2,0,0,ROW()-1,13),ROW()-1,FALSE))</f>
        <v>19200</v>
      </c>
      <c r="I49">
        <f ca="1">IF(AND(ISNUMBER($I$118),$B$69=1),$I$118,HLOOKUP(INDIRECT(ADDRESS(2,COLUMN())),OFFSET($S$2,0,0,ROW()-1,13),ROW()-1,FALSE))</f>
        <v>18400</v>
      </c>
      <c r="J49">
        <f ca="1">IF(AND(ISNUMBER($J$118),$B$69=1),$J$118,HLOOKUP(INDIRECT(ADDRESS(2,COLUMN())),OFFSET($S$2,0,0,ROW()-1,13),ROW()-1,FALSE))</f>
        <v>19800</v>
      </c>
      <c r="K49">
        <f ca="1">IF(AND(ISNUMBER($K$118),$B$69=1),$K$118,HLOOKUP(INDIRECT(ADDRESS(2,COLUMN())),OFFSET($S$2,0,0,ROW()-1,13),ROW()-1,FALSE))</f>
        <v>23300</v>
      </c>
      <c r="L49">
        <f ca="1">IF(AND(ISNUMBER($L$118),$B$69=1),$L$118,HLOOKUP(INDIRECT(ADDRESS(2,COLUMN())),OFFSET($S$2,0,0,ROW()-1,13),ROW()-1,FALSE))</f>
        <v>19800</v>
      </c>
      <c r="M49">
        <f ca="1">IF(AND(ISNUMBER($M$118),$B$69=1),$M$118,HLOOKUP(INDIRECT(ADDRESS(2,COLUMN())),OFFSET($S$2,0,0,ROW()-1,13),ROW()-1,FALSE))</f>
        <v>17500</v>
      </c>
      <c r="N49">
        <f ca="1">IF(AND(ISNUMBER($N$118),$B$69=1),$N$118,HLOOKUP(INDIRECT(ADDRESS(2,COLUMN())),OFFSET($S$2,0,0,ROW()-1,13),ROW()-1,FALSE))</f>
        <v>15700</v>
      </c>
      <c r="O49">
        <f ca="1">IF(AND(ISNUMBER($O$118),$B$69=1),$O$118,HLOOKUP(INDIRECT(ADDRESS(2,COLUMN())),OFFSET($S$2,0,0,ROW()-1,13),ROW()-1,FALSE))</f>
        <v>18100</v>
      </c>
      <c r="P49">
        <f ca="1">IF(AND(ISNUMBER($P$118),$B$69=1),$P$118,HLOOKUP(INDIRECT(ADDRESS(2,COLUMN())),OFFSET($S$2,0,0,ROW()-1,13),ROW()-1,FALSE))</f>
        <v>20700</v>
      </c>
      <c r="Q49">
        <f ca="1">IF(AND(ISNUMBER($Q$118),$B$69=1),$Q$118,HLOOKUP(INDIRECT(ADDRESS(2,COLUMN())),OFFSET($S$2,0,0,ROW()-1,13),ROW()-1,FALSE))</f>
        <v>24300</v>
      </c>
      <c r="R49">
        <f ca="1">IF(AND(ISNUMBER($R$118),$B$69=1),$R$118,HLOOKUP(INDIRECT(ADDRESS(2,COLUMN())),OFFSET($S$2,0,0,ROW()-1,13),ROW()-1,FALSE))</f>
        <v>26700</v>
      </c>
      <c r="S49">
        <f>15600</f>
        <v>15600</v>
      </c>
      <c r="T49">
        <f>18500</f>
        <v>18500</v>
      </c>
      <c r="U49">
        <f>19200</f>
        <v>19200</v>
      </c>
      <c r="V49">
        <f>18400</f>
        <v>18400</v>
      </c>
      <c r="W49">
        <f>19800</f>
        <v>19800</v>
      </c>
      <c r="X49">
        <f>23300</f>
        <v>23300</v>
      </c>
      <c r="Y49">
        <f>19800</f>
        <v>19800</v>
      </c>
      <c r="Z49">
        <f>17500</f>
        <v>17500</v>
      </c>
      <c r="AA49">
        <f>15700</f>
        <v>15700</v>
      </c>
      <c r="AB49">
        <f>18100</f>
        <v>18100</v>
      </c>
      <c r="AC49">
        <f>20700</f>
        <v>20700</v>
      </c>
      <c r="AD49">
        <f>24300</f>
        <v>24300</v>
      </c>
      <c r="AE49">
        <f>26700</f>
        <v>26700</v>
      </c>
    </row>
    <row r="50" spans="1:31" x14ac:dyDescent="0.2">
      <c r="A50" t="str">
        <f>"    Sub Saharan Africa - Sub Saharan Africa"</f>
        <v xml:space="preserve">    Sub Saharan Africa - Sub Saharan Africa</v>
      </c>
      <c r="B50" t="str">
        <f>"CSHVSSSA Index"</f>
        <v>CSHVSSSA Index</v>
      </c>
      <c r="C50" t="str">
        <f t="shared" si="3"/>
        <v>PX385</v>
      </c>
      <c r="D50" t="str">
        <f t="shared" si="4"/>
        <v>INTERVAL_SUM</v>
      </c>
      <c r="E50" t="str">
        <f t="shared" si="5"/>
        <v>Dynamic</v>
      </c>
      <c r="F50">
        <f ca="1">IF(AND(ISNUMBER($F$119),$B$69=1),$F$119,HLOOKUP(INDIRECT(ADDRESS(2,COLUMN())),OFFSET($S$2,0,0,ROW()-1,13),ROW()-1,FALSE))</f>
        <v>239900</v>
      </c>
      <c r="G50">
        <f ca="1">IF(AND(ISNUMBER($G$119),$B$69=1),$G$119,HLOOKUP(INDIRECT(ADDRESS(2,COLUMN())),OFFSET($S$2,0,0,ROW()-1,13),ROW()-1,FALSE))</f>
        <v>341300</v>
      </c>
      <c r="H50">
        <f ca="1">IF(AND(ISNUMBER($H$119),$B$69=1),$H$119,HLOOKUP(INDIRECT(ADDRESS(2,COLUMN())),OFFSET($S$2,0,0,ROW()-1,13),ROW()-1,FALSE))</f>
        <v>331700</v>
      </c>
      <c r="I50">
        <f ca="1">IF(AND(ISNUMBER($I$119),$B$69=1),$I$119,HLOOKUP(INDIRECT(ADDRESS(2,COLUMN())),OFFSET($S$2,0,0,ROW()-1,13),ROW()-1,FALSE))</f>
        <v>318300</v>
      </c>
      <c r="J50">
        <f ca="1">IF(AND(ISNUMBER($J$119),$B$69=1),$J$119,HLOOKUP(INDIRECT(ADDRESS(2,COLUMN())),OFFSET($S$2,0,0,ROW()-1,13),ROW()-1,FALSE))</f>
        <v>281300</v>
      </c>
      <c r="K50">
        <f ca="1">IF(AND(ISNUMBER($K$119),$B$69=1),$K$119,HLOOKUP(INDIRECT(ADDRESS(2,COLUMN())),OFFSET($S$2,0,0,ROW()-1,13),ROW()-1,FALSE))</f>
        <v>265700</v>
      </c>
      <c r="L50">
        <f ca="1">IF(AND(ISNUMBER($L$119),$B$69=1),$L$119,HLOOKUP(INDIRECT(ADDRESS(2,COLUMN())),OFFSET($S$2,0,0,ROW()-1,13),ROW()-1,FALSE))</f>
        <v>243000</v>
      </c>
      <c r="M50">
        <f ca="1">IF(AND(ISNUMBER($M$119),$B$69=1),$M$119,HLOOKUP(INDIRECT(ADDRESS(2,COLUMN())),OFFSET($S$2,0,0,ROW()-1,13),ROW()-1,FALSE))</f>
        <v>217500</v>
      </c>
      <c r="N50">
        <f ca="1">IF(AND(ISNUMBER($N$119),$B$69=1),$N$119,HLOOKUP(INDIRECT(ADDRESS(2,COLUMN())),OFFSET($S$2,0,0,ROW()-1,13),ROW()-1,FALSE))</f>
        <v>159700</v>
      </c>
      <c r="O50">
        <f ca="1">IF(AND(ISNUMBER($O$119),$B$69=1),$O$119,HLOOKUP(INDIRECT(ADDRESS(2,COLUMN())),OFFSET($S$2,0,0,ROW()-1,13),ROW()-1,FALSE))</f>
        <v>164800</v>
      </c>
      <c r="P50">
        <f ca="1">IF(AND(ISNUMBER($P$119),$B$69=1),$P$119,HLOOKUP(INDIRECT(ADDRESS(2,COLUMN())),OFFSET($S$2,0,0,ROW()-1,13),ROW()-1,FALSE))</f>
        <v>148500</v>
      </c>
      <c r="Q50">
        <f ca="1">IF(AND(ISNUMBER($Q$119),$B$69=1),$Q$119,HLOOKUP(INDIRECT(ADDRESS(2,COLUMN())),OFFSET($S$2,0,0,ROW()-1,13),ROW()-1,FALSE))</f>
        <v>140000</v>
      </c>
      <c r="R50">
        <f ca="1">IF(AND(ISNUMBER($R$119),$B$69=1),$R$119,HLOOKUP(INDIRECT(ADDRESS(2,COLUMN())),OFFSET($S$2,0,0,ROW()-1,13),ROW()-1,FALSE))</f>
        <v>145800</v>
      </c>
      <c r="S50">
        <f>239900</f>
        <v>239900</v>
      </c>
      <c r="T50">
        <f>341300</f>
        <v>341300</v>
      </c>
      <c r="U50">
        <f>331700</f>
        <v>331700</v>
      </c>
      <c r="V50">
        <f>318300</f>
        <v>318300</v>
      </c>
      <c r="W50">
        <f>281300</f>
        <v>281300</v>
      </c>
      <c r="X50">
        <f>265700</f>
        <v>265700</v>
      </c>
      <c r="Y50">
        <f>243000</f>
        <v>243000</v>
      </c>
      <c r="Z50">
        <f>217500</f>
        <v>217500</v>
      </c>
      <c r="AA50">
        <f>159700</f>
        <v>159700</v>
      </c>
      <c r="AB50">
        <f>164800</f>
        <v>164800</v>
      </c>
      <c r="AC50">
        <f>148500</f>
        <v>148500</v>
      </c>
      <c r="AD50">
        <f>140000</f>
        <v>140000</v>
      </c>
      <c r="AE50">
        <f>145800</f>
        <v>145800</v>
      </c>
    </row>
    <row r="51" spans="1:31" x14ac:dyDescent="0.2">
      <c r="A51" t="str">
        <f>"    Sub Saharan Africa - Indian Sub Cont. &amp; Middle East"</f>
        <v xml:space="preserve">    Sub Saharan Africa - Indian Sub Cont. &amp; Middle East</v>
      </c>
      <c r="B51" t="str">
        <f>"CSHVSIME Index"</f>
        <v>CSHVSIME Index</v>
      </c>
      <c r="C51" t="str">
        <f t="shared" si="3"/>
        <v>PX385</v>
      </c>
      <c r="D51" t="str">
        <f t="shared" si="4"/>
        <v>INTERVAL_SUM</v>
      </c>
      <c r="E51" t="str">
        <f t="shared" si="5"/>
        <v>Dynamic</v>
      </c>
      <c r="F51">
        <f ca="1">IF(AND(ISNUMBER($F$120),$B$69=1),$F$120,HLOOKUP(INDIRECT(ADDRESS(2,COLUMN())),OFFSET($S$2,0,0,ROW()-1,13),ROW()-1,FALSE))</f>
        <v>592900</v>
      </c>
      <c r="G51">
        <f ca="1">IF(AND(ISNUMBER($G$120),$B$69=1),$G$120,HLOOKUP(INDIRECT(ADDRESS(2,COLUMN())),OFFSET($S$2,0,0,ROW()-1,13),ROW()-1,FALSE))</f>
        <v>710700</v>
      </c>
      <c r="H51">
        <f ca="1">IF(AND(ISNUMBER($H$120),$B$69=1),$H$120,HLOOKUP(INDIRECT(ADDRESS(2,COLUMN())),OFFSET($S$2,0,0,ROW()-1,13),ROW()-1,FALSE))</f>
        <v>671300</v>
      </c>
      <c r="I51">
        <f ca="1">IF(AND(ISNUMBER($I$120),$B$69=1),$I$120,HLOOKUP(INDIRECT(ADDRESS(2,COLUMN())),OFFSET($S$2,0,0,ROW()-1,13),ROW()-1,FALSE))</f>
        <v>597800</v>
      </c>
      <c r="J51">
        <f ca="1">IF(AND(ISNUMBER($J$120),$B$69=1),$J$120,HLOOKUP(INDIRECT(ADDRESS(2,COLUMN())),OFFSET($S$2,0,0,ROW()-1,13),ROW()-1,FALSE))</f>
        <v>668100</v>
      </c>
      <c r="K51">
        <f ca="1">IF(AND(ISNUMBER($K$120),$B$69=1),$K$120,HLOOKUP(INDIRECT(ADDRESS(2,COLUMN())),OFFSET($S$2,0,0,ROW()-1,13),ROW()-1,FALSE))</f>
        <v>657800</v>
      </c>
      <c r="L51">
        <f ca="1">IF(AND(ISNUMBER($L$120),$B$69=1),$L$120,HLOOKUP(INDIRECT(ADDRESS(2,COLUMN())),OFFSET($S$2,0,0,ROW()-1,13),ROW()-1,FALSE))</f>
        <v>577200</v>
      </c>
      <c r="M51">
        <f ca="1">IF(AND(ISNUMBER($M$120),$B$69=1),$M$120,HLOOKUP(INDIRECT(ADDRESS(2,COLUMN())),OFFSET($S$2,0,0,ROW()-1,13),ROW()-1,FALSE))</f>
        <v>528800</v>
      </c>
      <c r="N51">
        <f ca="1">IF(AND(ISNUMBER($N$120),$B$69=1),$N$120,HLOOKUP(INDIRECT(ADDRESS(2,COLUMN())),OFFSET($S$2,0,0,ROW()-1,13),ROW()-1,FALSE))</f>
        <v>570900</v>
      </c>
      <c r="O51">
        <f ca="1">IF(AND(ISNUMBER($O$120),$B$69=1),$O$120,HLOOKUP(INDIRECT(ADDRESS(2,COLUMN())),OFFSET($S$2,0,0,ROW()-1,13),ROW()-1,FALSE))</f>
        <v>568000</v>
      </c>
      <c r="P51">
        <f ca="1">IF(AND(ISNUMBER($P$120),$B$69=1),$P$120,HLOOKUP(INDIRECT(ADDRESS(2,COLUMN())),OFFSET($S$2,0,0,ROW()-1,13),ROW()-1,FALSE))</f>
        <v>453500</v>
      </c>
      <c r="Q51">
        <f ca="1">IF(AND(ISNUMBER($Q$120),$B$69=1),$Q$120,HLOOKUP(INDIRECT(ADDRESS(2,COLUMN())),OFFSET($S$2,0,0,ROW()-1,13),ROW()-1,FALSE))</f>
        <v>514800</v>
      </c>
      <c r="R51">
        <f ca="1">IF(AND(ISNUMBER($R$120),$B$69=1),$R$120,HLOOKUP(INDIRECT(ADDRESS(2,COLUMN())),OFFSET($S$2,0,0,ROW()-1,13),ROW()-1,FALSE))</f>
        <v>522900</v>
      </c>
      <c r="S51">
        <f>592900</f>
        <v>592900</v>
      </c>
      <c r="T51">
        <f>710700</f>
        <v>710700</v>
      </c>
      <c r="U51">
        <f>671300</f>
        <v>671300</v>
      </c>
      <c r="V51">
        <f>597800</f>
        <v>597800</v>
      </c>
      <c r="W51">
        <f>668100</f>
        <v>668100</v>
      </c>
      <c r="X51">
        <f>657800</f>
        <v>657800</v>
      </c>
      <c r="Y51">
        <f>577200</f>
        <v>577200</v>
      </c>
      <c r="Z51">
        <f>528800</f>
        <v>528800</v>
      </c>
      <c r="AA51">
        <f>570900</f>
        <v>570900</v>
      </c>
      <c r="AB51">
        <f>568000</f>
        <v>568000</v>
      </c>
      <c r="AC51">
        <f>453500</f>
        <v>453500</v>
      </c>
      <c r="AD51">
        <f>514800</f>
        <v>514800</v>
      </c>
      <c r="AE51">
        <f>522900</f>
        <v>522900</v>
      </c>
    </row>
    <row r="52" spans="1:31" x14ac:dyDescent="0.2">
      <c r="A52" t="str">
        <f>"    Sub Saharan Africa - South &amp; Central America"</f>
        <v xml:space="preserve">    Sub Saharan Africa - South &amp; Central America</v>
      </c>
      <c r="B52" t="str">
        <f>"CSHVSSCA Index"</f>
        <v>CSHVSSCA Index</v>
      </c>
      <c r="C52" t="str">
        <f t="shared" si="3"/>
        <v>PX385</v>
      </c>
      <c r="D52" t="str">
        <f t="shared" si="4"/>
        <v>INTERVAL_SUM</v>
      </c>
      <c r="E52" t="str">
        <f t="shared" si="5"/>
        <v>Dynamic</v>
      </c>
      <c r="F52">
        <f ca="1">IF(AND(ISNUMBER($F$121),$B$69=1),$F$121,HLOOKUP(INDIRECT(ADDRESS(2,COLUMN())),OFFSET($S$2,0,0,ROW()-1,13),ROW()-1,FALSE))</f>
        <v>20700</v>
      </c>
      <c r="G52">
        <f ca="1">IF(AND(ISNUMBER($G$121),$B$69=1),$G$121,HLOOKUP(INDIRECT(ADDRESS(2,COLUMN())),OFFSET($S$2,0,0,ROW()-1,13),ROW()-1,FALSE))</f>
        <v>35700</v>
      </c>
      <c r="H52">
        <f ca="1">IF(AND(ISNUMBER($H$121),$B$69=1),$H$121,HLOOKUP(INDIRECT(ADDRESS(2,COLUMN())),OFFSET($S$2,0,0,ROW()-1,13),ROW()-1,FALSE))</f>
        <v>35800</v>
      </c>
      <c r="I52">
        <f ca="1">IF(AND(ISNUMBER($I$121),$B$69=1),$I$121,HLOOKUP(INDIRECT(ADDRESS(2,COLUMN())),OFFSET($S$2,0,0,ROW()-1,13),ROW()-1,FALSE))</f>
        <v>26000</v>
      </c>
      <c r="J52">
        <f ca="1">IF(AND(ISNUMBER($J$121),$B$69=1),$J$121,HLOOKUP(INDIRECT(ADDRESS(2,COLUMN())),OFFSET($S$2,0,0,ROW()-1,13),ROW()-1,FALSE))</f>
        <v>32100</v>
      </c>
      <c r="K52">
        <f ca="1">IF(AND(ISNUMBER($K$121),$B$69=1),$K$121,HLOOKUP(INDIRECT(ADDRESS(2,COLUMN())),OFFSET($S$2,0,0,ROW()-1,13),ROW()-1,FALSE))</f>
        <v>33900</v>
      </c>
      <c r="L52">
        <f ca="1">IF(AND(ISNUMBER($L$121),$B$69=1),$L$121,HLOOKUP(INDIRECT(ADDRESS(2,COLUMN())),OFFSET($S$2,0,0,ROW()-1,13),ROW()-1,FALSE))</f>
        <v>29700</v>
      </c>
      <c r="M52">
        <f ca="1">IF(AND(ISNUMBER($M$121),$B$69=1),$M$121,HLOOKUP(INDIRECT(ADDRESS(2,COLUMN())),OFFSET($S$2,0,0,ROW()-1,13),ROW()-1,FALSE))</f>
        <v>38200</v>
      </c>
      <c r="N52">
        <f ca="1">IF(AND(ISNUMBER($N$121),$B$69=1),$N$121,HLOOKUP(INDIRECT(ADDRESS(2,COLUMN())),OFFSET($S$2,0,0,ROW()-1,13),ROW()-1,FALSE))</f>
        <v>40400</v>
      </c>
      <c r="O52">
        <f ca="1">IF(AND(ISNUMBER($O$121),$B$69=1),$O$121,HLOOKUP(INDIRECT(ADDRESS(2,COLUMN())),OFFSET($S$2,0,0,ROW()-1,13),ROW()-1,FALSE))</f>
        <v>52100</v>
      </c>
      <c r="P52">
        <f ca="1">IF(AND(ISNUMBER($P$121),$B$69=1),$P$121,HLOOKUP(INDIRECT(ADDRESS(2,COLUMN())),OFFSET($S$2,0,0,ROW()-1,13),ROW()-1,FALSE))</f>
        <v>51900</v>
      </c>
      <c r="Q52">
        <f ca="1">IF(AND(ISNUMBER($Q$121),$B$69=1),$Q$121,HLOOKUP(INDIRECT(ADDRESS(2,COLUMN())),OFFSET($S$2,0,0,ROW()-1,13),ROW()-1,FALSE))</f>
        <v>49400</v>
      </c>
      <c r="R52">
        <f ca="1">IF(AND(ISNUMBER($R$121),$B$69=1),$R$121,HLOOKUP(INDIRECT(ADDRESS(2,COLUMN())),OFFSET($S$2,0,0,ROW()-1,13),ROW()-1,FALSE))</f>
        <v>52000</v>
      </c>
      <c r="S52">
        <f>20700</f>
        <v>20700</v>
      </c>
      <c r="T52">
        <f>35700</f>
        <v>35700</v>
      </c>
      <c r="U52">
        <f>35800</f>
        <v>35800</v>
      </c>
      <c r="V52">
        <f>26000</f>
        <v>26000</v>
      </c>
      <c r="W52">
        <f>32100</f>
        <v>32100</v>
      </c>
      <c r="X52">
        <f>33900</f>
        <v>33900</v>
      </c>
      <c r="Y52">
        <f>29700</f>
        <v>29700</v>
      </c>
      <c r="Z52">
        <f>38200</f>
        <v>38200</v>
      </c>
      <c r="AA52">
        <f>40400</f>
        <v>40400</v>
      </c>
      <c r="AB52">
        <f>52100</f>
        <v>52100</v>
      </c>
      <c r="AC52">
        <f>51900</f>
        <v>51900</v>
      </c>
      <c r="AD52">
        <f>49400</f>
        <v>49400</v>
      </c>
      <c r="AE52">
        <f>52000</f>
        <v>52000</v>
      </c>
    </row>
    <row r="53" spans="1:31" x14ac:dyDescent="0.2">
      <c r="A53" t="str">
        <f>"    "</f>
        <v xml:space="preserve">    </v>
      </c>
      <c r="B53" t="str">
        <f>""</f>
        <v/>
      </c>
      <c r="E53" t="str">
        <f>"Static"</f>
        <v>Static</v>
      </c>
      <c r="F53" t="str">
        <f t="shared" ref="F53:R53" ca="1" si="6">HLOOKUP(INDIRECT(ADDRESS(2,COLUMN())),OFFSET($S$2,0,0,ROW()-1,13),ROW()-1,FALSE)</f>
        <v/>
      </c>
      <c r="G53" t="str">
        <f t="shared" ca="1" si="6"/>
        <v/>
      </c>
      <c r="H53" t="str">
        <f t="shared" ca="1" si="6"/>
        <v/>
      </c>
      <c r="I53" t="str">
        <f t="shared" ca="1" si="6"/>
        <v/>
      </c>
      <c r="J53" t="str">
        <f t="shared" ca="1" si="6"/>
        <v/>
      </c>
      <c r="K53" t="str">
        <f t="shared" ca="1" si="6"/>
        <v/>
      </c>
      <c r="L53" t="str">
        <f t="shared" ca="1" si="6"/>
        <v/>
      </c>
      <c r="M53" t="str">
        <f t="shared" ca="1" si="6"/>
        <v/>
      </c>
      <c r="N53" t="str">
        <f t="shared" ca="1" si="6"/>
        <v/>
      </c>
      <c r="O53" t="str">
        <f t="shared" ca="1" si="6"/>
        <v/>
      </c>
      <c r="P53" t="str">
        <f t="shared" ca="1" si="6"/>
        <v/>
      </c>
      <c r="Q53" t="str">
        <f t="shared" ca="1" si="6"/>
        <v/>
      </c>
      <c r="R53" t="str">
        <f t="shared" ca="1" si="6"/>
        <v/>
      </c>
      <c r="S53" t="str">
        <f>""</f>
        <v/>
      </c>
      <c r="T53" t="str">
        <f>""</f>
        <v/>
      </c>
      <c r="U53" t="str">
        <f>""</f>
        <v/>
      </c>
      <c r="V53" t="str">
        <f>""</f>
        <v/>
      </c>
      <c r="W53" t="str">
        <f>""</f>
        <v/>
      </c>
      <c r="X53" t="str">
        <f>""</f>
        <v/>
      </c>
      <c r="Y53" t="str">
        <f>""</f>
        <v/>
      </c>
      <c r="Z53" t="str">
        <f>""</f>
        <v/>
      </c>
      <c r="AA53" t="str">
        <f>""</f>
        <v/>
      </c>
      <c r="AB53" t="str">
        <f>""</f>
        <v/>
      </c>
      <c r="AC53" t="str">
        <f>""</f>
        <v/>
      </c>
      <c r="AD53" t="str">
        <f>""</f>
        <v/>
      </c>
      <c r="AE53" t="str">
        <f>""</f>
        <v/>
      </c>
    </row>
    <row r="54" spans="1:31" x14ac:dyDescent="0.2">
      <c r="S54" t="str">
        <f>""</f>
        <v/>
      </c>
      <c r="T54" t="str">
        <f>""</f>
        <v/>
      </c>
      <c r="U54" t="str">
        <f>""</f>
        <v/>
      </c>
      <c r="V54" t="str">
        <f>""</f>
        <v/>
      </c>
      <c r="W54" t="str">
        <f>""</f>
        <v/>
      </c>
      <c r="X54" t="str">
        <f>""</f>
        <v/>
      </c>
      <c r="Y54" t="str">
        <f>""</f>
        <v/>
      </c>
      <c r="Z54" t="str">
        <f>""</f>
        <v/>
      </c>
      <c r="AA54" t="str">
        <f>""</f>
        <v/>
      </c>
      <c r="AB54" t="str">
        <f>""</f>
        <v/>
      </c>
      <c r="AC54" t="str">
        <f>""</f>
        <v/>
      </c>
      <c r="AD54" t="str">
        <f>""</f>
        <v/>
      </c>
      <c r="AE54" t="str">
        <f>""</f>
        <v/>
      </c>
    </row>
    <row r="55" spans="1:31" x14ac:dyDescent="0.2">
      <c r="S55" t="str">
        <f>""</f>
        <v/>
      </c>
      <c r="T55" t="str">
        <f>""</f>
        <v/>
      </c>
      <c r="U55" t="str">
        <f>""</f>
        <v/>
      </c>
      <c r="V55" t="str">
        <f>""</f>
        <v/>
      </c>
      <c r="W55" t="str">
        <f>""</f>
        <v/>
      </c>
      <c r="X55" t="str">
        <f>""</f>
        <v/>
      </c>
      <c r="Y55" t="str">
        <f>""</f>
        <v/>
      </c>
      <c r="Z55" t="str">
        <f>""</f>
        <v/>
      </c>
      <c r="AA55" t="str">
        <f>""</f>
        <v/>
      </c>
      <c r="AB55" t="str">
        <f>""</f>
        <v/>
      </c>
      <c r="AC55" t="str">
        <f>""</f>
        <v/>
      </c>
      <c r="AD55" t="str">
        <f>""</f>
        <v/>
      </c>
      <c r="AE55" t="str">
        <f>""</f>
        <v/>
      </c>
    </row>
    <row r="56" spans="1:31" x14ac:dyDescent="0.2">
      <c r="S56" t="str">
        <f>""</f>
        <v/>
      </c>
      <c r="T56" t="str">
        <f>""</f>
        <v/>
      </c>
      <c r="U56" t="str">
        <f>""</f>
        <v/>
      </c>
      <c r="V56" t="str">
        <f>""</f>
        <v/>
      </c>
      <c r="W56" t="str">
        <f>""</f>
        <v/>
      </c>
      <c r="X56" t="str">
        <f>""</f>
        <v/>
      </c>
      <c r="Y56" t="str">
        <f>""</f>
        <v/>
      </c>
      <c r="Z56" t="str">
        <f>""</f>
        <v/>
      </c>
      <c r="AA56" t="str">
        <f>""</f>
        <v/>
      </c>
      <c r="AB56" t="str">
        <f>""</f>
        <v/>
      </c>
      <c r="AC56" t="str">
        <f>""</f>
        <v/>
      </c>
      <c r="AD56" t="str">
        <f>""</f>
        <v/>
      </c>
      <c r="AE56" t="str">
        <f>""</f>
        <v/>
      </c>
    </row>
    <row r="57" spans="1:31" x14ac:dyDescent="0.2">
      <c r="S57" t="str">
        <f>""</f>
        <v/>
      </c>
      <c r="T57" t="str">
        <f>""</f>
        <v/>
      </c>
      <c r="U57" t="str">
        <f>""</f>
        <v/>
      </c>
      <c r="V57" t="str">
        <f>""</f>
        <v/>
      </c>
      <c r="W57" t="str">
        <f>""</f>
        <v/>
      </c>
      <c r="X57" t="str">
        <f>""</f>
        <v/>
      </c>
      <c r="Y57" t="str">
        <f>""</f>
        <v/>
      </c>
      <c r="Z57" t="str">
        <f>""</f>
        <v/>
      </c>
      <c r="AA57" t="str">
        <f>""</f>
        <v/>
      </c>
      <c r="AB57" t="str">
        <f>""</f>
        <v/>
      </c>
      <c r="AC57" t="str">
        <f>""</f>
        <v/>
      </c>
      <c r="AD57" t="str">
        <f>""</f>
        <v/>
      </c>
      <c r="AE57" t="str">
        <f>""</f>
        <v/>
      </c>
    </row>
    <row r="58" spans="1:31" x14ac:dyDescent="0.2">
      <c r="S58" t="str">
        <f>""</f>
        <v/>
      </c>
      <c r="T58" t="str">
        <f>""</f>
        <v/>
      </c>
      <c r="U58" t="str">
        <f>""</f>
        <v/>
      </c>
      <c r="V58" t="str">
        <f>""</f>
        <v/>
      </c>
      <c r="W58" t="str">
        <f>""</f>
        <v/>
      </c>
      <c r="X58" t="str">
        <f>""</f>
        <v/>
      </c>
      <c r="Y58" t="str">
        <f>""</f>
        <v/>
      </c>
      <c r="Z58" t="str">
        <f>""</f>
        <v/>
      </c>
      <c r="AA58" t="str">
        <f>""</f>
        <v/>
      </c>
      <c r="AB58" t="str">
        <f>""</f>
        <v/>
      </c>
      <c r="AC58" t="str">
        <f>""</f>
        <v/>
      </c>
      <c r="AD58" t="str">
        <f>""</f>
        <v/>
      </c>
      <c r="AE58" t="str">
        <f>""</f>
        <v/>
      </c>
    </row>
    <row r="59" spans="1:31" x14ac:dyDescent="0.2">
      <c r="S59" t="str">
        <f>""</f>
        <v/>
      </c>
      <c r="T59" t="str">
        <f>""</f>
        <v/>
      </c>
      <c r="U59" t="str">
        <f>""</f>
        <v/>
      </c>
      <c r="V59" t="str">
        <f>""</f>
        <v/>
      </c>
      <c r="W59" t="str">
        <f>""</f>
        <v/>
      </c>
      <c r="X59" t="str">
        <f>""</f>
        <v/>
      </c>
      <c r="Y59" t="str">
        <f>""</f>
        <v/>
      </c>
      <c r="Z59" t="str">
        <f>""</f>
        <v/>
      </c>
      <c r="AA59" t="str">
        <f>""</f>
        <v/>
      </c>
      <c r="AB59" t="str">
        <f>""</f>
        <v/>
      </c>
      <c r="AC59" t="str">
        <f>""</f>
        <v/>
      </c>
      <c r="AD59" t="str">
        <f>""</f>
        <v/>
      </c>
      <c r="AE59" t="str">
        <f>""</f>
        <v/>
      </c>
    </row>
    <row r="60" spans="1:31" x14ac:dyDescent="0.2">
      <c r="S60" t="str">
        <f>""</f>
        <v/>
      </c>
      <c r="T60" t="str">
        <f>""</f>
        <v/>
      </c>
      <c r="U60" t="str">
        <f>""</f>
        <v/>
      </c>
      <c r="V60" t="str">
        <f>""</f>
        <v/>
      </c>
      <c r="W60" t="str">
        <f>""</f>
        <v/>
      </c>
      <c r="X60" t="str">
        <f>""</f>
        <v/>
      </c>
      <c r="Y60" t="str">
        <f>""</f>
        <v/>
      </c>
      <c r="Z60" t="str">
        <f>""</f>
        <v/>
      </c>
      <c r="AA60" t="str">
        <f>""</f>
        <v/>
      </c>
      <c r="AB60" t="str">
        <f>""</f>
        <v/>
      </c>
      <c r="AC60" t="str">
        <f>""</f>
        <v/>
      </c>
      <c r="AD60" t="str">
        <f>""</f>
        <v/>
      </c>
      <c r="AE60" t="str">
        <f>""</f>
        <v/>
      </c>
    </row>
    <row r="61" spans="1:31" x14ac:dyDescent="0.2">
      <c r="A61" t="str">
        <f t="shared" ref="A61:R61" si="7">"~~~~~~~~~~"</f>
        <v>~~~~~~~~~~</v>
      </c>
      <c r="B61" t="str">
        <f t="shared" si="7"/>
        <v>~~~~~~~~~~</v>
      </c>
      <c r="C61" t="str">
        <f t="shared" si="7"/>
        <v>~~~~~~~~~~</v>
      </c>
      <c r="D61" t="str">
        <f t="shared" si="7"/>
        <v>~~~~~~~~~~</v>
      </c>
      <c r="E61" t="str">
        <f t="shared" si="7"/>
        <v>~~~~~~~~~~</v>
      </c>
      <c r="F61" t="str">
        <f t="shared" si="7"/>
        <v>~~~~~~~~~~</v>
      </c>
      <c r="G61" t="str">
        <f t="shared" si="7"/>
        <v>~~~~~~~~~~</v>
      </c>
      <c r="H61" t="str">
        <f t="shared" si="7"/>
        <v>~~~~~~~~~~</v>
      </c>
      <c r="I61" t="str">
        <f t="shared" si="7"/>
        <v>~~~~~~~~~~</v>
      </c>
      <c r="J61" t="str">
        <f t="shared" si="7"/>
        <v>~~~~~~~~~~</v>
      </c>
      <c r="K61" t="str">
        <f t="shared" si="7"/>
        <v>~~~~~~~~~~</v>
      </c>
      <c r="L61" t="str">
        <f t="shared" si="7"/>
        <v>~~~~~~~~~~</v>
      </c>
      <c r="M61" t="str">
        <f t="shared" si="7"/>
        <v>~~~~~~~~~~</v>
      </c>
      <c r="N61" t="str">
        <f t="shared" si="7"/>
        <v>~~~~~~~~~~</v>
      </c>
      <c r="O61" t="str">
        <f t="shared" si="7"/>
        <v>~~~~~~~~~~</v>
      </c>
      <c r="P61" t="str">
        <f t="shared" si="7"/>
        <v>~~~~~~~~~~</v>
      </c>
      <c r="Q61" t="str">
        <f t="shared" si="7"/>
        <v>~~~~~~~~~~</v>
      </c>
      <c r="R61" t="str">
        <f t="shared" si="7"/>
        <v>~~~~~~~~~~</v>
      </c>
      <c r="S61" t="str">
        <f>""</f>
        <v/>
      </c>
      <c r="T61" t="str">
        <f>""</f>
        <v/>
      </c>
      <c r="U61" t="str">
        <f>""</f>
        <v/>
      </c>
      <c r="V61" t="str">
        <f>""</f>
        <v/>
      </c>
      <c r="W61" t="str">
        <f>""</f>
        <v/>
      </c>
      <c r="X61" t="str">
        <f>""</f>
        <v/>
      </c>
      <c r="Y61" t="str">
        <f>""</f>
        <v/>
      </c>
      <c r="Z61" t="str">
        <f>""</f>
        <v/>
      </c>
      <c r="AA61" t="str">
        <f>""</f>
        <v/>
      </c>
      <c r="AB61" t="str">
        <f>""</f>
        <v/>
      </c>
      <c r="AC61" t="str">
        <f>""</f>
        <v/>
      </c>
      <c r="AD61" t="str">
        <f>""</f>
        <v/>
      </c>
      <c r="AE61" t="str">
        <f>""</f>
        <v/>
      </c>
    </row>
    <row r="62" spans="1:31" x14ac:dyDescent="0.2">
      <c r="A62" t="str">
        <f>"All rows below have been added for reference by formula rows above."</f>
        <v>All rows below have been added for reference by formula rows above.</v>
      </c>
      <c r="S62" t="str">
        <f>""</f>
        <v/>
      </c>
      <c r="T62" t="str">
        <f>""</f>
        <v/>
      </c>
      <c r="U62" t="str">
        <f>""</f>
        <v/>
      </c>
      <c r="V62" t="str">
        <f>""</f>
        <v/>
      </c>
      <c r="W62" t="str">
        <f>""</f>
        <v/>
      </c>
      <c r="X62" t="str">
        <f>""</f>
        <v/>
      </c>
      <c r="Y62" t="str">
        <f>""</f>
        <v/>
      </c>
      <c r="Z62" t="str">
        <f>""</f>
        <v/>
      </c>
      <c r="AA62" t="str">
        <f>""</f>
        <v/>
      </c>
      <c r="AB62" t="str">
        <f>""</f>
        <v/>
      </c>
      <c r="AC62" t="str">
        <f>""</f>
        <v/>
      </c>
      <c r="AD62" t="str">
        <f>""</f>
        <v/>
      </c>
      <c r="AE62" t="str">
        <f>""</f>
        <v/>
      </c>
    </row>
    <row r="63" spans="1:31" x14ac:dyDescent="0.2">
      <c r="A63" t="e">
        <f>RTD("bloomberg.ccyreader", "", "#track", "DBG", "BIHITX", "1.0","RepeatHit")</f>
        <v>#N/A</v>
      </c>
      <c r="S63" t="str">
        <f>""</f>
        <v/>
      </c>
      <c r="T63" t="str">
        <f>""</f>
        <v/>
      </c>
      <c r="U63" t="str">
        <f>""</f>
        <v/>
      </c>
      <c r="V63" t="str">
        <f>""</f>
        <v/>
      </c>
      <c r="W63" t="str">
        <f>""</f>
        <v/>
      </c>
      <c r="X63" t="str">
        <f>""</f>
        <v/>
      </c>
      <c r="Y63" t="str">
        <f>""</f>
        <v/>
      </c>
      <c r="Z63" t="str">
        <f>""</f>
        <v/>
      </c>
      <c r="AA63" t="str">
        <f>""</f>
        <v/>
      </c>
      <c r="AB63" t="str">
        <f>""</f>
        <v/>
      </c>
      <c r="AC63" t="str">
        <f>""</f>
        <v/>
      </c>
      <c r="AD63" t="str">
        <f>""</f>
        <v/>
      </c>
      <c r="AE63" t="str">
        <f>""</f>
        <v/>
      </c>
    </row>
    <row r="64" spans="1:31" x14ac:dyDescent="0.2">
      <c r="A64" t="str">
        <f>"Currency"</f>
        <v>Currency</v>
      </c>
      <c r="B64" t="str">
        <f>"USD"</f>
        <v>USD</v>
      </c>
      <c r="S64" t="str">
        <f>""</f>
        <v/>
      </c>
      <c r="T64" t="str">
        <f>""</f>
        <v/>
      </c>
      <c r="U64" t="str">
        <f>""</f>
        <v/>
      </c>
      <c r="V64" t="str">
        <f>""</f>
        <v/>
      </c>
      <c r="W64" t="str">
        <f>""</f>
        <v/>
      </c>
      <c r="X64" t="str">
        <f>""</f>
        <v/>
      </c>
      <c r="Y64" t="str">
        <f>""</f>
        <v/>
      </c>
      <c r="Z64" t="str">
        <f>""</f>
        <v/>
      </c>
      <c r="AA64" t="str">
        <f>""</f>
        <v/>
      </c>
      <c r="AB64" t="str">
        <f>""</f>
        <v/>
      </c>
      <c r="AC64" t="str">
        <f>""</f>
        <v/>
      </c>
      <c r="AD64" t="str">
        <f>""</f>
        <v/>
      </c>
      <c r="AE64" t="str">
        <f>""</f>
        <v/>
      </c>
    </row>
    <row r="65" spans="1:31" x14ac:dyDescent="0.2">
      <c r="A65" t="str">
        <f>"Periodicity"</f>
        <v>Periodicity</v>
      </c>
      <c r="B65" t="str">
        <f>"CY"</f>
        <v>CY</v>
      </c>
      <c r="C65" t="str">
        <f>"AY"</f>
        <v>AY</v>
      </c>
      <c r="S65" t="str">
        <f>""</f>
        <v/>
      </c>
      <c r="T65" t="str">
        <f>""</f>
        <v/>
      </c>
      <c r="U65" t="str">
        <f>""</f>
        <v/>
      </c>
      <c r="V65" t="str">
        <f>""</f>
        <v/>
      </c>
      <c r="W65" t="str">
        <f>""</f>
        <v/>
      </c>
      <c r="X65" t="str">
        <f>""</f>
        <v/>
      </c>
      <c r="Y65" t="str">
        <f>""</f>
        <v/>
      </c>
      <c r="Z65" t="str">
        <f>""</f>
        <v/>
      </c>
      <c r="AA65" t="str">
        <f>""</f>
        <v/>
      </c>
      <c r="AB65" t="str">
        <f>""</f>
        <v/>
      </c>
      <c r="AC65" t="str">
        <f>""</f>
        <v/>
      </c>
      <c r="AD65" t="str">
        <f>""</f>
        <v/>
      </c>
      <c r="AE65" t="str">
        <f>""</f>
        <v/>
      </c>
    </row>
    <row r="66" spans="1:31" x14ac:dyDescent="0.2">
      <c r="A66" t="str">
        <f>"Number of Periods"</f>
        <v>Number of Periods</v>
      </c>
      <c r="B66">
        <f>13</f>
        <v>13</v>
      </c>
      <c r="S66" t="str">
        <f>""</f>
        <v/>
      </c>
      <c r="T66" t="str">
        <f>""</f>
        <v/>
      </c>
      <c r="U66" t="str">
        <f>""</f>
        <v/>
      </c>
      <c r="V66" t="str">
        <f>""</f>
        <v/>
      </c>
      <c r="W66" t="str">
        <f>""</f>
        <v/>
      </c>
      <c r="X66" t="str">
        <f>""</f>
        <v/>
      </c>
      <c r="Y66" t="str">
        <f>""</f>
        <v/>
      </c>
      <c r="Z66" t="str">
        <f>""</f>
        <v/>
      </c>
      <c r="AA66" t="str">
        <f>""</f>
        <v/>
      </c>
      <c r="AB66" t="str">
        <f>""</f>
        <v/>
      </c>
      <c r="AC66" t="str">
        <f>""</f>
        <v/>
      </c>
      <c r="AD66" t="str">
        <f>""</f>
        <v/>
      </c>
      <c r="AE66" t="str">
        <f>""</f>
        <v/>
      </c>
    </row>
    <row r="67" spans="1:31" x14ac:dyDescent="0.2">
      <c r="A67" t="str">
        <f>"Start Date"</f>
        <v>Start Date</v>
      </c>
      <c r="B67" t="str">
        <f>CONCATENATE("-",$B$66,$B$65)</f>
        <v>-13CY</v>
      </c>
      <c r="C67" t="str">
        <f>CONCATENATE("-",$B$66,$C$65)</f>
        <v>-13AY</v>
      </c>
      <c r="S67" t="str">
        <f>""</f>
        <v/>
      </c>
      <c r="T67" t="str">
        <f>""</f>
        <v/>
      </c>
      <c r="U67" t="str">
        <f>""</f>
        <v/>
      </c>
      <c r="V67" t="str">
        <f>""</f>
        <v/>
      </c>
      <c r="W67" t="str">
        <f>""</f>
        <v/>
      </c>
      <c r="X67" t="str">
        <f>""</f>
        <v/>
      </c>
      <c r="Y67" t="str">
        <f>""</f>
        <v/>
      </c>
      <c r="Z67" t="str">
        <f>""</f>
        <v/>
      </c>
      <c r="AA67" t="str">
        <f>""</f>
        <v/>
      </c>
      <c r="AB67" t="str">
        <f>""</f>
        <v/>
      </c>
      <c r="AC67" t="str">
        <f>""</f>
        <v/>
      </c>
      <c r="AD67" t="str">
        <f>""</f>
        <v/>
      </c>
      <c r="AE67" t="str">
        <f>""</f>
        <v/>
      </c>
    </row>
    <row r="68" spans="1:31" x14ac:dyDescent="0.2">
      <c r="A68" t="str">
        <f>"End Date"</f>
        <v>End Date</v>
      </c>
      <c r="B68">
        <f ca="1">IF(TODAY()&lt;DATE(2023, 12,31),DATE(2023, 12,31),TODAY())</f>
        <v>45291</v>
      </c>
      <c r="S68" t="str">
        <f>""</f>
        <v/>
      </c>
      <c r="T68" t="str">
        <f>""</f>
        <v/>
      </c>
      <c r="U68" t="str">
        <f>""</f>
        <v/>
      </c>
      <c r="V68" t="str">
        <f>""</f>
        <v/>
      </c>
      <c r="W68" t="str">
        <f>""</f>
        <v/>
      </c>
      <c r="X68" t="str">
        <f>""</f>
        <v/>
      </c>
      <c r="Y68" t="str">
        <f>""</f>
        <v/>
      </c>
      <c r="Z68" t="str">
        <f>""</f>
        <v/>
      </c>
      <c r="AA68" t="str">
        <f>""</f>
        <v/>
      </c>
      <c r="AB68" t="str">
        <f>""</f>
        <v/>
      </c>
      <c r="AC68" t="str">
        <f>""</f>
        <v/>
      </c>
      <c r="AD68" t="str">
        <f>""</f>
        <v/>
      </c>
      <c r="AE68" t="str">
        <f>""</f>
        <v/>
      </c>
    </row>
    <row r="69" spans="1:31" x14ac:dyDescent="0.2">
      <c r="A69" t="str">
        <f>"HeaderStatus(BDP formula)"</f>
        <v>HeaderStatus(BDP formula)</v>
      </c>
      <c r="S69" t="str">
        <f>""</f>
        <v/>
      </c>
      <c r="T69" t="str">
        <f>""</f>
        <v/>
      </c>
      <c r="U69" t="str">
        <f>""</f>
        <v/>
      </c>
      <c r="V69" t="str">
        <f>""</f>
        <v/>
      </c>
      <c r="W69" t="str">
        <f>""</f>
        <v/>
      </c>
      <c r="X69" t="str">
        <f>""</f>
        <v/>
      </c>
      <c r="Y69" t="str">
        <f>""</f>
        <v/>
      </c>
      <c r="Z69" t="str">
        <f>""</f>
        <v/>
      </c>
      <c r="AA69" t="str">
        <f>""</f>
        <v/>
      </c>
      <c r="AB69" t="str">
        <f>""</f>
        <v/>
      </c>
      <c r="AC69" t="str">
        <f>""</f>
        <v/>
      </c>
      <c r="AD69" t="str">
        <f>""</f>
        <v/>
      </c>
      <c r="AE69" t="str">
        <f>""</f>
        <v/>
      </c>
    </row>
    <row r="70" spans="1:31" x14ac:dyDescent="0.2">
      <c r="S70" t="str">
        <f>""</f>
        <v/>
      </c>
      <c r="T70" t="str">
        <f>""</f>
        <v/>
      </c>
      <c r="U70" t="str">
        <f>""</f>
        <v/>
      </c>
      <c r="V70" t="str">
        <f>""</f>
        <v/>
      </c>
      <c r="W70" t="str">
        <f>""</f>
        <v/>
      </c>
      <c r="X70" t="str">
        <f>""</f>
        <v/>
      </c>
      <c r="Y70" t="str">
        <f>""</f>
        <v/>
      </c>
      <c r="Z70" t="str">
        <f>""</f>
        <v/>
      </c>
      <c r="AA70" t="str">
        <f>""</f>
        <v/>
      </c>
      <c r="AB70" t="str">
        <f>""</f>
        <v/>
      </c>
      <c r="AC70" t="str">
        <f>""</f>
        <v/>
      </c>
      <c r="AD70" t="str">
        <f>""</f>
        <v/>
      </c>
      <c r="AE70" t="str">
        <f>""</f>
        <v/>
      </c>
    </row>
    <row r="71" spans="1:31" x14ac:dyDescent="0.2">
      <c r="A71" t="str">
        <f>"Period Start"</f>
        <v>Period Start</v>
      </c>
      <c r="C71" t="str">
        <f>"PX391"</f>
        <v>PX391</v>
      </c>
      <c r="D71" t="str">
        <f>"START_DATE_OVERRIDE"</f>
        <v>START_DATE_OVERRIDE</v>
      </c>
      <c r="E71" t="str">
        <f>"Dynamic"</f>
        <v>Dynamic</v>
      </c>
      <c r="F71" t="str">
        <f ca="1">CONCATENATE(YEAR($B$68)-(1*0),"0101")</f>
        <v>20230101</v>
      </c>
      <c r="G71" t="str">
        <f ca="1">CONCATENATE(YEAR($B$68)-(1*1),"0101")</f>
        <v>20220101</v>
      </c>
      <c r="H71" t="str">
        <f ca="1">CONCATENATE(YEAR($B$68)-(1*2),"0101")</f>
        <v>20210101</v>
      </c>
      <c r="I71" t="str">
        <f ca="1">CONCATENATE(YEAR($B$68)-(1*3),"0101")</f>
        <v>20200101</v>
      </c>
      <c r="J71" t="str">
        <f ca="1">CONCATENATE(YEAR($B$68)-(1*4),"0101")</f>
        <v>20190101</v>
      </c>
      <c r="K71" t="str">
        <f ca="1">CONCATENATE(YEAR($B$68)-(1*5),"0101")</f>
        <v>20180101</v>
      </c>
      <c r="L71" t="str">
        <f ca="1">CONCATENATE(YEAR($B$68)-(1*6),"0101")</f>
        <v>20170101</v>
      </c>
      <c r="M71" t="str">
        <f ca="1">CONCATENATE(YEAR($B$68)-(1*7),"0101")</f>
        <v>20160101</v>
      </c>
      <c r="N71" t="str">
        <f ca="1">CONCATENATE(YEAR($B$68)-(1*8),"0101")</f>
        <v>20150101</v>
      </c>
      <c r="O71" t="str">
        <f ca="1">CONCATENATE(YEAR($B$68)-(1*9),"0101")</f>
        <v>20140101</v>
      </c>
      <c r="P71" t="str">
        <f ca="1">CONCATENATE(YEAR($B$68)-(1*10),"0101")</f>
        <v>20130101</v>
      </c>
      <c r="Q71" t="str">
        <f ca="1">CONCATENATE(YEAR($B$68)-(1*11),"0101")</f>
        <v>20120101</v>
      </c>
      <c r="R71" t="str">
        <f ca="1">CONCATENATE(YEAR($B$68)-(1*12),"0101")</f>
        <v>20110101</v>
      </c>
      <c r="S71" t="str">
        <f>""</f>
        <v/>
      </c>
      <c r="T71" t="str">
        <f>""</f>
        <v/>
      </c>
      <c r="U71" t="str">
        <f>""</f>
        <v/>
      </c>
      <c r="V71" t="str">
        <f>""</f>
        <v/>
      </c>
      <c r="W71" t="str">
        <f>""</f>
        <v/>
      </c>
      <c r="X71" t="str">
        <f>""</f>
        <v/>
      </c>
      <c r="Y71" t="str">
        <f>""</f>
        <v/>
      </c>
      <c r="Z71" t="str">
        <f>""</f>
        <v/>
      </c>
      <c r="AA71" t="str">
        <f>""</f>
        <v/>
      </c>
      <c r="AB71" t="str">
        <f>""</f>
        <v/>
      </c>
      <c r="AC71" t="str">
        <f>""</f>
        <v/>
      </c>
      <c r="AD71" t="str">
        <f>""</f>
        <v/>
      </c>
      <c r="AE71" t="str">
        <f>""</f>
        <v/>
      </c>
    </row>
    <row r="72" spans="1:31" x14ac:dyDescent="0.2">
      <c r="A72" t="str">
        <f>"Period End"</f>
        <v>Period End</v>
      </c>
      <c r="C72" t="str">
        <f>"PX392"</f>
        <v>PX392</v>
      </c>
      <c r="D72" t="str">
        <f>"END_DATE_OVERRIDE"</f>
        <v>END_DATE_OVERRIDE</v>
      </c>
      <c r="E72" t="str">
        <f>"Dynamic"</f>
        <v>Dynamic</v>
      </c>
      <c r="F72" t="str">
        <f ca="1">CONCATENATE(YEAR($B$68)-(1*0),"1231")</f>
        <v>20231231</v>
      </c>
      <c r="G72" t="str">
        <f ca="1">CONCATENATE(YEAR($B$68)-(1*1),"1231")</f>
        <v>20221231</v>
      </c>
      <c r="H72" t="str">
        <f ca="1">CONCATENATE(YEAR($B$68)-(1*2),"1231")</f>
        <v>20211231</v>
      </c>
      <c r="I72" t="str">
        <f ca="1">CONCATENATE(YEAR($B$68)-(1*3),"1231")</f>
        <v>20201231</v>
      </c>
      <c r="J72" t="str">
        <f ca="1">CONCATENATE(YEAR($B$68)-(1*4),"1231")</f>
        <v>20191231</v>
      </c>
      <c r="K72" t="str">
        <f ca="1">CONCATENATE(YEAR($B$68)-(1*5),"1231")</f>
        <v>20181231</v>
      </c>
      <c r="L72" t="str">
        <f ca="1">CONCATENATE(YEAR($B$68)-(1*6),"1231")</f>
        <v>20171231</v>
      </c>
      <c r="M72" t="str">
        <f ca="1">CONCATENATE(YEAR($B$68)-(1*7),"1231")</f>
        <v>20161231</v>
      </c>
      <c r="N72" t="str">
        <f ca="1">CONCATENATE(YEAR($B$68)-(1*8),"1231")</f>
        <v>20151231</v>
      </c>
      <c r="O72" t="str">
        <f ca="1">CONCATENATE(YEAR($B$68)-(1*9),"1231")</f>
        <v>20141231</v>
      </c>
      <c r="P72" t="str">
        <f ca="1">CONCATENATE(YEAR($B$68)-(1*10),"1231")</f>
        <v>20131231</v>
      </c>
      <c r="Q72" t="str">
        <f ca="1">CONCATENATE(YEAR($B$68)-(1*11),"1231")</f>
        <v>20121231</v>
      </c>
      <c r="R72" t="str">
        <f ca="1">CONCATENATE(YEAR($B$68)-(1*12),"1231")</f>
        <v>20111231</v>
      </c>
      <c r="S72" t="str">
        <f>""</f>
        <v/>
      </c>
      <c r="T72" t="str">
        <f>""</f>
        <v/>
      </c>
      <c r="U72" t="str">
        <f>""</f>
        <v/>
      </c>
      <c r="V72" t="str">
        <f>""</f>
        <v/>
      </c>
      <c r="W72" t="str">
        <f>""</f>
        <v/>
      </c>
      <c r="X72" t="str">
        <f>""</f>
        <v/>
      </c>
      <c r="Y72" t="str">
        <f>""</f>
        <v/>
      </c>
      <c r="Z72" t="str">
        <f>""</f>
        <v/>
      </c>
      <c r="AA72" t="str">
        <f>""</f>
        <v/>
      </c>
      <c r="AB72" t="str">
        <f>""</f>
        <v/>
      </c>
      <c r="AC72" t="str">
        <f>""</f>
        <v/>
      </c>
      <c r="AD72" t="str">
        <f>""</f>
        <v/>
      </c>
      <c r="AE72" t="str">
        <f>""</f>
        <v/>
      </c>
    </row>
    <row r="73" spans="1:31" x14ac:dyDescent="0.2">
      <c r="A73" t="str">
        <f>$A$4</f>
        <v xml:space="preserve">    Asia - South &amp; Central America</v>
      </c>
      <c r="B73" t="str">
        <f>$B$4</f>
        <v>CSHVASCA Index</v>
      </c>
      <c r="C73" t="str">
        <f>$C$4</f>
        <v>PX385</v>
      </c>
      <c r="D73" t="str">
        <f>$D$4</f>
        <v>INTERVAL_SUM</v>
      </c>
      <c r="E73" t="str">
        <f>$E$4</f>
        <v>Dynamic</v>
      </c>
      <c r="F73" t="e">
        <f ca="1">_xll.BDP($B$4,$C$4,CONCATENATE("PX391=", $F$71), CONCATENATE("PX392=",$F$72), CONCATENATE("DS004=",$B$64), "Fill=B")</f>
        <v>#NAME?</v>
      </c>
      <c r="G73" t="e">
        <f ca="1">_xll.BDP($B$4,$C$4,CONCATENATE("PX391=", $G$71), CONCATENATE("PX392=",$G$72), CONCATENATE("DS004=",$B$64), "Fill=B")</f>
        <v>#NAME?</v>
      </c>
      <c r="H73" t="e">
        <f ca="1">_xll.BDP($B$4,$C$4,CONCATENATE("PX391=", $H$71), CONCATENATE("PX392=",$H$72), CONCATENATE("DS004=",$B$64), "Fill=B")</f>
        <v>#NAME?</v>
      </c>
      <c r="I73" t="e">
        <f ca="1">_xll.BDP($B$4,$C$4,CONCATENATE("PX391=", $I$71), CONCATENATE("PX392=",$I$72), CONCATENATE("DS004=",$B$64), "Fill=B")</f>
        <v>#NAME?</v>
      </c>
      <c r="J73" t="e">
        <f ca="1">_xll.BDP($B$4,$C$4,CONCATENATE("PX391=", $J$71), CONCATENATE("PX392=",$J$72), CONCATENATE("DS004=",$B$64), "Fill=B")</f>
        <v>#NAME?</v>
      </c>
      <c r="K73" t="e">
        <f ca="1">_xll.BDP($B$4,$C$4,CONCATENATE("PX391=", $K$71), CONCATENATE("PX392=",$K$72), CONCATENATE("DS004=",$B$64), "Fill=B")</f>
        <v>#NAME?</v>
      </c>
      <c r="L73" t="e">
        <f ca="1">_xll.BDP($B$4,$C$4,CONCATENATE("PX391=", $L$71), CONCATENATE("PX392=",$L$72), CONCATENATE("DS004=",$B$64), "Fill=B")</f>
        <v>#NAME?</v>
      </c>
      <c r="M73" t="e">
        <f ca="1">_xll.BDP($B$4,$C$4,CONCATENATE("PX391=", $M$71), CONCATENATE("PX392=",$M$72), CONCATENATE("DS004=",$B$64), "Fill=B")</f>
        <v>#NAME?</v>
      </c>
      <c r="N73" t="e">
        <f ca="1">_xll.BDP($B$4,$C$4,CONCATENATE("PX391=", $N$71), CONCATENATE("PX392=",$N$72), CONCATENATE("DS004=",$B$64), "Fill=B")</f>
        <v>#NAME?</v>
      </c>
      <c r="O73" t="e">
        <f ca="1">_xll.BDP($B$4,$C$4,CONCATENATE("PX391=", $O$71), CONCATENATE("PX392=",$O$72), CONCATENATE("DS004=",$B$64), "Fill=B")</f>
        <v>#NAME?</v>
      </c>
      <c r="P73" t="e">
        <f ca="1">_xll.BDP($B$4,$C$4,CONCATENATE("PX391=", $P$71), CONCATENATE("PX392=",$P$72), CONCATENATE("DS004=",$B$64), "Fill=B")</f>
        <v>#NAME?</v>
      </c>
      <c r="Q73" t="e">
        <f ca="1">_xll.BDP($B$4,$C$4,CONCATENATE("PX391=", $Q$71), CONCATENATE("PX392=",$Q$72), CONCATENATE("DS004=",$B$64), "Fill=B")</f>
        <v>#NAME?</v>
      </c>
      <c r="R73" t="e">
        <f ca="1">_xll.BDP($B$4,$C$4,CONCATENATE("PX391=", $R$71), CONCATENATE("PX392=",$R$72), CONCATENATE("DS004=",$B$64), "Fill=B")</f>
        <v>#NAME?</v>
      </c>
      <c r="S73" t="str">
        <f>""</f>
        <v/>
      </c>
      <c r="T73" t="str">
        <f>""</f>
        <v/>
      </c>
      <c r="U73" t="str">
        <f>""</f>
        <v/>
      </c>
      <c r="V73" t="str">
        <f>""</f>
        <v/>
      </c>
      <c r="W73" t="str">
        <f>""</f>
        <v/>
      </c>
      <c r="X73" t="str">
        <f>""</f>
        <v/>
      </c>
      <c r="Y73" t="str">
        <f>""</f>
        <v/>
      </c>
      <c r="Z73" t="str">
        <f>""</f>
        <v/>
      </c>
      <c r="AA73" t="str">
        <f>""</f>
        <v/>
      </c>
      <c r="AB73" t="str">
        <f>""</f>
        <v/>
      </c>
      <c r="AC73" t="str">
        <f>""</f>
        <v/>
      </c>
      <c r="AD73" t="str">
        <f>""</f>
        <v/>
      </c>
      <c r="AE73" t="str">
        <f>""</f>
        <v/>
      </c>
    </row>
    <row r="74" spans="1:31" x14ac:dyDescent="0.2">
      <c r="A74" t="str">
        <f>$A$5</f>
        <v xml:space="preserve">    Asia - Sub Saharan Africa</v>
      </c>
      <c r="B74" t="str">
        <f>$B$5</f>
        <v>CSHVASSA Index</v>
      </c>
      <c r="C74" t="str">
        <f>$C$5</f>
        <v>PX385</v>
      </c>
      <c r="D74" t="str">
        <f>$D$5</f>
        <v>INTERVAL_SUM</v>
      </c>
      <c r="E74" t="str">
        <f>$E$5</f>
        <v>Dynamic</v>
      </c>
      <c r="F74" t="e">
        <f ca="1">_xll.BDP($B$5,$C$5,CONCATENATE("PX391=", $F$71), CONCATENATE("PX392=",$F$72), CONCATENATE("DS004=",$B$64), "Fill=B")</f>
        <v>#NAME?</v>
      </c>
      <c r="G74" t="e">
        <f ca="1">_xll.BDP($B$5,$C$5,CONCATENATE("PX391=", $G$71), CONCATENATE("PX392=",$G$72), CONCATENATE("DS004=",$B$64), "Fill=B")</f>
        <v>#NAME?</v>
      </c>
      <c r="H74" t="e">
        <f ca="1">_xll.BDP($B$5,$C$5,CONCATENATE("PX391=", $H$71), CONCATENATE("PX392=",$H$72), CONCATENATE("DS004=",$B$64), "Fill=B")</f>
        <v>#NAME?</v>
      </c>
      <c r="I74" t="e">
        <f ca="1">_xll.BDP($B$5,$C$5,CONCATENATE("PX391=", $I$71), CONCATENATE("PX392=",$I$72), CONCATENATE("DS004=",$B$64), "Fill=B")</f>
        <v>#NAME?</v>
      </c>
      <c r="J74" t="e">
        <f ca="1">_xll.BDP($B$5,$C$5,CONCATENATE("PX391=", $J$71), CONCATENATE("PX392=",$J$72), CONCATENATE("DS004=",$B$64), "Fill=B")</f>
        <v>#NAME?</v>
      </c>
      <c r="K74" t="e">
        <f ca="1">_xll.BDP($B$5,$C$5,CONCATENATE("PX391=", $K$71), CONCATENATE("PX392=",$K$72), CONCATENATE("DS004=",$B$64), "Fill=B")</f>
        <v>#NAME?</v>
      </c>
      <c r="L74" t="e">
        <f ca="1">_xll.BDP($B$5,$C$5,CONCATENATE("PX391=", $L$71), CONCATENATE("PX392=",$L$72), CONCATENATE("DS004=",$B$64), "Fill=B")</f>
        <v>#NAME?</v>
      </c>
      <c r="M74" t="e">
        <f ca="1">_xll.BDP($B$5,$C$5,CONCATENATE("PX391=", $M$71), CONCATENATE("PX392=",$M$72), CONCATENATE("DS004=",$B$64), "Fill=B")</f>
        <v>#NAME?</v>
      </c>
      <c r="N74" t="e">
        <f ca="1">_xll.BDP($B$5,$C$5,CONCATENATE("PX391=", $N$71), CONCATENATE("PX392=",$N$72), CONCATENATE("DS004=",$B$64), "Fill=B")</f>
        <v>#NAME?</v>
      </c>
      <c r="O74" t="e">
        <f ca="1">_xll.BDP($B$5,$C$5,CONCATENATE("PX391=", $O$71), CONCATENATE("PX392=",$O$72), CONCATENATE("DS004=",$B$64), "Fill=B")</f>
        <v>#NAME?</v>
      </c>
      <c r="P74" t="e">
        <f ca="1">_xll.BDP($B$5,$C$5,CONCATENATE("PX391=", $P$71), CONCATENATE("PX392=",$P$72), CONCATENATE("DS004=",$B$64), "Fill=B")</f>
        <v>#NAME?</v>
      </c>
      <c r="Q74" t="e">
        <f ca="1">_xll.BDP($B$5,$C$5,CONCATENATE("PX391=", $Q$71), CONCATENATE("PX392=",$Q$72), CONCATENATE("DS004=",$B$64), "Fill=B")</f>
        <v>#NAME?</v>
      </c>
      <c r="R74" t="e">
        <f ca="1">_xll.BDP($B$5,$C$5,CONCATENATE("PX391=", $R$71), CONCATENATE("PX392=",$R$72), CONCATENATE("DS004=",$B$64), "Fill=B")</f>
        <v>#NAME?</v>
      </c>
      <c r="S74" t="str">
        <f>""</f>
        <v/>
      </c>
      <c r="T74" t="str">
        <f>""</f>
        <v/>
      </c>
      <c r="U74" t="str">
        <f>""</f>
        <v/>
      </c>
      <c r="V74" t="str">
        <f>""</f>
        <v/>
      </c>
      <c r="W74" t="str">
        <f>""</f>
        <v/>
      </c>
      <c r="X74" t="str">
        <f>""</f>
        <v/>
      </c>
      <c r="Y74" t="str">
        <f>""</f>
        <v/>
      </c>
      <c r="Z74" t="str">
        <f>""</f>
        <v/>
      </c>
      <c r="AA74" t="str">
        <f>""</f>
        <v/>
      </c>
      <c r="AB74" t="str">
        <f>""</f>
        <v/>
      </c>
      <c r="AC74" t="str">
        <f>""</f>
        <v/>
      </c>
      <c r="AD74" t="str">
        <f>""</f>
        <v/>
      </c>
      <c r="AE74" t="str">
        <f>""</f>
        <v/>
      </c>
    </row>
    <row r="75" spans="1:31" x14ac:dyDescent="0.2">
      <c r="A75" t="str">
        <f>$A$6</f>
        <v xml:space="preserve">    Asia - Australasia &amp; Oceania</v>
      </c>
      <c r="B75" t="str">
        <f>$B$6</f>
        <v>CSHVAAUO Index</v>
      </c>
      <c r="C75" t="str">
        <f>$C$6</f>
        <v>PX385</v>
      </c>
      <c r="D75" t="str">
        <f>$D$6</f>
        <v>INTERVAL_SUM</v>
      </c>
      <c r="E75" t="str">
        <f>$E$6</f>
        <v>Dynamic</v>
      </c>
      <c r="F75" t="e">
        <f ca="1">_xll.BDP($B$6,$C$6,CONCATENATE("PX391=", $F$71), CONCATENATE("PX392=",$F$72), CONCATENATE("DS004=",$B$64), "Fill=B")</f>
        <v>#NAME?</v>
      </c>
      <c r="G75" t="e">
        <f ca="1">_xll.BDP($B$6,$C$6,CONCATENATE("PX391=", $G$71), CONCATENATE("PX392=",$G$72), CONCATENATE("DS004=",$B$64), "Fill=B")</f>
        <v>#NAME?</v>
      </c>
      <c r="H75" t="e">
        <f ca="1">_xll.BDP($B$6,$C$6,CONCATENATE("PX391=", $H$71), CONCATENATE("PX392=",$H$72), CONCATENATE("DS004=",$B$64), "Fill=B")</f>
        <v>#NAME?</v>
      </c>
      <c r="I75" t="e">
        <f ca="1">_xll.BDP($B$6,$C$6,CONCATENATE("PX391=", $I$71), CONCATENATE("PX392=",$I$72), CONCATENATE("DS004=",$B$64), "Fill=B")</f>
        <v>#NAME?</v>
      </c>
      <c r="J75" t="e">
        <f ca="1">_xll.BDP($B$6,$C$6,CONCATENATE("PX391=", $J$71), CONCATENATE("PX392=",$J$72), CONCATENATE("DS004=",$B$64), "Fill=B")</f>
        <v>#NAME?</v>
      </c>
      <c r="K75" t="e">
        <f ca="1">_xll.BDP($B$6,$C$6,CONCATENATE("PX391=", $K$71), CONCATENATE("PX392=",$K$72), CONCATENATE("DS004=",$B$64), "Fill=B")</f>
        <v>#NAME?</v>
      </c>
      <c r="L75" t="e">
        <f ca="1">_xll.BDP($B$6,$C$6,CONCATENATE("PX391=", $L$71), CONCATENATE("PX392=",$L$72), CONCATENATE("DS004=",$B$64), "Fill=B")</f>
        <v>#NAME?</v>
      </c>
      <c r="M75" t="e">
        <f ca="1">_xll.BDP($B$6,$C$6,CONCATENATE("PX391=", $M$71), CONCATENATE("PX392=",$M$72), CONCATENATE("DS004=",$B$64), "Fill=B")</f>
        <v>#NAME?</v>
      </c>
      <c r="N75" t="e">
        <f ca="1">_xll.BDP($B$6,$C$6,CONCATENATE("PX391=", $N$71), CONCATENATE("PX392=",$N$72), CONCATENATE("DS004=",$B$64), "Fill=B")</f>
        <v>#NAME?</v>
      </c>
      <c r="O75" t="e">
        <f ca="1">_xll.BDP($B$6,$C$6,CONCATENATE("PX391=", $O$71), CONCATENATE("PX392=",$O$72), CONCATENATE("DS004=",$B$64), "Fill=B")</f>
        <v>#NAME?</v>
      </c>
      <c r="P75" t="e">
        <f ca="1">_xll.BDP($B$6,$C$6,CONCATENATE("PX391=", $P$71), CONCATENATE("PX392=",$P$72), CONCATENATE("DS004=",$B$64), "Fill=B")</f>
        <v>#NAME?</v>
      </c>
      <c r="Q75" t="e">
        <f ca="1">_xll.BDP($B$6,$C$6,CONCATENATE("PX391=", $Q$71), CONCATENATE("PX392=",$Q$72), CONCATENATE("DS004=",$B$64), "Fill=B")</f>
        <v>#NAME?</v>
      </c>
      <c r="R75" t="e">
        <f ca="1">_xll.BDP($B$6,$C$6,CONCATENATE("PX391=", $R$71), CONCATENATE("PX392=",$R$72), CONCATENATE("DS004=",$B$64), "Fill=B")</f>
        <v>#NAME?</v>
      </c>
      <c r="S75" t="str">
        <f>""</f>
        <v/>
      </c>
      <c r="T75" t="str">
        <f>""</f>
        <v/>
      </c>
      <c r="U75" t="str">
        <f>""</f>
        <v/>
      </c>
      <c r="V75" t="str">
        <f>""</f>
        <v/>
      </c>
      <c r="W75" t="str">
        <f>""</f>
        <v/>
      </c>
      <c r="X75" t="str">
        <f>""</f>
        <v/>
      </c>
      <c r="Y75" t="str">
        <f>""</f>
        <v/>
      </c>
      <c r="Z75" t="str">
        <f>""</f>
        <v/>
      </c>
      <c r="AA75" t="str">
        <f>""</f>
        <v/>
      </c>
      <c r="AB75" t="str">
        <f>""</f>
        <v/>
      </c>
      <c r="AC75" t="str">
        <f>""</f>
        <v/>
      </c>
      <c r="AD75" t="str">
        <f>""</f>
        <v/>
      </c>
      <c r="AE75" t="str">
        <f>""</f>
        <v/>
      </c>
    </row>
    <row r="76" spans="1:31" x14ac:dyDescent="0.2">
      <c r="A76" t="str">
        <f>$A$7</f>
        <v xml:space="preserve">    Asia - North America</v>
      </c>
      <c r="B76" t="str">
        <f>$B$7</f>
        <v>CSHVANAR Index</v>
      </c>
      <c r="C76" t="str">
        <f>$C$7</f>
        <v>PX385</v>
      </c>
      <c r="D76" t="str">
        <f>$D$7</f>
        <v>INTERVAL_SUM</v>
      </c>
      <c r="E76" t="str">
        <f>$E$7</f>
        <v>Dynamic</v>
      </c>
      <c r="F76" t="e">
        <f ca="1">_xll.BDP($B$7,$C$7,CONCATENATE("PX391=", $F$71), CONCATENATE("PX392=",$F$72), CONCATENATE("DS004=",$B$64), "Fill=B")</f>
        <v>#NAME?</v>
      </c>
      <c r="G76" t="e">
        <f ca="1">_xll.BDP($B$7,$C$7,CONCATENATE("PX391=", $G$71), CONCATENATE("PX392=",$G$72), CONCATENATE("DS004=",$B$64), "Fill=B")</f>
        <v>#NAME?</v>
      </c>
      <c r="H76" t="e">
        <f ca="1">_xll.BDP($B$7,$C$7,CONCATENATE("PX391=", $H$71), CONCATENATE("PX392=",$H$72), CONCATENATE("DS004=",$B$64), "Fill=B")</f>
        <v>#NAME?</v>
      </c>
      <c r="I76" t="e">
        <f ca="1">_xll.BDP($B$7,$C$7,CONCATENATE("PX391=", $I$71), CONCATENATE("PX392=",$I$72), CONCATENATE("DS004=",$B$64), "Fill=B")</f>
        <v>#NAME?</v>
      </c>
      <c r="J76" t="e">
        <f ca="1">_xll.BDP($B$7,$C$7,CONCATENATE("PX391=", $J$71), CONCATENATE("PX392=",$J$72), CONCATENATE("DS004=",$B$64), "Fill=B")</f>
        <v>#NAME?</v>
      </c>
      <c r="K76" t="e">
        <f ca="1">_xll.BDP($B$7,$C$7,CONCATENATE("PX391=", $K$71), CONCATENATE("PX392=",$K$72), CONCATENATE("DS004=",$B$64), "Fill=B")</f>
        <v>#NAME?</v>
      </c>
      <c r="L76" t="e">
        <f ca="1">_xll.BDP($B$7,$C$7,CONCATENATE("PX391=", $L$71), CONCATENATE("PX392=",$L$72), CONCATENATE("DS004=",$B$64), "Fill=B")</f>
        <v>#NAME?</v>
      </c>
      <c r="M76" t="e">
        <f ca="1">_xll.BDP($B$7,$C$7,CONCATENATE("PX391=", $M$71), CONCATENATE("PX392=",$M$72), CONCATENATE("DS004=",$B$64), "Fill=B")</f>
        <v>#NAME?</v>
      </c>
      <c r="N76" t="e">
        <f ca="1">_xll.BDP($B$7,$C$7,CONCATENATE("PX391=", $N$71), CONCATENATE("PX392=",$N$72), CONCATENATE("DS004=",$B$64), "Fill=B")</f>
        <v>#NAME?</v>
      </c>
      <c r="O76" t="e">
        <f ca="1">_xll.BDP($B$7,$C$7,CONCATENATE("PX391=", $O$71), CONCATENATE("PX392=",$O$72), CONCATENATE("DS004=",$B$64), "Fill=B")</f>
        <v>#NAME?</v>
      </c>
      <c r="P76" t="e">
        <f ca="1">_xll.BDP($B$7,$C$7,CONCATENATE("PX391=", $P$71), CONCATENATE("PX392=",$P$72), CONCATENATE("DS004=",$B$64), "Fill=B")</f>
        <v>#NAME?</v>
      </c>
      <c r="Q76" t="e">
        <f ca="1">_xll.BDP($B$7,$C$7,CONCATENATE("PX391=", $Q$71), CONCATENATE("PX392=",$Q$72), CONCATENATE("DS004=",$B$64), "Fill=B")</f>
        <v>#NAME?</v>
      </c>
      <c r="R76" t="e">
        <f ca="1">_xll.BDP($B$7,$C$7,CONCATENATE("PX391=", $R$71), CONCATENATE("PX392=",$R$72), CONCATENATE("DS004=",$B$64), "Fill=B")</f>
        <v>#NAME?</v>
      </c>
      <c r="S76" t="str">
        <f>""</f>
        <v/>
      </c>
      <c r="T76" t="str">
        <f>""</f>
        <v/>
      </c>
      <c r="U76" t="str">
        <f>""</f>
        <v/>
      </c>
      <c r="V76" t="str">
        <f>""</f>
        <v/>
      </c>
      <c r="W76" t="str">
        <f>""</f>
        <v/>
      </c>
      <c r="X76" t="str">
        <f>""</f>
        <v/>
      </c>
      <c r="Y76" t="str">
        <f>""</f>
        <v/>
      </c>
      <c r="Z76" t="str">
        <f>""</f>
        <v/>
      </c>
      <c r="AA76" t="str">
        <f>""</f>
        <v/>
      </c>
      <c r="AB76" t="str">
        <f>""</f>
        <v/>
      </c>
      <c r="AC76" t="str">
        <f>""</f>
        <v/>
      </c>
      <c r="AD76" t="str">
        <f>""</f>
        <v/>
      </c>
      <c r="AE76" t="str">
        <f>""</f>
        <v/>
      </c>
    </row>
    <row r="77" spans="1:31" x14ac:dyDescent="0.2">
      <c r="A77" t="str">
        <f>$A$8</f>
        <v xml:space="preserve">    Asia - Asia</v>
      </c>
      <c r="B77" t="str">
        <f>$B$8</f>
        <v>CSHVAASR Index</v>
      </c>
      <c r="C77" t="str">
        <f>$C$8</f>
        <v>PX385</v>
      </c>
      <c r="D77" t="str">
        <f>$D$8</f>
        <v>INTERVAL_SUM</v>
      </c>
      <c r="E77" t="str">
        <f>$E$8</f>
        <v>Dynamic</v>
      </c>
      <c r="F77" t="e">
        <f ca="1">_xll.BDP($B$8,$C$8,CONCATENATE("PX391=", $F$71), CONCATENATE("PX392=",$F$72), CONCATENATE("DS004=",$B$64), "Fill=B")</f>
        <v>#NAME?</v>
      </c>
      <c r="G77" t="e">
        <f ca="1">_xll.BDP($B$8,$C$8,CONCATENATE("PX391=", $G$71), CONCATENATE("PX392=",$G$72), CONCATENATE("DS004=",$B$64), "Fill=B")</f>
        <v>#NAME?</v>
      </c>
      <c r="H77" t="e">
        <f ca="1">_xll.BDP($B$8,$C$8,CONCATENATE("PX391=", $H$71), CONCATENATE("PX392=",$H$72), CONCATENATE("DS004=",$B$64), "Fill=B")</f>
        <v>#NAME?</v>
      </c>
      <c r="I77" t="e">
        <f ca="1">_xll.BDP($B$8,$C$8,CONCATENATE("PX391=", $I$71), CONCATENATE("PX392=",$I$72), CONCATENATE("DS004=",$B$64), "Fill=B")</f>
        <v>#NAME?</v>
      </c>
      <c r="J77" t="e">
        <f ca="1">_xll.BDP($B$8,$C$8,CONCATENATE("PX391=", $J$71), CONCATENATE("PX392=",$J$72), CONCATENATE("DS004=",$B$64), "Fill=B")</f>
        <v>#NAME?</v>
      </c>
      <c r="K77" t="e">
        <f ca="1">_xll.BDP($B$8,$C$8,CONCATENATE("PX391=", $K$71), CONCATENATE("PX392=",$K$72), CONCATENATE("DS004=",$B$64), "Fill=B")</f>
        <v>#NAME?</v>
      </c>
      <c r="L77" t="e">
        <f ca="1">_xll.BDP($B$8,$C$8,CONCATENATE("PX391=", $L$71), CONCATENATE("PX392=",$L$72), CONCATENATE("DS004=",$B$64), "Fill=B")</f>
        <v>#NAME?</v>
      </c>
      <c r="M77" t="e">
        <f ca="1">_xll.BDP($B$8,$C$8,CONCATENATE("PX391=", $M$71), CONCATENATE("PX392=",$M$72), CONCATENATE("DS004=",$B$64), "Fill=B")</f>
        <v>#NAME?</v>
      </c>
      <c r="N77" t="e">
        <f ca="1">_xll.BDP($B$8,$C$8,CONCATENATE("PX391=", $N$71), CONCATENATE("PX392=",$N$72), CONCATENATE("DS004=",$B$64), "Fill=B")</f>
        <v>#NAME?</v>
      </c>
      <c r="O77" t="e">
        <f ca="1">_xll.BDP($B$8,$C$8,CONCATENATE("PX391=", $O$71), CONCATENATE("PX392=",$O$72), CONCATENATE("DS004=",$B$64), "Fill=B")</f>
        <v>#NAME?</v>
      </c>
      <c r="P77" t="e">
        <f ca="1">_xll.BDP($B$8,$C$8,CONCATENATE("PX391=", $P$71), CONCATENATE("PX392=",$P$72), CONCATENATE("DS004=",$B$64), "Fill=B")</f>
        <v>#NAME?</v>
      </c>
      <c r="Q77" t="e">
        <f ca="1">_xll.BDP($B$8,$C$8,CONCATENATE("PX391=", $Q$71), CONCATENATE("PX392=",$Q$72), CONCATENATE("DS004=",$B$64), "Fill=B")</f>
        <v>#NAME?</v>
      </c>
      <c r="R77" t="e">
        <f ca="1">_xll.BDP($B$8,$C$8,CONCATENATE("PX391=", $R$71), CONCATENATE("PX392=",$R$72), CONCATENATE("DS004=",$B$64), "Fill=B")</f>
        <v>#NAME?</v>
      </c>
      <c r="S77" t="str">
        <f>""</f>
        <v/>
      </c>
      <c r="T77" t="str">
        <f>""</f>
        <v/>
      </c>
      <c r="U77" t="str">
        <f>""</f>
        <v/>
      </c>
      <c r="V77" t="str">
        <f>""</f>
        <v/>
      </c>
      <c r="W77" t="str">
        <f>""</f>
        <v/>
      </c>
      <c r="X77" t="str">
        <f>""</f>
        <v/>
      </c>
      <c r="Y77" t="str">
        <f>""</f>
        <v/>
      </c>
      <c r="Z77" t="str">
        <f>""</f>
        <v/>
      </c>
      <c r="AA77" t="str">
        <f>""</f>
        <v/>
      </c>
      <c r="AB77" t="str">
        <f>""</f>
        <v/>
      </c>
      <c r="AC77" t="str">
        <f>""</f>
        <v/>
      </c>
      <c r="AD77" t="str">
        <f>""</f>
        <v/>
      </c>
      <c r="AE77" t="str">
        <f>""</f>
        <v/>
      </c>
    </row>
    <row r="78" spans="1:31" x14ac:dyDescent="0.2">
      <c r="A78" t="str">
        <f>$A$9</f>
        <v xml:space="preserve">    Asia - Europe</v>
      </c>
      <c r="B78" t="str">
        <f>$B$9</f>
        <v>CSHVAEUR Index</v>
      </c>
      <c r="C78" t="str">
        <f>$C$9</f>
        <v>PX385</v>
      </c>
      <c r="D78" t="str">
        <f>$D$9</f>
        <v>INTERVAL_SUM</v>
      </c>
      <c r="E78" t="str">
        <f>$E$9</f>
        <v>Dynamic</v>
      </c>
      <c r="F78" t="e">
        <f ca="1">_xll.BDP($B$9,$C$9,CONCATENATE("PX391=", $F$71), CONCATENATE("PX392=",$F$72), CONCATENATE("DS004=",$B$64), "Fill=B")</f>
        <v>#NAME?</v>
      </c>
      <c r="G78" t="e">
        <f ca="1">_xll.BDP($B$9,$C$9,CONCATENATE("PX391=", $G$71), CONCATENATE("PX392=",$G$72), CONCATENATE("DS004=",$B$64), "Fill=B")</f>
        <v>#NAME?</v>
      </c>
      <c r="H78" t="e">
        <f ca="1">_xll.BDP($B$9,$C$9,CONCATENATE("PX391=", $H$71), CONCATENATE("PX392=",$H$72), CONCATENATE("DS004=",$B$64), "Fill=B")</f>
        <v>#NAME?</v>
      </c>
      <c r="I78" t="e">
        <f ca="1">_xll.BDP($B$9,$C$9,CONCATENATE("PX391=", $I$71), CONCATENATE("PX392=",$I$72), CONCATENATE("DS004=",$B$64), "Fill=B")</f>
        <v>#NAME?</v>
      </c>
      <c r="J78" t="e">
        <f ca="1">_xll.BDP($B$9,$C$9,CONCATENATE("PX391=", $J$71), CONCATENATE("PX392=",$J$72), CONCATENATE("DS004=",$B$64), "Fill=B")</f>
        <v>#NAME?</v>
      </c>
      <c r="K78" t="e">
        <f ca="1">_xll.BDP($B$9,$C$9,CONCATENATE("PX391=", $K$71), CONCATENATE("PX392=",$K$72), CONCATENATE("DS004=",$B$64), "Fill=B")</f>
        <v>#NAME?</v>
      </c>
      <c r="L78" t="e">
        <f ca="1">_xll.BDP($B$9,$C$9,CONCATENATE("PX391=", $L$71), CONCATENATE("PX392=",$L$72), CONCATENATE("DS004=",$B$64), "Fill=B")</f>
        <v>#NAME?</v>
      </c>
      <c r="M78" t="e">
        <f ca="1">_xll.BDP($B$9,$C$9,CONCATENATE("PX391=", $M$71), CONCATENATE("PX392=",$M$72), CONCATENATE("DS004=",$B$64), "Fill=B")</f>
        <v>#NAME?</v>
      </c>
      <c r="N78" t="e">
        <f ca="1">_xll.BDP($B$9,$C$9,CONCATENATE("PX391=", $N$71), CONCATENATE("PX392=",$N$72), CONCATENATE("DS004=",$B$64), "Fill=B")</f>
        <v>#NAME?</v>
      </c>
      <c r="O78" t="e">
        <f ca="1">_xll.BDP($B$9,$C$9,CONCATENATE("PX391=", $O$71), CONCATENATE("PX392=",$O$72), CONCATENATE("DS004=",$B$64), "Fill=B")</f>
        <v>#NAME?</v>
      </c>
      <c r="P78" t="e">
        <f ca="1">_xll.BDP($B$9,$C$9,CONCATENATE("PX391=", $P$71), CONCATENATE("PX392=",$P$72), CONCATENATE("DS004=",$B$64), "Fill=B")</f>
        <v>#NAME?</v>
      </c>
      <c r="Q78" t="e">
        <f ca="1">_xll.BDP($B$9,$C$9,CONCATENATE("PX391=", $Q$71), CONCATENATE("PX392=",$Q$72), CONCATENATE("DS004=",$B$64), "Fill=B")</f>
        <v>#NAME?</v>
      </c>
      <c r="R78" t="e">
        <f ca="1">_xll.BDP($B$9,$C$9,CONCATENATE("PX391=", $R$71), CONCATENATE("PX392=",$R$72), CONCATENATE("DS004=",$B$64), "Fill=B")</f>
        <v>#NAME?</v>
      </c>
      <c r="S78" t="str">
        <f>""</f>
        <v/>
      </c>
      <c r="T78" t="str">
        <f>""</f>
        <v/>
      </c>
      <c r="U78" t="str">
        <f>""</f>
        <v/>
      </c>
      <c r="V78" t="str">
        <f>""</f>
        <v/>
      </c>
      <c r="W78" t="str">
        <f>""</f>
        <v/>
      </c>
      <c r="X78" t="str">
        <f>""</f>
        <v/>
      </c>
      <c r="Y78" t="str">
        <f>""</f>
        <v/>
      </c>
      <c r="Z78" t="str">
        <f>""</f>
        <v/>
      </c>
      <c r="AA78" t="str">
        <f>""</f>
        <v/>
      </c>
      <c r="AB78" t="str">
        <f>""</f>
        <v/>
      </c>
      <c r="AC78" t="str">
        <f>""</f>
        <v/>
      </c>
      <c r="AD78" t="str">
        <f>""</f>
        <v/>
      </c>
      <c r="AE78" t="str">
        <f>""</f>
        <v/>
      </c>
    </row>
    <row r="79" spans="1:31" x14ac:dyDescent="0.2">
      <c r="A79" t="str">
        <f>$A$10</f>
        <v xml:space="preserve">    Asia - Indian Sub Cont. &amp; Middle East</v>
      </c>
      <c r="B79" t="str">
        <f>$B$10</f>
        <v>CSHVAIME Index</v>
      </c>
      <c r="C79" t="str">
        <f>$C$10</f>
        <v>PX385</v>
      </c>
      <c r="D79" t="str">
        <f>$D$10</f>
        <v>INTERVAL_SUM</v>
      </c>
      <c r="E79" t="str">
        <f>$E$10</f>
        <v>Dynamic</v>
      </c>
      <c r="F79" t="e">
        <f ca="1">_xll.BDP($B$10,$C$10,CONCATENATE("PX391=", $F$71), CONCATENATE("PX392=",$F$72), CONCATENATE("DS004=",$B$64), "Fill=B")</f>
        <v>#NAME?</v>
      </c>
      <c r="G79" t="e">
        <f ca="1">_xll.BDP($B$10,$C$10,CONCATENATE("PX391=", $G$71), CONCATENATE("PX392=",$G$72), CONCATENATE("DS004=",$B$64), "Fill=B")</f>
        <v>#NAME?</v>
      </c>
      <c r="H79" t="e">
        <f ca="1">_xll.BDP($B$10,$C$10,CONCATENATE("PX391=", $H$71), CONCATENATE("PX392=",$H$72), CONCATENATE("DS004=",$B$64), "Fill=B")</f>
        <v>#NAME?</v>
      </c>
      <c r="I79" t="e">
        <f ca="1">_xll.BDP($B$10,$C$10,CONCATENATE("PX391=", $I$71), CONCATENATE("PX392=",$I$72), CONCATENATE("DS004=",$B$64), "Fill=B")</f>
        <v>#NAME?</v>
      </c>
      <c r="J79" t="e">
        <f ca="1">_xll.BDP($B$10,$C$10,CONCATENATE("PX391=", $J$71), CONCATENATE("PX392=",$J$72), CONCATENATE("DS004=",$B$64), "Fill=B")</f>
        <v>#NAME?</v>
      </c>
      <c r="K79" t="e">
        <f ca="1">_xll.BDP($B$10,$C$10,CONCATENATE("PX391=", $K$71), CONCATENATE("PX392=",$K$72), CONCATENATE("DS004=",$B$64), "Fill=B")</f>
        <v>#NAME?</v>
      </c>
      <c r="L79" t="e">
        <f ca="1">_xll.BDP($B$10,$C$10,CONCATENATE("PX391=", $L$71), CONCATENATE("PX392=",$L$72), CONCATENATE("DS004=",$B$64), "Fill=B")</f>
        <v>#NAME?</v>
      </c>
      <c r="M79" t="e">
        <f ca="1">_xll.BDP($B$10,$C$10,CONCATENATE("PX391=", $M$71), CONCATENATE("PX392=",$M$72), CONCATENATE("DS004=",$B$64), "Fill=B")</f>
        <v>#NAME?</v>
      </c>
      <c r="N79" t="e">
        <f ca="1">_xll.BDP($B$10,$C$10,CONCATENATE("PX391=", $N$71), CONCATENATE("PX392=",$N$72), CONCATENATE("DS004=",$B$64), "Fill=B")</f>
        <v>#NAME?</v>
      </c>
      <c r="O79" t="e">
        <f ca="1">_xll.BDP($B$10,$C$10,CONCATENATE("PX391=", $O$71), CONCATENATE("PX392=",$O$72), CONCATENATE("DS004=",$B$64), "Fill=B")</f>
        <v>#NAME?</v>
      </c>
      <c r="P79" t="e">
        <f ca="1">_xll.BDP($B$10,$C$10,CONCATENATE("PX391=", $P$71), CONCATENATE("PX392=",$P$72), CONCATENATE("DS004=",$B$64), "Fill=B")</f>
        <v>#NAME?</v>
      </c>
      <c r="Q79" t="e">
        <f ca="1">_xll.BDP($B$10,$C$10,CONCATENATE("PX391=", $Q$71), CONCATENATE("PX392=",$Q$72), CONCATENATE("DS004=",$B$64), "Fill=B")</f>
        <v>#NAME?</v>
      </c>
      <c r="R79" t="e">
        <f ca="1">_xll.BDP($B$10,$C$10,CONCATENATE("PX391=", $R$71), CONCATENATE("PX392=",$R$72), CONCATENATE("DS004=",$B$64), "Fill=B")</f>
        <v>#NAME?</v>
      </c>
      <c r="S79" t="str">
        <f>""</f>
        <v/>
      </c>
      <c r="T79" t="str">
        <f>""</f>
        <v/>
      </c>
      <c r="U79" t="str">
        <f>""</f>
        <v/>
      </c>
      <c r="V79" t="str">
        <f>""</f>
        <v/>
      </c>
      <c r="W79" t="str">
        <f>""</f>
        <v/>
      </c>
      <c r="X79" t="str">
        <f>""</f>
        <v/>
      </c>
      <c r="Y79" t="str">
        <f>""</f>
        <v/>
      </c>
      <c r="Z79" t="str">
        <f>""</f>
        <v/>
      </c>
      <c r="AA79" t="str">
        <f>""</f>
        <v/>
      </c>
      <c r="AB79" t="str">
        <f>""</f>
        <v/>
      </c>
      <c r="AC79" t="str">
        <f>""</f>
        <v/>
      </c>
      <c r="AD79" t="str">
        <f>""</f>
        <v/>
      </c>
      <c r="AE79" t="str">
        <f>""</f>
        <v/>
      </c>
    </row>
    <row r="80" spans="1:31" x14ac:dyDescent="0.2">
      <c r="A80" t="str">
        <f>$A$11</f>
        <v xml:space="preserve">    Australasia &amp; Oceania - South &amp; Central America</v>
      </c>
      <c r="B80" t="str">
        <f>$B$11</f>
        <v>CSHVOSCA Index</v>
      </c>
      <c r="C80" t="str">
        <f>$C$11</f>
        <v>PX385</v>
      </c>
      <c r="D80" t="str">
        <f>$D$11</f>
        <v>INTERVAL_SUM</v>
      </c>
      <c r="E80" t="str">
        <f>$E$11</f>
        <v>Dynamic</v>
      </c>
      <c r="F80" t="e">
        <f ca="1">_xll.BDP($B$11,$C$11,CONCATENATE("PX391=", $F$71), CONCATENATE("PX392=",$F$72), CONCATENATE("DS004=",$B$64), "Fill=B")</f>
        <v>#NAME?</v>
      </c>
      <c r="G80" t="e">
        <f ca="1">_xll.BDP($B$11,$C$11,CONCATENATE("PX391=", $G$71), CONCATENATE("PX392=",$G$72), CONCATENATE("DS004=",$B$64), "Fill=B")</f>
        <v>#NAME?</v>
      </c>
      <c r="H80" t="e">
        <f ca="1">_xll.BDP($B$11,$C$11,CONCATENATE("PX391=", $H$71), CONCATENATE("PX392=",$H$72), CONCATENATE("DS004=",$B$64), "Fill=B")</f>
        <v>#NAME?</v>
      </c>
      <c r="I80" t="e">
        <f ca="1">_xll.BDP($B$11,$C$11,CONCATENATE("PX391=", $I$71), CONCATENATE("PX392=",$I$72), CONCATENATE("DS004=",$B$64), "Fill=B")</f>
        <v>#NAME?</v>
      </c>
      <c r="J80" t="e">
        <f ca="1">_xll.BDP($B$11,$C$11,CONCATENATE("PX391=", $J$71), CONCATENATE("PX392=",$J$72), CONCATENATE("DS004=",$B$64), "Fill=B")</f>
        <v>#NAME?</v>
      </c>
      <c r="K80" t="e">
        <f ca="1">_xll.BDP($B$11,$C$11,CONCATENATE("PX391=", $K$71), CONCATENATE("PX392=",$K$72), CONCATENATE("DS004=",$B$64), "Fill=B")</f>
        <v>#NAME?</v>
      </c>
      <c r="L80" t="e">
        <f ca="1">_xll.BDP($B$11,$C$11,CONCATENATE("PX391=", $L$71), CONCATENATE("PX392=",$L$72), CONCATENATE("DS004=",$B$64), "Fill=B")</f>
        <v>#NAME?</v>
      </c>
      <c r="M80" t="e">
        <f ca="1">_xll.BDP($B$11,$C$11,CONCATENATE("PX391=", $M$71), CONCATENATE("PX392=",$M$72), CONCATENATE("DS004=",$B$64), "Fill=B")</f>
        <v>#NAME?</v>
      </c>
      <c r="N80" t="e">
        <f ca="1">_xll.BDP($B$11,$C$11,CONCATENATE("PX391=", $N$71), CONCATENATE("PX392=",$N$72), CONCATENATE("DS004=",$B$64), "Fill=B")</f>
        <v>#NAME?</v>
      </c>
      <c r="O80" t="e">
        <f ca="1">_xll.BDP($B$11,$C$11,CONCATENATE("PX391=", $O$71), CONCATENATE("PX392=",$O$72), CONCATENATE("DS004=",$B$64), "Fill=B")</f>
        <v>#NAME?</v>
      </c>
      <c r="P80" t="e">
        <f ca="1">_xll.BDP($B$11,$C$11,CONCATENATE("PX391=", $P$71), CONCATENATE("PX392=",$P$72), CONCATENATE("DS004=",$B$64), "Fill=B")</f>
        <v>#NAME?</v>
      </c>
      <c r="Q80" t="e">
        <f ca="1">_xll.BDP($B$11,$C$11,CONCATENATE("PX391=", $Q$71), CONCATENATE("PX392=",$Q$72), CONCATENATE("DS004=",$B$64), "Fill=B")</f>
        <v>#NAME?</v>
      </c>
      <c r="R80" t="e">
        <f ca="1">_xll.BDP($B$11,$C$11,CONCATENATE("PX391=", $R$71), CONCATENATE("PX392=",$R$72), CONCATENATE("DS004=",$B$64), "Fill=B")</f>
        <v>#NAME?</v>
      </c>
      <c r="S80" t="str">
        <f>""</f>
        <v/>
      </c>
      <c r="T80" t="str">
        <f>""</f>
        <v/>
      </c>
      <c r="U80" t="str">
        <f>""</f>
        <v/>
      </c>
      <c r="V80" t="str">
        <f>""</f>
        <v/>
      </c>
      <c r="W80" t="str">
        <f>""</f>
        <v/>
      </c>
      <c r="X80" t="str">
        <f>""</f>
        <v/>
      </c>
      <c r="Y80" t="str">
        <f>""</f>
        <v/>
      </c>
      <c r="Z80" t="str">
        <f>""</f>
        <v/>
      </c>
      <c r="AA80" t="str">
        <f>""</f>
        <v/>
      </c>
      <c r="AB80" t="str">
        <f>""</f>
        <v/>
      </c>
      <c r="AC80" t="str">
        <f>""</f>
        <v/>
      </c>
      <c r="AD80" t="str">
        <f>""</f>
        <v/>
      </c>
      <c r="AE80" t="str">
        <f>""</f>
        <v/>
      </c>
    </row>
    <row r="81" spans="1:31" x14ac:dyDescent="0.2">
      <c r="A81" t="str">
        <f>$A$12</f>
        <v xml:space="preserve">    Australasia &amp; Oceania - Europe</v>
      </c>
      <c r="B81" t="str">
        <f>$B$12</f>
        <v>CSHVOEUR Index</v>
      </c>
      <c r="C81" t="str">
        <f>$C$12</f>
        <v>PX385</v>
      </c>
      <c r="D81" t="str">
        <f>$D$12</f>
        <v>INTERVAL_SUM</v>
      </c>
      <c r="E81" t="str">
        <f>$E$12</f>
        <v>Dynamic</v>
      </c>
      <c r="F81" t="e">
        <f ca="1">_xll.BDP($B$12,$C$12,CONCATENATE("PX391=", $F$71), CONCATENATE("PX392=",$F$72), CONCATENATE("DS004=",$B$64), "Fill=B")</f>
        <v>#NAME?</v>
      </c>
      <c r="G81" t="e">
        <f ca="1">_xll.BDP($B$12,$C$12,CONCATENATE("PX391=", $G$71), CONCATENATE("PX392=",$G$72), CONCATENATE("DS004=",$B$64), "Fill=B")</f>
        <v>#NAME?</v>
      </c>
      <c r="H81" t="e">
        <f ca="1">_xll.BDP($B$12,$C$12,CONCATENATE("PX391=", $H$71), CONCATENATE("PX392=",$H$72), CONCATENATE("DS004=",$B$64), "Fill=B")</f>
        <v>#NAME?</v>
      </c>
      <c r="I81" t="e">
        <f ca="1">_xll.BDP($B$12,$C$12,CONCATENATE("PX391=", $I$71), CONCATENATE("PX392=",$I$72), CONCATENATE("DS004=",$B$64), "Fill=B")</f>
        <v>#NAME?</v>
      </c>
      <c r="J81" t="e">
        <f ca="1">_xll.BDP($B$12,$C$12,CONCATENATE("PX391=", $J$71), CONCATENATE("PX392=",$J$72), CONCATENATE("DS004=",$B$64), "Fill=B")</f>
        <v>#NAME?</v>
      </c>
      <c r="K81" t="e">
        <f ca="1">_xll.BDP($B$12,$C$12,CONCATENATE("PX391=", $K$71), CONCATENATE("PX392=",$K$72), CONCATENATE("DS004=",$B$64), "Fill=B")</f>
        <v>#NAME?</v>
      </c>
      <c r="L81" t="e">
        <f ca="1">_xll.BDP($B$12,$C$12,CONCATENATE("PX391=", $L$71), CONCATENATE("PX392=",$L$72), CONCATENATE("DS004=",$B$64), "Fill=B")</f>
        <v>#NAME?</v>
      </c>
      <c r="M81" t="e">
        <f ca="1">_xll.BDP($B$12,$C$12,CONCATENATE("PX391=", $M$71), CONCATENATE("PX392=",$M$72), CONCATENATE("DS004=",$B$64), "Fill=B")</f>
        <v>#NAME?</v>
      </c>
      <c r="N81" t="e">
        <f ca="1">_xll.BDP($B$12,$C$12,CONCATENATE("PX391=", $N$71), CONCATENATE("PX392=",$N$72), CONCATENATE("DS004=",$B$64), "Fill=B")</f>
        <v>#NAME?</v>
      </c>
      <c r="O81" t="e">
        <f ca="1">_xll.BDP($B$12,$C$12,CONCATENATE("PX391=", $O$71), CONCATENATE("PX392=",$O$72), CONCATENATE("DS004=",$B$64), "Fill=B")</f>
        <v>#NAME?</v>
      </c>
      <c r="P81" t="e">
        <f ca="1">_xll.BDP($B$12,$C$12,CONCATENATE("PX391=", $P$71), CONCATENATE("PX392=",$P$72), CONCATENATE("DS004=",$B$64), "Fill=B")</f>
        <v>#NAME?</v>
      </c>
      <c r="Q81" t="e">
        <f ca="1">_xll.BDP($B$12,$C$12,CONCATENATE("PX391=", $Q$71), CONCATENATE("PX392=",$Q$72), CONCATENATE("DS004=",$B$64), "Fill=B")</f>
        <v>#NAME?</v>
      </c>
      <c r="R81" t="e">
        <f ca="1">_xll.BDP($B$12,$C$12,CONCATENATE("PX391=", $R$71), CONCATENATE("PX392=",$R$72), CONCATENATE("DS004=",$B$64), "Fill=B")</f>
        <v>#NAME?</v>
      </c>
      <c r="S81" t="str">
        <f>""</f>
        <v/>
      </c>
      <c r="T81" t="str">
        <f>""</f>
        <v/>
      </c>
      <c r="U81" t="str">
        <f>""</f>
        <v/>
      </c>
      <c r="V81" t="str">
        <f>""</f>
        <v/>
      </c>
      <c r="W81" t="str">
        <f>""</f>
        <v/>
      </c>
      <c r="X81" t="str">
        <f>""</f>
        <v/>
      </c>
      <c r="Y81" t="str">
        <f>""</f>
        <v/>
      </c>
      <c r="Z81" t="str">
        <f>""</f>
        <v/>
      </c>
      <c r="AA81" t="str">
        <f>""</f>
        <v/>
      </c>
      <c r="AB81" t="str">
        <f>""</f>
        <v/>
      </c>
      <c r="AC81" t="str">
        <f>""</f>
        <v/>
      </c>
      <c r="AD81" t="str">
        <f>""</f>
        <v/>
      </c>
      <c r="AE81" t="str">
        <f>""</f>
        <v/>
      </c>
    </row>
    <row r="82" spans="1:31" x14ac:dyDescent="0.2">
      <c r="A82" t="str">
        <f>$A$13</f>
        <v xml:space="preserve">    Australasia &amp; Oceania - Asia</v>
      </c>
      <c r="B82" t="str">
        <f>$B$13</f>
        <v>CSHVOASR Index</v>
      </c>
      <c r="C82" t="str">
        <f>$C$13</f>
        <v>PX385</v>
      </c>
      <c r="D82" t="str">
        <f>$D$13</f>
        <v>INTERVAL_SUM</v>
      </c>
      <c r="E82" t="str">
        <f>$E$13</f>
        <v>Dynamic</v>
      </c>
      <c r="F82" t="e">
        <f ca="1">_xll.BDP($B$13,$C$13,CONCATENATE("PX391=", $F$71), CONCATENATE("PX392=",$F$72), CONCATENATE("DS004=",$B$64), "Fill=B")</f>
        <v>#NAME?</v>
      </c>
      <c r="G82" t="e">
        <f ca="1">_xll.BDP($B$13,$C$13,CONCATENATE("PX391=", $G$71), CONCATENATE("PX392=",$G$72), CONCATENATE("DS004=",$B$64), "Fill=B")</f>
        <v>#NAME?</v>
      </c>
      <c r="H82" t="e">
        <f ca="1">_xll.BDP($B$13,$C$13,CONCATENATE("PX391=", $H$71), CONCATENATE("PX392=",$H$72), CONCATENATE("DS004=",$B$64), "Fill=B")</f>
        <v>#NAME?</v>
      </c>
      <c r="I82" t="e">
        <f ca="1">_xll.BDP($B$13,$C$13,CONCATENATE("PX391=", $I$71), CONCATENATE("PX392=",$I$72), CONCATENATE("DS004=",$B$64), "Fill=B")</f>
        <v>#NAME?</v>
      </c>
      <c r="J82" t="e">
        <f ca="1">_xll.BDP($B$13,$C$13,CONCATENATE("PX391=", $J$71), CONCATENATE("PX392=",$J$72), CONCATENATE("DS004=",$B$64), "Fill=B")</f>
        <v>#NAME?</v>
      </c>
      <c r="K82" t="e">
        <f ca="1">_xll.BDP($B$13,$C$13,CONCATENATE("PX391=", $K$71), CONCATENATE("PX392=",$K$72), CONCATENATE("DS004=",$B$64), "Fill=B")</f>
        <v>#NAME?</v>
      </c>
      <c r="L82" t="e">
        <f ca="1">_xll.BDP($B$13,$C$13,CONCATENATE("PX391=", $L$71), CONCATENATE("PX392=",$L$72), CONCATENATE("DS004=",$B$64), "Fill=B")</f>
        <v>#NAME?</v>
      </c>
      <c r="M82" t="e">
        <f ca="1">_xll.BDP($B$13,$C$13,CONCATENATE("PX391=", $M$71), CONCATENATE("PX392=",$M$72), CONCATENATE("DS004=",$B$64), "Fill=B")</f>
        <v>#NAME?</v>
      </c>
      <c r="N82" t="e">
        <f ca="1">_xll.BDP($B$13,$C$13,CONCATENATE("PX391=", $N$71), CONCATENATE("PX392=",$N$72), CONCATENATE("DS004=",$B$64), "Fill=B")</f>
        <v>#NAME?</v>
      </c>
      <c r="O82" t="e">
        <f ca="1">_xll.BDP($B$13,$C$13,CONCATENATE("PX391=", $O$71), CONCATENATE("PX392=",$O$72), CONCATENATE("DS004=",$B$64), "Fill=B")</f>
        <v>#NAME?</v>
      </c>
      <c r="P82" t="e">
        <f ca="1">_xll.BDP($B$13,$C$13,CONCATENATE("PX391=", $P$71), CONCATENATE("PX392=",$P$72), CONCATENATE("DS004=",$B$64), "Fill=B")</f>
        <v>#NAME?</v>
      </c>
      <c r="Q82" t="e">
        <f ca="1">_xll.BDP($B$13,$C$13,CONCATENATE("PX391=", $Q$71), CONCATENATE("PX392=",$Q$72), CONCATENATE("DS004=",$B$64), "Fill=B")</f>
        <v>#NAME?</v>
      </c>
      <c r="R82" t="e">
        <f ca="1">_xll.BDP($B$13,$C$13,CONCATENATE("PX391=", $R$71), CONCATENATE("PX392=",$R$72), CONCATENATE("DS004=",$B$64), "Fill=B")</f>
        <v>#NAME?</v>
      </c>
      <c r="S82" t="str">
        <f>""</f>
        <v/>
      </c>
      <c r="T82" t="str">
        <f>""</f>
        <v/>
      </c>
      <c r="U82" t="str">
        <f>""</f>
        <v/>
      </c>
      <c r="V82" t="str">
        <f>""</f>
        <v/>
      </c>
      <c r="W82" t="str">
        <f>""</f>
        <v/>
      </c>
      <c r="X82" t="str">
        <f>""</f>
        <v/>
      </c>
      <c r="Y82" t="str">
        <f>""</f>
        <v/>
      </c>
      <c r="Z82" t="str">
        <f>""</f>
        <v/>
      </c>
      <c r="AA82" t="str">
        <f>""</f>
        <v/>
      </c>
      <c r="AB82" t="str">
        <f>""</f>
        <v/>
      </c>
      <c r="AC82" t="str">
        <f>""</f>
        <v/>
      </c>
      <c r="AD82" t="str">
        <f>""</f>
        <v/>
      </c>
      <c r="AE82" t="str">
        <f>""</f>
        <v/>
      </c>
    </row>
    <row r="83" spans="1:31" x14ac:dyDescent="0.2">
      <c r="A83" t="str">
        <f>$A$14</f>
        <v xml:space="preserve">    Australasia &amp; Oceania - North America</v>
      </c>
      <c r="B83" t="str">
        <f>$B$14</f>
        <v>CSHVONAR Index</v>
      </c>
      <c r="C83" t="str">
        <f>$C$14</f>
        <v>PX385</v>
      </c>
      <c r="D83" t="str">
        <f>$D$14</f>
        <v>INTERVAL_SUM</v>
      </c>
      <c r="E83" t="str">
        <f>$E$14</f>
        <v>Dynamic</v>
      </c>
      <c r="F83" t="e">
        <f ca="1">_xll.BDP($B$14,$C$14,CONCATENATE("PX391=", $F$71), CONCATENATE("PX392=",$F$72), CONCATENATE("DS004=",$B$64), "Fill=B")</f>
        <v>#NAME?</v>
      </c>
      <c r="G83" t="e">
        <f ca="1">_xll.BDP($B$14,$C$14,CONCATENATE("PX391=", $G$71), CONCATENATE("PX392=",$G$72), CONCATENATE("DS004=",$B$64), "Fill=B")</f>
        <v>#NAME?</v>
      </c>
      <c r="H83" t="e">
        <f ca="1">_xll.BDP($B$14,$C$14,CONCATENATE("PX391=", $H$71), CONCATENATE("PX392=",$H$72), CONCATENATE("DS004=",$B$64), "Fill=B")</f>
        <v>#NAME?</v>
      </c>
      <c r="I83" t="e">
        <f ca="1">_xll.BDP($B$14,$C$14,CONCATENATE("PX391=", $I$71), CONCATENATE("PX392=",$I$72), CONCATENATE("DS004=",$B$64), "Fill=B")</f>
        <v>#NAME?</v>
      </c>
      <c r="J83" t="e">
        <f ca="1">_xll.BDP($B$14,$C$14,CONCATENATE("PX391=", $J$71), CONCATENATE("PX392=",$J$72), CONCATENATE("DS004=",$B$64), "Fill=B")</f>
        <v>#NAME?</v>
      </c>
      <c r="K83" t="e">
        <f ca="1">_xll.BDP($B$14,$C$14,CONCATENATE("PX391=", $K$71), CONCATENATE("PX392=",$K$72), CONCATENATE("DS004=",$B$64), "Fill=B")</f>
        <v>#NAME?</v>
      </c>
      <c r="L83" t="e">
        <f ca="1">_xll.BDP($B$14,$C$14,CONCATENATE("PX391=", $L$71), CONCATENATE("PX392=",$L$72), CONCATENATE("DS004=",$B$64), "Fill=B")</f>
        <v>#NAME?</v>
      </c>
      <c r="M83" t="e">
        <f ca="1">_xll.BDP($B$14,$C$14,CONCATENATE("PX391=", $M$71), CONCATENATE("PX392=",$M$72), CONCATENATE("DS004=",$B$64), "Fill=B")</f>
        <v>#NAME?</v>
      </c>
      <c r="N83" t="e">
        <f ca="1">_xll.BDP($B$14,$C$14,CONCATENATE("PX391=", $N$71), CONCATENATE("PX392=",$N$72), CONCATENATE("DS004=",$B$64), "Fill=B")</f>
        <v>#NAME?</v>
      </c>
      <c r="O83" t="e">
        <f ca="1">_xll.BDP($B$14,$C$14,CONCATENATE("PX391=", $O$71), CONCATENATE("PX392=",$O$72), CONCATENATE("DS004=",$B$64), "Fill=B")</f>
        <v>#NAME?</v>
      </c>
      <c r="P83" t="e">
        <f ca="1">_xll.BDP($B$14,$C$14,CONCATENATE("PX391=", $P$71), CONCATENATE("PX392=",$P$72), CONCATENATE("DS004=",$B$64), "Fill=B")</f>
        <v>#NAME?</v>
      </c>
      <c r="Q83" t="e">
        <f ca="1">_xll.BDP($B$14,$C$14,CONCATENATE("PX391=", $Q$71), CONCATENATE("PX392=",$Q$72), CONCATENATE("DS004=",$B$64), "Fill=B")</f>
        <v>#NAME?</v>
      </c>
      <c r="R83" t="e">
        <f ca="1">_xll.BDP($B$14,$C$14,CONCATENATE("PX391=", $R$71), CONCATENATE("PX392=",$R$72), CONCATENATE("DS004=",$B$64), "Fill=B")</f>
        <v>#NAME?</v>
      </c>
      <c r="S83" t="str">
        <f>""</f>
        <v/>
      </c>
      <c r="T83" t="str">
        <f>""</f>
        <v/>
      </c>
      <c r="U83" t="str">
        <f>""</f>
        <v/>
      </c>
      <c r="V83" t="str">
        <f>""</f>
        <v/>
      </c>
      <c r="W83" t="str">
        <f>""</f>
        <v/>
      </c>
      <c r="X83" t="str">
        <f>""</f>
        <v/>
      </c>
      <c r="Y83" t="str">
        <f>""</f>
        <v/>
      </c>
      <c r="Z83" t="str">
        <f>""</f>
        <v/>
      </c>
      <c r="AA83" t="str">
        <f>""</f>
        <v/>
      </c>
      <c r="AB83" t="str">
        <f>""</f>
        <v/>
      </c>
      <c r="AC83" t="str">
        <f>""</f>
        <v/>
      </c>
      <c r="AD83" t="str">
        <f>""</f>
        <v/>
      </c>
      <c r="AE83" t="str">
        <f>""</f>
        <v/>
      </c>
    </row>
    <row r="84" spans="1:31" x14ac:dyDescent="0.2">
      <c r="A84" t="str">
        <f>$A$15</f>
        <v xml:space="preserve">    Australasia &amp; Oceania - Australasia &amp; Oceania</v>
      </c>
      <c r="B84" t="str">
        <f>$B$15</f>
        <v>CSHVOAUO Index</v>
      </c>
      <c r="C84" t="str">
        <f>$C$15</f>
        <v>PX385</v>
      </c>
      <c r="D84" t="str">
        <f>$D$15</f>
        <v>INTERVAL_SUM</v>
      </c>
      <c r="E84" t="str">
        <f>$E$15</f>
        <v>Dynamic</v>
      </c>
      <c r="F84" t="e">
        <f ca="1">_xll.BDP($B$15,$C$15,CONCATENATE("PX391=", $F$71), CONCATENATE("PX392=",$F$72), CONCATENATE("DS004=",$B$64), "Fill=B")</f>
        <v>#NAME?</v>
      </c>
      <c r="G84" t="e">
        <f ca="1">_xll.BDP($B$15,$C$15,CONCATENATE("PX391=", $G$71), CONCATENATE("PX392=",$G$72), CONCATENATE("DS004=",$B$64), "Fill=B")</f>
        <v>#NAME?</v>
      </c>
      <c r="H84" t="e">
        <f ca="1">_xll.BDP($B$15,$C$15,CONCATENATE("PX391=", $H$71), CONCATENATE("PX392=",$H$72), CONCATENATE("DS004=",$B$64), "Fill=B")</f>
        <v>#NAME?</v>
      </c>
      <c r="I84" t="e">
        <f ca="1">_xll.BDP($B$15,$C$15,CONCATENATE("PX391=", $I$71), CONCATENATE("PX392=",$I$72), CONCATENATE("DS004=",$B$64), "Fill=B")</f>
        <v>#NAME?</v>
      </c>
      <c r="J84" t="e">
        <f ca="1">_xll.BDP($B$15,$C$15,CONCATENATE("PX391=", $J$71), CONCATENATE("PX392=",$J$72), CONCATENATE("DS004=",$B$64), "Fill=B")</f>
        <v>#NAME?</v>
      </c>
      <c r="K84" t="e">
        <f ca="1">_xll.BDP($B$15,$C$15,CONCATENATE("PX391=", $K$71), CONCATENATE("PX392=",$K$72), CONCATENATE("DS004=",$B$64), "Fill=B")</f>
        <v>#NAME?</v>
      </c>
      <c r="L84" t="e">
        <f ca="1">_xll.BDP($B$15,$C$15,CONCATENATE("PX391=", $L$71), CONCATENATE("PX392=",$L$72), CONCATENATE("DS004=",$B$64), "Fill=B")</f>
        <v>#NAME?</v>
      </c>
      <c r="M84" t="e">
        <f ca="1">_xll.BDP($B$15,$C$15,CONCATENATE("PX391=", $M$71), CONCATENATE("PX392=",$M$72), CONCATENATE("DS004=",$B$64), "Fill=B")</f>
        <v>#NAME?</v>
      </c>
      <c r="N84" t="e">
        <f ca="1">_xll.BDP($B$15,$C$15,CONCATENATE("PX391=", $N$71), CONCATENATE("PX392=",$N$72), CONCATENATE("DS004=",$B$64), "Fill=B")</f>
        <v>#NAME?</v>
      </c>
      <c r="O84" t="e">
        <f ca="1">_xll.BDP($B$15,$C$15,CONCATENATE("PX391=", $O$71), CONCATENATE("PX392=",$O$72), CONCATENATE("DS004=",$B$64), "Fill=B")</f>
        <v>#NAME?</v>
      </c>
      <c r="P84" t="e">
        <f ca="1">_xll.BDP($B$15,$C$15,CONCATENATE("PX391=", $P$71), CONCATENATE("PX392=",$P$72), CONCATENATE("DS004=",$B$64), "Fill=B")</f>
        <v>#NAME?</v>
      </c>
      <c r="Q84" t="e">
        <f ca="1">_xll.BDP($B$15,$C$15,CONCATENATE("PX391=", $Q$71), CONCATENATE("PX392=",$Q$72), CONCATENATE("DS004=",$B$64), "Fill=B")</f>
        <v>#NAME?</v>
      </c>
      <c r="R84" t="e">
        <f ca="1">_xll.BDP($B$15,$C$15,CONCATENATE("PX391=", $R$71), CONCATENATE("PX392=",$R$72), CONCATENATE("DS004=",$B$64), "Fill=B")</f>
        <v>#NAME?</v>
      </c>
      <c r="S84" t="str">
        <f>""</f>
        <v/>
      </c>
      <c r="T84" t="str">
        <f>""</f>
        <v/>
      </c>
      <c r="U84" t="str">
        <f>""</f>
        <v/>
      </c>
      <c r="V84" t="str">
        <f>""</f>
        <v/>
      </c>
      <c r="W84" t="str">
        <f>""</f>
        <v/>
      </c>
      <c r="X84" t="str">
        <f>""</f>
        <v/>
      </c>
      <c r="Y84" t="str">
        <f>""</f>
        <v/>
      </c>
      <c r="Z84" t="str">
        <f>""</f>
        <v/>
      </c>
      <c r="AA84" t="str">
        <f>""</f>
        <v/>
      </c>
      <c r="AB84" t="str">
        <f>""</f>
        <v/>
      </c>
      <c r="AC84" t="str">
        <f>""</f>
        <v/>
      </c>
      <c r="AD84" t="str">
        <f>""</f>
        <v/>
      </c>
      <c r="AE84" t="str">
        <f>""</f>
        <v/>
      </c>
    </row>
    <row r="85" spans="1:31" x14ac:dyDescent="0.2">
      <c r="A85" t="str">
        <f>$A$16</f>
        <v xml:space="preserve">    Australasia &amp; Oceania - Sub Saharan Africa</v>
      </c>
      <c r="B85" t="str">
        <f>$B$16</f>
        <v>CSHVOSSA Index</v>
      </c>
      <c r="C85" t="str">
        <f>$C$16</f>
        <v>PX385</v>
      </c>
      <c r="D85" t="str">
        <f>$D$16</f>
        <v>INTERVAL_SUM</v>
      </c>
      <c r="E85" t="str">
        <f>$E$16</f>
        <v>Dynamic</v>
      </c>
      <c r="F85" t="e">
        <f ca="1">_xll.BDP($B$16,$C$16,CONCATENATE("PX391=", $F$71), CONCATENATE("PX392=",$F$72), CONCATENATE("DS004=",$B$64), "Fill=B")</f>
        <v>#NAME?</v>
      </c>
      <c r="G85" t="e">
        <f ca="1">_xll.BDP($B$16,$C$16,CONCATENATE("PX391=", $G$71), CONCATENATE("PX392=",$G$72), CONCATENATE("DS004=",$B$64), "Fill=B")</f>
        <v>#NAME?</v>
      </c>
      <c r="H85" t="e">
        <f ca="1">_xll.BDP($B$16,$C$16,CONCATENATE("PX391=", $H$71), CONCATENATE("PX392=",$H$72), CONCATENATE("DS004=",$B$64), "Fill=B")</f>
        <v>#NAME?</v>
      </c>
      <c r="I85" t="e">
        <f ca="1">_xll.BDP($B$16,$C$16,CONCATENATE("PX391=", $I$71), CONCATENATE("PX392=",$I$72), CONCATENATE("DS004=",$B$64), "Fill=B")</f>
        <v>#NAME?</v>
      </c>
      <c r="J85" t="e">
        <f ca="1">_xll.BDP($B$16,$C$16,CONCATENATE("PX391=", $J$71), CONCATENATE("PX392=",$J$72), CONCATENATE("DS004=",$B$64), "Fill=B")</f>
        <v>#NAME?</v>
      </c>
      <c r="K85" t="e">
        <f ca="1">_xll.BDP($B$16,$C$16,CONCATENATE("PX391=", $K$71), CONCATENATE("PX392=",$K$72), CONCATENATE("DS004=",$B$64), "Fill=B")</f>
        <v>#NAME?</v>
      </c>
      <c r="L85" t="e">
        <f ca="1">_xll.BDP($B$16,$C$16,CONCATENATE("PX391=", $L$71), CONCATENATE("PX392=",$L$72), CONCATENATE("DS004=",$B$64), "Fill=B")</f>
        <v>#NAME?</v>
      </c>
      <c r="M85" t="e">
        <f ca="1">_xll.BDP($B$16,$C$16,CONCATENATE("PX391=", $M$71), CONCATENATE("PX392=",$M$72), CONCATENATE("DS004=",$B$64), "Fill=B")</f>
        <v>#NAME?</v>
      </c>
      <c r="N85" t="e">
        <f ca="1">_xll.BDP($B$16,$C$16,CONCATENATE("PX391=", $N$71), CONCATENATE("PX392=",$N$72), CONCATENATE("DS004=",$B$64), "Fill=B")</f>
        <v>#NAME?</v>
      </c>
      <c r="O85" t="e">
        <f ca="1">_xll.BDP($B$16,$C$16,CONCATENATE("PX391=", $O$71), CONCATENATE("PX392=",$O$72), CONCATENATE("DS004=",$B$64), "Fill=B")</f>
        <v>#NAME?</v>
      </c>
      <c r="P85" t="e">
        <f ca="1">_xll.BDP($B$16,$C$16,CONCATENATE("PX391=", $P$71), CONCATENATE("PX392=",$P$72), CONCATENATE("DS004=",$B$64), "Fill=B")</f>
        <v>#NAME?</v>
      </c>
      <c r="Q85" t="e">
        <f ca="1">_xll.BDP($B$16,$C$16,CONCATENATE("PX391=", $Q$71), CONCATENATE("PX392=",$Q$72), CONCATENATE("DS004=",$B$64), "Fill=B")</f>
        <v>#NAME?</v>
      </c>
      <c r="R85" t="e">
        <f ca="1">_xll.BDP($B$16,$C$16,CONCATENATE("PX391=", $R$71), CONCATENATE("PX392=",$R$72), CONCATENATE("DS004=",$B$64), "Fill=B")</f>
        <v>#NAME?</v>
      </c>
      <c r="S85" t="str">
        <f>""</f>
        <v/>
      </c>
      <c r="T85" t="str">
        <f>""</f>
        <v/>
      </c>
      <c r="U85" t="str">
        <f>""</f>
        <v/>
      </c>
      <c r="V85" t="str">
        <f>""</f>
        <v/>
      </c>
      <c r="W85" t="str">
        <f>""</f>
        <v/>
      </c>
      <c r="X85" t="str">
        <f>""</f>
        <v/>
      </c>
      <c r="Y85" t="str">
        <f>""</f>
        <v/>
      </c>
      <c r="Z85" t="str">
        <f>""</f>
        <v/>
      </c>
      <c r="AA85" t="str">
        <f>""</f>
        <v/>
      </c>
      <c r="AB85" t="str">
        <f>""</f>
        <v/>
      </c>
      <c r="AC85" t="str">
        <f>""</f>
        <v/>
      </c>
      <c r="AD85" t="str">
        <f>""</f>
        <v/>
      </c>
      <c r="AE85" t="str">
        <f>""</f>
        <v/>
      </c>
    </row>
    <row r="86" spans="1:31" x14ac:dyDescent="0.2">
      <c r="A86" t="str">
        <f>$A$17</f>
        <v xml:space="preserve">    Australasia &amp; Oceania - Indian Sub Cont. &amp; Middle East</v>
      </c>
      <c r="B86" t="str">
        <f>$B$17</f>
        <v>CSHVOIME Index</v>
      </c>
      <c r="C86" t="str">
        <f>$C$17</f>
        <v>PX385</v>
      </c>
      <c r="D86" t="str">
        <f>$D$17</f>
        <v>INTERVAL_SUM</v>
      </c>
      <c r="E86" t="str">
        <f>$E$17</f>
        <v>Dynamic</v>
      </c>
      <c r="F86" t="e">
        <f ca="1">_xll.BDP($B$17,$C$17,CONCATENATE("PX391=", $F$71), CONCATENATE("PX392=",$F$72), CONCATENATE("DS004=",$B$64), "Fill=B")</f>
        <v>#NAME?</v>
      </c>
      <c r="G86" t="e">
        <f ca="1">_xll.BDP($B$17,$C$17,CONCATENATE("PX391=", $G$71), CONCATENATE("PX392=",$G$72), CONCATENATE("DS004=",$B$64), "Fill=B")</f>
        <v>#NAME?</v>
      </c>
      <c r="H86" t="e">
        <f ca="1">_xll.BDP($B$17,$C$17,CONCATENATE("PX391=", $H$71), CONCATENATE("PX392=",$H$72), CONCATENATE("DS004=",$B$64), "Fill=B")</f>
        <v>#NAME?</v>
      </c>
      <c r="I86" t="e">
        <f ca="1">_xll.BDP($B$17,$C$17,CONCATENATE("PX391=", $I$71), CONCATENATE("PX392=",$I$72), CONCATENATE("DS004=",$B$64), "Fill=B")</f>
        <v>#NAME?</v>
      </c>
      <c r="J86" t="e">
        <f ca="1">_xll.BDP($B$17,$C$17,CONCATENATE("PX391=", $J$71), CONCATENATE("PX392=",$J$72), CONCATENATE("DS004=",$B$64), "Fill=B")</f>
        <v>#NAME?</v>
      </c>
      <c r="K86" t="e">
        <f ca="1">_xll.BDP($B$17,$C$17,CONCATENATE("PX391=", $K$71), CONCATENATE("PX392=",$K$72), CONCATENATE("DS004=",$B$64), "Fill=B")</f>
        <v>#NAME?</v>
      </c>
      <c r="L86" t="e">
        <f ca="1">_xll.BDP($B$17,$C$17,CONCATENATE("PX391=", $L$71), CONCATENATE("PX392=",$L$72), CONCATENATE("DS004=",$B$64), "Fill=B")</f>
        <v>#NAME?</v>
      </c>
      <c r="M86" t="e">
        <f ca="1">_xll.BDP($B$17,$C$17,CONCATENATE("PX391=", $M$71), CONCATENATE("PX392=",$M$72), CONCATENATE("DS004=",$B$64), "Fill=B")</f>
        <v>#NAME?</v>
      </c>
      <c r="N86" t="e">
        <f ca="1">_xll.BDP($B$17,$C$17,CONCATENATE("PX391=", $N$71), CONCATENATE("PX392=",$N$72), CONCATENATE("DS004=",$B$64), "Fill=B")</f>
        <v>#NAME?</v>
      </c>
      <c r="O86" t="e">
        <f ca="1">_xll.BDP($B$17,$C$17,CONCATENATE("PX391=", $O$71), CONCATENATE("PX392=",$O$72), CONCATENATE("DS004=",$B$64), "Fill=B")</f>
        <v>#NAME?</v>
      </c>
      <c r="P86" t="e">
        <f ca="1">_xll.BDP($B$17,$C$17,CONCATENATE("PX391=", $P$71), CONCATENATE("PX392=",$P$72), CONCATENATE("DS004=",$B$64), "Fill=B")</f>
        <v>#NAME?</v>
      </c>
      <c r="Q86" t="e">
        <f ca="1">_xll.BDP($B$17,$C$17,CONCATENATE("PX391=", $Q$71), CONCATENATE("PX392=",$Q$72), CONCATENATE("DS004=",$B$64), "Fill=B")</f>
        <v>#NAME?</v>
      </c>
      <c r="R86" t="e">
        <f ca="1">_xll.BDP($B$17,$C$17,CONCATENATE("PX391=", $R$71), CONCATENATE("PX392=",$R$72), CONCATENATE("DS004=",$B$64), "Fill=B")</f>
        <v>#NAME?</v>
      </c>
      <c r="S86" t="str">
        <f>""</f>
        <v/>
      </c>
      <c r="T86" t="str">
        <f>""</f>
        <v/>
      </c>
      <c r="U86" t="str">
        <f>""</f>
        <v/>
      </c>
      <c r="V86" t="str">
        <f>""</f>
        <v/>
      </c>
      <c r="W86" t="str">
        <f>""</f>
        <v/>
      </c>
      <c r="X86" t="str">
        <f>""</f>
        <v/>
      </c>
      <c r="Y86" t="str">
        <f>""</f>
        <v/>
      </c>
      <c r="Z86" t="str">
        <f>""</f>
        <v/>
      </c>
      <c r="AA86" t="str">
        <f>""</f>
        <v/>
      </c>
      <c r="AB86" t="str">
        <f>""</f>
        <v/>
      </c>
      <c r="AC86" t="str">
        <f>""</f>
        <v/>
      </c>
      <c r="AD86" t="str">
        <f>""</f>
        <v/>
      </c>
      <c r="AE86" t="str">
        <f>""</f>
        <v/>
      </c>
    </row>
    <row r="87" spans="1:31" x14ac:dyDescent="0.2">
      <c r="A87" t="str">
        <f>$A$18</f>
        <v xml:space="preserve">    Europe - Europe</v>
      </c>
      <c r="B87" t="str">
        <f>$B$18</f>
        <v>CSHVEEUR Index</v>
      </c>
      <c r="C87" t="str">
        <f>$C$18</f>
        <v>PX385</v>
      </c>
      <c r="D87" t="str">
        <f>$D$18</f>
        <v>INTERVAL_SUM</v>
      </c>
      <c r="E87" t="str">
        <f>$E$18</f>
        <v>Dynamic</v>
      </c>
      <c r="F87" t="e">
        <f ca="1">_xll.BDP($B$18,$C$18,CONCATENATE("PX391=", $F$71), CONCATENATE("PX392=",$F$72), CONCATENATE("DS004=",$B$64), "Fill=B")</f>
        <v>#NAME?</v>
      </c>
      <c r="G87" t="e">
        <f ca="1">_xll.BDP($B$18,$C$18,CONCATENATE("PX391=", $G$71), CONCATENATE("PX392=",$G$72), CONCATENATE("DS004=",$B$64), "Fill=B")</f>
        <v>#NAME?</v>
      </c>
      <c r="H87" t="e">
        <f ca="1">_xll.BDP($B$18,$C$18,CONCATENATE("PX391=", $H$71), CONCATENATE("PX392=",$H$72), CONCATENATE("DS004=",$B$64), "Fill=B")</f>
        <v>#NAME?</v>
      </c>
      <c r="I87" t="e">
        <f ca="1">_xll.BDP($B$18,$C$18,CONCATENATE("PX391=", $I$71), CONCATENATE("PX392=",$I$72), CONCATENATE("DS004=",$B$64), "Fill=B")</f>
        <v>#NAME?</v>
      </c>
      <c r="J87" t="e">
        <f ca="1">_xll.BDP($B$18,$C$18,CONCATENATE("PX391=", $J$71), CONCATENATE("PX392=",$J$72), CONCATENATE("DS004=",$B$64), "Fill=B")</f>
        <v>#NAME?</v>
      </c>
      <c r="K87" t="e">
        <f ca="1">_xll.BDP($B$18,$C$18,CONCATENATE("PX391=", $K$71), CONCATENATE("PX392=",$K$72), CONCATENATE("DS004=",$B$64), "Fill=B")</f>
        <v>#NAME?</v>
      </c>
      <c r="L87" t="e">
        <f ca="1">_xll.BDP($B$18,$C$18,CONCATENATE("PX391=", $L$71), CONCATENATE("PX392=",$L$72), CONCATENATE("DS004=",$B$64), "Fill=B")</f>
        <v>#NAME?</v>
      </c>
      <c r="M87" t="e">
        <f ca="1">_xll.BDP($B$18,$C$18,CONCATENATE("PX391=", $M$71), CONCATENATE("PX392=",$M$72), CONCATENATE("DS004=",$B$64), "Fill=B")</f>
        <v>#NAME?</v>
      </c>
      <c r="N87" t="e">
        <f ca="1">_xll.BDP($B$18,$C$18,CONCATENATE("PX391=", $N$71), CONCATENATE("PX392=",$N$72), CONCATENATE("DS004=",$B$64), "Fill=B")</f>
        <v>#NAME?</v>
      </c>
      <c r="O87" t="e">
        <f ca="1">_xll.BDP($B$18,$C$18,CONCATENATE("PX391=", $O$71), CONCATENATE("PX392=",$O$72), CONCATENATE("DS004=",$B$64), "Fill=B")</f>
        <v>#NAME?</v>
      </c>
      <c r="P87" t="e">
        <f ca="1">_xll.BDP($B$18,$C$18,CONCATENATE("PX391=", $P$71), CONCATENATE("PX392=",$P$72), CONCATENATE("DS004=",$B$64), "Fill=B")</f>
        <v>#NAME?</v>
      </c>
      <c r="Q87" t="e">
        <f ca="1">_xll.BDP($B$18,$C$18,CONCATENATE("PX391=", $Q$71), CONCATENATE("PX392=",$Q$72), CONCATENATE("DS004=",$B$64), "Fill=B")</f>
        <v>#NAME?</v>
      </c>
      <c r="R87" t="e">
        <f ca="1">_xll.BDP($B$18,$C$18,CONCATENATE("PX391=", $R$71), CONCATENATE("PX392=",$R$72), CONCATENATE("DS004=",$B$64), "Fill=B")</f>
        <v>#NAME?</v>
      </c>
      <c r="S87" t="str">
        <f>""</f>
        <v/>
      </c>
      <c r="T87" t="str">
        <f>""</f>
        <v/>
      </c>
      <c r="U87" t="str">
        <f>""</f>
        <v/>
      </c>
      <c r="V87" t="str">
        <f>""</f>
        <v/>
      </c>
      <c r="W87" t="str">
        <f>""</f>
        <v/>
      </c>
      <c r="X87" t="str">
        <f>""</f>
        <v/>
      </c>
      <c r="Y87" t="str">
        <f>""</f>
        <v/>
      </c>
      <c r="Z87" t="str">
        <f>""</f>
        <v/>
      </c>
      <c r="AA87" t="str">
        <f>""</f>
        <v/>
      </c>
      <c r="AB87" t="str">
        <f>""</f>
        <v/>
      </c>
      <c r="AC87" t="str">
        <f>""</f>
        <v/>
      </c>
      <c r="AD87" t="str">
        <f>""</f>
        <v/>
      </c>
      <c r="AE87" t="str">
        <f>""</f>
        <v/>
      </c>
    </row>
    <row r="88" spans="1:31" x14ac:dyDescent="0.2">
      <c r="A88" t="str">
        <f>$A$19</f>
        <v xml:space="preserve">    Europe - Asia</v>
      </c>
      <c r="B88" t="str">
        <f>$B$19</f>
        <v>CSHVEASR Index</v>
      </c>
      <c r="C88" t="str">
        <f>$C$19</f>
        <v>PX385</v>
      </c>
      <c r="D88" t="str">
        <f>$D$19</f>
        <v>INTERVAL_SUM</v>
      </c>
      <c r="E88" t="str">
        <f>$E$19</f>
        <v>Dynamic</v>
      </c>
      <c r="F88" t="e">
        <f ca="1">_xll.BDP($B$19,$C$19,CONCATENATE("PX391=", $F$71), CONCATENATE("PX392=",$F$72), CONCATENATE("DS004=",$B$64), "Fill=B")</f>
        <v>#NAME?</v>
      </c>
      <c r="G88" t="e">
        <f ca="1">_xll.BDP($B$19,$C$19,CONCATENATE("PX391=", $G$71), CONCATENATE("PX392=",$G$72), CONCATENATE("DS004=",$B$64), "Fill=B")</f>
        <v>#NAME?</v>
      </c>
      <c r="H88" t="e">
        <f ca="1">_xll.BDP($B$19,$C$19,CONCATENATE("PX391=", $H$71), CONCATENATE("PX392=",$H$72), CONCATENATE("DS004=",$B$64), "Fill=B")</f>
        <v>#NAME?</v>
      </c>
      <c r="I88" t="e">
        <f ca="1">_xll.BDP($B$19,$C$19,CONCATENATE("PX391=", $I$71), CONCATENATE("PX392=",$I$72), CONCATENATE("DS004=",$B$64), "Fill=B")</f>
        <v>#NAME?</v>
      </c>
      <c r="J88" t="e">
        <f ca="1">_xll.BDP($B$19,$C$19,CONCATENATE("PX391=", $J$71), CONCATENATE("PX392=",$J$72), CONCATENATE("DS004=",$B$64), "Fill=B")</f>
        <v>#NAME?</v>
      </c>
      <c r="K88" t="e">
        <f ca="1">_xll.BDP($B$19,$C$19,CONCATENATE("PX391=", $K$71), CONCATENATE("PX392=",$K$72), CONCATENATE("DS004=",$B$64), "Fill=B")</f>
        <v>#NAME?</v>
      </c>
      <c r="L88" t="e">
        <f ca="1">_xll.BDP($B$19,$C$19,CONCATENATE("PX391=", $L$71), CONCATENATE("PX392=",$L$72), CONCATENATE("DS004=",$B$64), "Fill=B")</f>
        <v>#NAME?</v>
      </c>
      <c r="M88" t="e">
        <f ca="1">_xll.BDP($B$19,$C$19,CONCATENATE("PX391=", $M$71), CONCATENATE("PX392=",$M$72), CONCATENATE("DS004=",$B$64), "Fill=B")</f>
        <v>#NAME?</v>
      </c>
      <c r="N88" t="e">
        <f ca="1">_xll.BDP($B$19,$C$19,CONCATENATE("PX391=", $N$71), CONCATENATE("PX392=",$N$72), CONCATENATE("DS004=",$B$64), "Fill=B")</f>
        <v>#NAME?</v>
      </c>
      <c r="O88" t="e">
        <f ca="1">_xll.BDP($B$19,$C$19,CONCATENATE("PX391=", $O$71), CONCATENATE("PX392=",$O$72), CONCATENATE("DS004=",$B$64), "Fill=B")</f>
        <v>#NAME?</v>
      </c>
      <c r="P88" t="e">
        <f ca="1">_xll.BDP($B$19,$C$19,CONCATENATE("PX391=", $P$71), CONCATENATE("PX392=",$P$72), CONCATENATE("DS004=",$B$64), "Fill=B")</f>
        <v>#NAME?</v>
      </c>
      <c r="Q88" t="e">
        <f ca="1">_xll.BDP($B$19,$C$19,CONCATENATE("PX391=", $Q$71), CONCATENATE("PX392=",$Q$72), CONCATENATE("DS004=",$B$64), "Fill=B")</f>
        <v>#NAME?</v>
      </c>
      <c r="R88" t="e">
        <f ca="1">_xll.BDP($B$19,$C$19,CONCATENATE("PX391=", $R$71), CONCATENATE("PX392=",$R$72), CONCATENATE("DS004=",$B$64), "Fill=B")</f>
        <v>#NAME?</v>
      </c>
      <c r="S88" t="str">
        <f>""</f>
        <v/>
      </c>
      <c r="T88" t="str">
        <f>""</f>
        <v/>
      </c>
      <c r="U88" t="str">
        <f>""</f>
        <v/>
      </c>
      <c r="V88" t="str">
        <f>""</f>
        <v/>
      </c>
      <c r="W88" t="str">
        <f>""</f>
        <v/>
      </c>
      <c r="X88" t="str">
        <f>""</f>
        <v/>
      </c>
      <c r="Y88" t="str">
        <f>""</f>
        <v/>
      </c>
      <c r="Z88" t="str">
        <f>""</f>
        <v/>
      </c>
      <c r="AA88" t="str">
        <f>""</f>
        <v/>
      </c>
      <c r="AB88" t="str">
        <f>""</f>
        <v/>
      </c>
      <c r="AC88" t="str">
        <f>""</f>
        <v/>
      </c>
      <c r="AD88" t="str">
        <f>""</f>
        <v/>
      </c>
      <c r="AE88" t="str">
        <f>""</f>
        <v/>
      </c>
    </row>
    <row r="89" spans="1:31" x14ac:dyDescent="0.2">
      <c r="A89" t="str">
        <f>$A$20</f>
        <v xml:space="preserve">    Europe - North America</v>
      </c>
      <c r="B89" t="str">
        <f>$B$20</f>
        <v>CSHVENAR Index</v>
      </c>
      <c r="C89" t="str">
        <f>$C$20</f>
        <v>PX385</v>
      </c>
      <c r="D89" t="str">
        <f>$D$20</f>
        <v>INTERVAL_SUM</v>
      </c>
      <c r="E89" t="str">
        <f>$E$20</f>
        <v>Dynamic</v>
      </c>
      <c r="F89" t="e">
        <f ca="1">_xll.BDP($B$20,$C$20,CONCATENATE("PX391=", $F$71), CONCATENATE("PX392=",$F$72), CONCATENATE("DS004=",$B$64), "Fill=B")</f>
        <v>#NAME?</v>
      </c>
      <c r="G89" t="e">
        <f ca="1">_xll.BDP($B$20,$C$20,CONCATENATE("PX391=", $G$71), CONCATENATE("PX392=",$G$72), CONCATENATE("DS004=",$B$64), "Fill=B")</f>
        <v>#NAME?</v>
      </c>
      <c r="H89" t="e">
        <f ca="1">_xll.BDP($B$20,$C$20,CONCATENATE("PX391=", $H$71), CONCATENATE("PX392=",$H$72), CONCATENATE("DS004=",$B$64), "Fill=B")</f>
        <v>#NAME?</v>
      </c>
      <c r="I89" t="e">
        <f ca="1">_xll.BDP($B$20,$C$20,CONCATENATE("PX391=", $I$71), CONCATENATE("PX392=",$I$72), CONCATENATE("DS004=",$B$64), "Fill=B")</f>
        <v>#NAME?</v>
      </c>
      <c r="J89" t="e">
        <f ca="1">_xll.BDP($B$20,$C$20,CONCATENATE("PX391=", $J$71), CONCATENATE("PX392=",$J$72), CONCATENATE("DS004=",$B$64), "Fill=B")</f>
        <v>#NAME?</v>
      </c>
      <c r="K89" t="e">
        <f ca="1">_xll.BDP($B$20,$C$20,CONCATENATE("PX391=", $K$71), CONCATENATE("PX392=",$K$72), CONCATENATE("DS004=",$B$64), "Fill=B")</f>
        <v>#NAME?</v>
      </c>
      <c r="L89" t="e">
        <f ca="1">_xll.BDP($B$20,$C$20,CONCATENATE("PX391=", $L$71), CONCATENATE("PX392=",$L$72), CONCATENATE("DS004=",$B$64), "Fill=B")</f>
        <v>#NAME?</v>
      </c>
      <c r="M89" t="e">
        <f ca="1">_xll.BDP($B$20,$C$20,CONCATENATE("PX391=", $M$71), CONCATENATE("PX392=",$M$72), CONCATENATE("DS004=",$B$64), "Fill=B")</f>
        <v>#NAME?</v>
      </c>
      <c r="N89" t="e">
        <f ca="1">_xll.BDP($B$20,$C$20,CONCATENATE("PX391=", $N$71), CONCATENATE("PX392=",$N$72), CONCATENATE("DS004=",$B$64), "Fill=B")</f>
        <v>#NAME?</v>
      </c>
      <c r="O89" t="e">
        <f ca="1">_xll.BDP($B$20,$C$20,CONCATENATE("PX391=", $O$71), CONCATENATE("PX392=",$O$72), CONCATENATE("DS004=",$B$64), "Fill=B")</f>
        <v>#NAME?</v>
      </c>
      <c r="P89" t="e">
        <f ca="1">_xll.BDP($B$20,$C$20,CONCATENATE("PX391=", $P$71), CONCATENATE("PX392=",$P$72), CONCATENATE("DS004=",$B$64), "Fill=B")</f>
        <v>#NAME?</v>
      </c>
      <c r="Q89" t="e">
        <f ca="1">_xll.BDP($B$20,$C$20,CONCATENATE("PX391=", $Q$71), CONCATENATE("PX392=",$Q$72), CONCATENATE("DS004=",$B$64), "Fill=B")</f>
        <v>#NAME?</v>
      </c>
      <c r="R89" t="e">
        <f ca="1">_xll.BDP($B$20,$C$20,CONCATENATE("PX391=", $R$71), CONCATENATE("PX392=",$R$72), CONCATENATE("DS004=",$B$64), "Fill=B")</f>
        <v>#NAME?</v>
      </c>
      <c r="S89" t="str">
        <f>""</f>
        <v/>
      </c>
      <c r="T89" t="str">
        <f>""</f>
        <v/>
      </c>
      <c r="U89" t="str">
        <f>""</f>
        <v/>
      </c>
      <c r="V89" t="str">
        <f>""</f>
        <v/>
      </c>
      <c r="W89" t="str">
        <f>""</f>
        <v/>
      </c>
      <c r="X89" t="str">
        <f>""</f>
        <v/>
      </c>
      <c r="Y89" t="str">
        <f>""</f>
        <v/>
      </c>
      <c r="Z89" t="str">
        <f>""</f>
        <v/>
      </c>
      <c r="AA89" t="str">
        <f>""</f>
        <v/>
      </c>
      <c r="AB89" t="str">
        <f>""</f>
        <v/>
      </c>
      <c r="AC89" t="str">
        <f>""</f>
        <v/>
      </c>
      <c r="AD89" t="str">
        <f>""</f>
        <v/>
      </c>
      <c r="AE89" t="str">
        <f>""</f>
        <v/>
      </c>
    </row>
    <row r="90" spans="1:31" x14ac:dyDescent="0.2">
      <c r="A90" t="str">
        <f>$A$21</f>
        <v xml:space="preserve">    Europe - Australasia &amp; Oceania</v>
      </c>
      <c r="B90" t="str">
        <f>$B$21</f>
        <v>CSHVEAUO Index</v>
      </c>
      <c r="C90" t="str">
        <f>$C$21</f>
        <v>PX385</v>
      </c>
      <c r="D90" t="str">
        <f>$D$21</f>
        <v>INTERVAL_SUM</v>
      </c>
      <c r="E90" t="str">
        <f>$E$21</f>
        <v>Dynamic</v>
      </c>
      <c r="F90" t="e">
        <f ca="1">_xll.BDP($B$21,$C$21,CONCATENATE("PX391=", $F$71), CONCATENATE("PX392=",$F$72), CONCATENATE("DS004=",$B$64), "Fill=B")</f>
        <v>#NAME?</v>
      </c>
      <c r="G90" t="e">
        <f ca="1">_xll.BDP($B$21,$C$21,CONCATENATE("PX391=", $G$71), CONCATENATE("PX392=",$G$72), CONCATENATE("DS004=",$B$64), "Fill=B")</f>
        <v>#NAME?</v>
      </c>
      <c r="H90" t="e">
        <f ca="1">_xll.BDP($B$21,$C$21,CONCATENATE("PX391=", $H$71), CONCATENATE("PX392=",$H$72), CONCATENATE("DS004=",$B$64), "Fill=B")</f>
        <v>#NAME?</v>
      </c>
      <c r="I90" t="e">
        <f ca="1">_xll.BDP($B$21,$C$21,CONCATENATE("PX391=", $I$71), CONCATENATE("PX392=",$I$72), CONCATENATE("DS004=",$B$64), "Fill=B")</f>
        <v>#NAME?</v>
      </c>
      <c r="J90" t="e">
        <f ca="1">_xll.BDP($B$21,$C$21,CONCATENATE("PX391=", $J$71), CONCATENATE("PX392=",$J$72), CONCATENATE("DS004=",$B$64), "Fill=B")</f>
        <v>#NAME?</v>
      </c>
      <c r="K90" t="e">
        <f ca="1">_xll.BDP($B$21,$C$21,CONCATENATE("PX391=", $K$71), CONCATENATE("PX392=",$K$72), CONCATENATE("DS004=",$B$64), "Fill=B")</f>
        <v>#NAME?</v>
      </c>
      <c r="L90" t="e">
        <f ca="1">_xll.BDP($B$21,$C$21,CONCATENATE("PX391=", $L$71), CONCATENATE("PX392=",$L$72), CONCATENATE("DS004=",$B$64), "Fill=B")</f>
        <v>#NAME?</v>
      </c>
      <c r="M90" t="e">
        <f ca="1">_xll.BDP($B$21,$C$21,CONCATENATE("PX391=", $M$71), CONCATENATE("PX392=",$M$72), CONCATENATE("DS004=",$B$64), "Fill=B")</f>
        <v>#NAME?</v>
      </c>
      <c r="N90" t="e">
        <f ca="1">_xll.BDP($B$21,$C$21,CONCATENATE("PX391=", $N$71), CONCATENATE("PX392=",$N$72), CONCATENATE("DS004=",$B$64), "Fill=B")</f>
        <v>#NAME?</v>
      </c>
      <c r="O90" t="e">
        <f ca="1">_xll.BDP($B$21,$C$21,CONCATENATE("PX391=", $O$71), CONCATENATE("PX392=",$O$72), CONCATENATE("DS004=",$B$64), "Fill=B")</f>
        <v>#NAME?</v>
      </c>
      <c r="P90" t="e">
        <f ca="1">_xll.BDP($B$21,$C$21,CONCATENATE("PX391=", $P$71), CONCATENATE("PX392=",$P$72), CONCATENATE("DS004=",$B$64), "Fill=B")</f>
        <v>#NAME?</v>
      </c>
      <c r="Q90" t="e">
        <f ca="1">_xll.BDP($B$21,$C$21,CONCATENATE("PX391=", $Q$71), CONCATENATE("PX392=",$Q$72), CONCATENATE("DS004=",$B$64), "Fill=B")</f>
        <v>#NAME?</v>
      </c>
      <c r="R90" t="e">
        <f ca="1">_xll.BDP($B$21,$C$21,CONCATENATE("PX391=", $R$71), CONCATENATE("PX392=",$R$72), CONCATENATE("DS004=",$B$64), "Fill=B")</f>
        <v>#NAME?</v>
      </c>
      <c r="S90" t="str">
        <f>""</f>
        <v/>
      </c>
      <c r="T90" t="str">
        <f>""</f>
        <v/>
      </c>
      <c r="U90" t="str">
        <f>""</f>
        <v/>
      </c>
      <c r="V90" t="str">
        <f>""</f>
        <v/>
      </c>
      <c r="W90" t="str">
        <f>""</f>
        <v/>
      </c>
      <c r="X90" t="str">
        <f>""</f>
        <v/>
      </c>
      <c r="Y90" t="str">
        <f>""</f>
        <v/>
      </c>
      <c r="Z90" t="str">
        <f>""</f>
        <v/>
      </c>
      <c r="AA90" t="str">
        <f>""</f>
        <v/>
      </c>
      <c r="AB90" t="str">
        <f>""</f>
        <v/>
      </c>
      <c r="AC90" t="str">
        <f>""</f>
        <v/>
      </c>
      <c r="AD90" t="str">
        <f>""</f>
        <v/>
      </c>
      <c r="AE90" t="str">
        <f>""</f>
        <v/>
      </c>
    </row>
    <row r="91" spans="1:31" x14ac:dyDescent="0.2">
      <c r="A91" t="str">
        <f>$A$22</f>
        <v xml:space="preserve">    Europe - Sub Saharan Africa</v>
      </c>
      <c r="B91" t="str">
        <f>$B$22</f>
        <v>CSHVESSA Index</v>
      </c>
      <c r="C91" t="str">
        <f>$C$22</f>
        <v>PX385</v>
      </c>
      <c r="D91" t="str">
        <f>$D$22</f>
        <v>INTERVAL_SUM</v>
      </c>
      <c r="E91" t="str">
        <f>$E$22</f>
        <v>Dynamic</v>
      </c>
      <c r="F91" t="e">
        <f ca="1">_xll.BDP($B$22,$C$22,CONCATENATE("PX391=", $F$71), CONCATENATE("PX392=",$F$72), CONCATENATE("DS004=",$B$64), "Fill=B")</f>
        <v>#NAME?</v>
      </c>
      <c r="G91" t="e">
        <f ca="1">_xll.BDP($B$22,$C$22,CONCATENATE("PX391=", $G$71), CONCATENATE("PX392=",$G$72), CONCATENATE("DS004=",$B$64), "Fill=B")</f>
        <v>#NAME?</v>
      </c>
      <c r="H91" t="e">
        <f ca="1">_xll.BDP($B$22,$C$22,CONCATENATE("PX391=", $H$71), CONCATENATE("PX392=",$H$72), CONCATENATE("DS004=",$B$64), "Fill=B")</f>
        <v>#NAME?</v>
      </c>
      <c r="I91" t="e">
        <f ca="1">_xll.BDP($B$22,$C$22,CONCATENATE("PX391=", $I$71), CONCATENATE("PX392=",$I$72), CONCATENATE("DS004=",$B$64), "Fill=B")</f>
        <v>#NAME?</v>
      </c>
      <c r="J91" t="e">
        <f ca="1">_xll.BDP($B$22,$C$22,CONCATENATE("PX391=", $J$71), CONCATENATE("PX392=",$J$72), CONCATENATE("DS004=",$B$64), "Fill=B")</f>
        <v>#NAME?</v>
      </c>
      <c r="K91" t="e">
        <f ca="1">_xll.BDP($B$22,$C$22,CONCATENATE("PX391=", $K$71), CONCATENATE("PX392=",$K$72), CONCATENATE("DS004=",$B$64), "Fill=B")</f>
        <v>#NAME?</v>
      </c>
      <c r="L91" t="e">
        <f ca="1">_xll.BDP($B$22,$C$22,CONCATENATE("PX391=", $L$71), CONCATENATE("PX392=",$L$72), CONCATENATE("DS004=",$B$64), "Fill=B")</f>
        <v>#NAME?</v>
      </c>
      <c r="M91" t="e">
        <f ca="1">_xll.BDP($B$22,$C$22,CONCATENATE("PX391=", $M$71), CONCATENATE("PX392=",$M$72), CONCATENATE("DS004=",$B$64), "Fill=B")</f>
        <v>#NAME?</v>
      </c>
      <c r="N91" t="e">
        <f ca="1">_xll.BDP($B$22,$C$22,CONCATENATE("PX391=", $N$71), CONCATENATE("PX392=",$N$72), CONCATENATE("DS004=",$B$64), "Fill=B")</f>
        <v>#NAME?</v>
      </c>
      <c r="O91" t="e">
        <f ca="1">_xll.BDP($B$22,$C$22,CONCATENATE("PX391=", $O$71), CONCATENATE("PX392=",$O$72), CONCATENATE("DS004=",$B$64), "Fill=B")</f>
        <v>#NAME?</v>
      </c>
      <c r="P91" t="e">
        <f ca="1">_xll.BDP($B$22,$C$22,CONCATENATE("PX391=", $P$71), CONCATENATE("PX392=",$P$72), CONCATENATE("DS004=",$B$64), "Fill=B")</f>
        <v>#NAME?</v>
      </c>
      <c r="Q91" t="e">
        <f ca="1">_xll.BDP($B$22,$C$22,CONCATENATE("PX391=", $Q$71), CONCATENATE("PX392=",$Q$72), CONCATENATE("DS004=",$B$64), "Fill=B")</f>
        <v>#NAME?</v>
      </c>
      <c r="R91" t="e">
        <f ca="1">_xll.BDP($B$22,$C$22,CONCATENATE("PX391=", $R$71), CONCATENATE("PX392=",$R$72), CONCATENATE("DS004=",$B$64), "Fill=B")</f>
        <v>#NAME?</v>
      </c>
      <c r="S91" t="str">
        <f>""</f>
        <v/>
      </c>
      <c r="T91" t="str">
        <f>""</f>
        <v/>
      </c>
      <c r="U91" t="str">
        <f>""</f>
        <v/>
      </c>
      <c r="V91" t="str">
        <f>""</f>
        <v/>
      </c>
      <c r="W91" t="str">
        <f>""</f>
        <v/>
      </c>
      <c r="X91" t="str">
        <f>""</f>
        <v/>
      </c>
      <c r="Y91" t="str">
        <f>""</f>
        <v/>
      </c>
      <c r="Z91" t="str">
        <f>""</f>
        <v/>
      </c>
      <c r="AA91" t="str">
        <f>""</f>
        <v/>
      </c>
      <c r="AB91" t="str">
        <f>""</f>
        <v/>
      </c>
      <c r="AC91" t="str">
        <f>""</f>
        <v/>
      </c>
      <c r="AD91" t="str">
        <f>""</f>
        <v/>
      </c>
      <c r="AE91" t="str">
        <f>""</f>
        <v/>
      </c>
    </row>
    <row r="92" spans="1:31" x14ac:dyDescent="0.2">
      <c r="A92" t="str">
        <f>$A$23</f>
        <v xml:space="preserve">    Europe - Indian Sub Cont. &amp; Middle East</v>
      </c>
      <c r="B92" t="str">
        <f>$B$23</f>
        <v>CSHVEIME Index</v>
      </c>
      <c r="C92" t="str">
        <f>$C$23</f>
        <v>PX385</v>
      </c>
      <c r="D92" t="str">
        <f>$D$23</f>
        <v>INTERVAL_SUM</v>
      </c>
      <c r="E92" t="str">
        <f>$E$23</f>
        <v>Dynamic</v>
      </c>
      <c r="F92" t="e">
        <f ca="1">_xll.BDP($B$23,$C$23,CONCATENATE("PX391=", $F$71), CONCATENATE("PX392=",$F$72), CONCATENATE("DS004=",$B$64), "Fill=B")</f>
        <v>#NAME?</v>
      </c>
      <c r="G92" t="e">
        <f ca="1">_xll.BDP($B$23,$C$23,CONCATENATE("PX391=", $G$71), CONCATENATE("PX392=",$G$72), CONCATENATE("DS004=",$B$64), "Fill=B")</f>
        <v>#NAME?</v>
      </c>
      <c r="H92" t="e">
        <f ca="1">_xll.BDP($B$23,$C$23,CONCATENATE("PX391=", $H$71), CONCATENATE("PX392=",$H$72), CONCATENATE("DS004=",$B$64), "Fill=B")</f>
        <v>#NAME?</v>
      </c>
      <c r="I92" t="e">
        <f ca="1">_xll.BDP($B$23,$C$23,CONCATENATE("PX391=", $I$71), CONCATENATE("PX392=",$I$72), CONCATENATE("DS004=",$B$64), "Fill=B")</f>
        <v>#NAME?</v>
      </c>
      <c r="J92" t="e">
        <f ca="1">_xll.BDP($B$23,$C$23,CONCATENATE("PX391=", $J$71), CONCATENATE("PX392=",$J$72), CONCATENATE("DS004=",$B$64), "Fill=B")</f>
        <v>#NAME?</v>
      </c>
      <c r="K92" t="e">
        <f ca="1">_xll.BDP($B$23,$C$23,CONCATENATE("PX391=", $K$71), CONCATENATE("PX392=",$K$72), CONCATENATE("DS004=",$B$64), "Fill=B")</f>
        <v>#NAME?</v>
      </c>
      <c r="L92" t="e">
        <f ca="1">_xll.BDP($B$23,$C$23,CONCATENATE("PX391=", $L$71), CONCATENATE("PX392=",$L$72), CONCATENATE("DS004=",$B$64), "Fill=B")</f>
        <v>#NAME?</v>
      </c>
      <c r="M92" t="e">
        <f ca="1">_xll.BDP($B$23,$C$23,CONCATENATE("PX391=", $M$71), CONCATENATE("PX392=",$M$72), CONCATENATE("DS004=",$B$64), "Fill=B")</f>
        <v>#NAME?</v>
      </c>
      <c r="N92" t="e">
        <f ca="1">_xll.BDP($B$23,$C$23,CONCATENATE("PX391=", $N$71), CONCATENATE("PX392=",$N$72), CONCATENATE("DS004=",$B$64), "Fill=B")</f>
        <v>#NAME?</v>
      </c>
      <c r="O92" t="e">
        <f ca="1">_xll.BDP($B$23,$C$23,CONCATENATE("PX391=", $O$71), CONCATENATE("PX392=",$O$72), CONCATENATE("DS004=",$B$64), "Fill=B")</f>
        <v>#NAME?</v>
      </c>
      <c r="P92" t="e">
        <f ca="1">_xll.BDP($B$23,$C$23,CONCATENATE("PX391=", $P$71), CONCATENATE("PX392=",$P$72), CONCATENATE("DS004=",$B$64), "Fill=B")</f>
        <v>#NAME?</v>
      </c>
      <c r="Q92" t="e">
        <f ca="1">_xll.BDP($B$23,$C$23,CONCATENATE("PX391=", $Q$71), CONCATENATE("PX392=",$Q$72), CONCATENATE("DS004=",$B$64), "Fill=B")</f>
        <v>#NAME?</v>
      </c>
      <c r="R92" t="e">
        <f ca="1">_xll.BDP($B$23,$C$23,CONCATENATE("PX391=", $R$71), CONCATENATE("PX392=",$R$72), CONCATENATE("DS004=",$B$64), "Fill=B")</f>
        <v>#NAME?</v>
      </c>
      <c r="S92" t="str">
        <f>""</f>
        <v/>
      </c>
      <c r="T92" t="str">
        <f>""</f>
        <v/>
      </c>
      <c r="U92" t="str">
        <f>""</f>
        <v/>
      </c>
      <c r="V92" t="str">
        <f>""</f>
        <v/>
      </c>
      <c r="W92" t="str">
        <f>""</f>
        <v/>
      </c>
      <c r="X92" t="str">
        <f>""</f>
        <v/>
      </c>
      <c r="Y92" t="str">
        <f>""</f>
        <v/>
      </c>
      <c r="Z92" t="str">
        <f>""</f>
        <v/>
      </c>
      <c r="AA92" t="str">
        <f>""</f>
        <v/>
      </c>
      <c r="AB92" t="str">
        <f>""</f>
        <v/>
      </c>
      <c r="AC92" t="str">
        <f>""</f>
        <v/>
      </c>
      <c r="AD92" t="str">
        <f>""</f>
        <v/>
      </c>
      <c r="AE92" t="str">
        <f>""</f>
        <v/>
      </c>
    </row>
    <row r="93" spans="1:31" x14ac:dyDescent="0.2">
      <c r="A93" t="str">
        <f>$A$24</f>
        <v xml:space="preserve">    Europe - South &amp; Central America</v>
      </c>
      <c r="B93" t="str">
        <f>$B$24</f>
        <v>CSHVESCA Index</v>
      </c>
      <c r="C93" t="str">
        <f>$C$24</f>
        <v>PX385</v>
      </c>
      <c r="D93" t="str">
        <f>$D$24</f>
        <v>INTERVAL_SUM</v>
      </c>
      <c r="E93" t="str">
        <f>$E$24</f>
        <v>Dynamic</v>
      </c>
      <c r="F93" t="e">
        <f ca="1">_xll.BDP($B$24,$C$24,CONCATENATE("PX391=", $F$71), CONCATENATE("PX392=",$F$72), CONCATENATE("DS004=",$B$64), "Fill=B")</f>
        <v>#NAME?</v>
      </c>
      <c r="G93" t="e">
        <f ca="1">_xll.BDP($B$24,$C$24,CONCATENATE("PX391=", $G$71), CONCATENATE("PX392=",$G$72), CONCATENATE("DS004=",$B$64), "Fill=B")</f>
        <v>#NAME?</v>
      </c>
      <c r="H93" t="e">
        <f ca="1">_xll.BDP($B$24,$C$24,CONCATENATE("PX391=", $H$71), CONCATENATE("PX392=",$H$72), CONCATENATE("DS004=",$B$64), "Fill=B")</f>
        <v>#NAME?</v>
      </c>
      <c r="I93" t="e">
        <f ca="1">_xll.BDP($B$24,$C$24,CONCATENATE("PX391=", $I$71), CONCATENATE("PX392=",$I$72), CONCATENATE("DS004=",$B$64), "Fill=B")</f>
        <v>#NAME?</v>
      </c>
      <c r="J93" t="e">
        <f ca="1">_xll.BDP($B$24,$C$24,CONCATENATE("PX391=", $J$71), CONCATENATE("PX392=",$J$72), CONCATENATE("DS004=",$B$64), "Fill=B")</f>
        <v>#NAME?</v>
      </c>
      <c r="K93" t="e">
        <f ca="1">_xll.BDP($B$24,$C$24,CONCATENATE("PX391=", $K$71), CONCATENATE("PX392=",$K$72), CONCATENATE("DS004=",$B$64), "Fill=B")</f>
        <v>#NAME?</v>
      </c>
      <c r="L93" t="e">
        <f ca="1">_xll.BDP($B$24,$C$24,CONCATENATE("PX391=", $L$71), CONCATENATE("PX392=",$L$72), CONCATENATE("DS004=",$B$64), "Fill=B")</f>
        <v>#NAME?</v>
      </c>
      <c r="M93" t="e">
        <f ca="1">_xll.BDP($B$24,$C$24,CONCATENATE("PX391=", $M$71), CONCATENATE("PX392=",$M$72), CONCATENATE("DS004=",$B$64), "Fill=B")</f>
        <v>#NAME?</v>
      </c>
      <c r="N93" t="e">
        <f ca="1">_xll.BDP($B$24,$C$24,CONCATENATE("PX391=", $N$71), CONCATENATE("PX392=",$N$72), CONCATENATE("DS004=",$B$64), "Fill=B")</f>
        <v>#NAME?</v>
      </c>
      <c r="O93" t="e">
        <f ca="1">_xll.BDP($B$24,$C$24,CONCATENATE("PX391=", $O$71), CONCATENATE("PX392=",$O$72), CONCATENATE("DS004=",$B$64), "Fill=B")</f>
        <v>#NAME?</v>
      </c>
      <c r="P93" t="e">
        <f ca="1">_xll.BDP($B$24,$C$24,CONCATENATE("PX391=", $P$71), CONCATENATE("PX392=",$P$72), CONCATENATE("DS004=",$B$64), "Fill=B")</f>
        <v>#NAME?</v>
      </c>
      <c r="Q93" t="e">
        <f ca="1">_xll.BDP($B$24,$C$24,CONCATENATE("PX391=", $Q$71), CONCATENATE("PX392=",$Q$72), CONCATENATE("DS004=",$B$64), "Fill=B")</f>
        <v>#NAME?</v>
      </c>
      <c r="R93" t="e">
        <f ca="1">_xll.BDP($B$24,$C$24,CONCATENATE("PX391=", $R$71), CONCATENATE("PX392=",$R$72), CONCATENATE("DS004=",$B$64), "Fill=B")</f>
        <v>#NAME?</v>
      </c>
      <c r="S93" t="str">
        <f>""</f>
        <v/>
      </c>
      <c r="T93" t="str">
        <f>""</f>
        <v/>
      </c>
      <c r="U93" t="str">
        <f>""</f>
        <v/>
      </c>
      <c r="V93" t="str">
        <f>""</f>
        <v/>
      </c>
      <c r="W93" t="str">
        <f>""</f>
        <v/>
      </c>
      <c r="X93" t="str">
        <f>""</f>
        <v/>
      </c>
      <c r="Y93" t="str">
        <f>""</f>
        <v/>
      </c>
      <c r="Z93" t="str">
        <f>""</f>
        <v/>
      </c>
      <c r="AA93" t="str">
        <f>""</f>
        <v/>
      </c>
      <c r="AB93" t="str">
        <f>""</f>
        <v/>
      </c>
      <c r="AC93" t="str">
        <f>""</f>
        <v/>
      </c>
      <c r="AD93" t="str">
        <f>""</f>
        <v/>
      </c>
      <c r="AE93" t="str">
        <f>""</f>
        <v/>
      </c>
    </row>
    <row r="94" spans="1:31" x14ac:dyDescent="0.2">
      <c r="A94" t="str">
        <f>$A$25</f>
        <v xml:space="preserve">    Indian Sub Cont. &amp; Middle East - Australasia &amp; Oceania</v>
      </c>
      <c r="B94" t="str">
        <f>$B$25</f>
        <v>CSHVIAUO Index</v>
      </c>
      <c r="C94" t="str">
        <f>$C$25</f>
        <v>PX385</v>
      </c>
      <c r="D94" t="str">
        <f>$D$25</f>
        <v>INTERVAL_SUM</v>
      </c>
      <c r="E94" t="str">
        <f>$E$25</f>
        <v>Dynamic</v>
      </c>
      <c r="F94" t="e">
        <f ca="1">_xll.BDP($B$25,$C$25,CONCATENATE("PX391=", $F$71), CONCATENATE("PX392=",$F$72), CONCATENATE("DS004=",$B$64), "Fill=B")</f>
        <v>#NAME?</v>
      </c>
      <c r="G94" t="e">
        <f ca="1">_xll.BDP($B$25,$C$25,CONCATENATE("PX391=", $G$71), CONCATENATE("PX392=",$G$72), CONCATENATE("DS004=",$B$64), "Fill=B")</f>
        <v>#NAME?</v>
      </c>
      <c r="H94" t="e">
        <f ca="1">_xll.BDP($B$25,$C$25,CONCATENATE("PX391=", $H$71), CONCATENATE("PX392=",$H$72), CONCATENATE("DS004=",$B$64), "Fill=B")</f>
        <v>#NAME?</v>
      </c>
      <c r="I94" t="e">
        <f ca="1">_xll.BDP($B$25,$C$25,CONCATENATE("PX391=", $I$71), CONCATENATE("PX392=",$I$72), CONCATENATE("DS004=",$B$64), "Fill=B")</f>
        <v>#NAME?</v>
      </c>
      <c r="J94" t="e">
        <f ca="1">_xll.BDP($B$25,$C$25,CONCATENATE("PX391=", $J$71), CONCATENATE("PX392=",$J$72), CONCATENATE("DS004=",$B$64), "Fill=B")</f>
        <v>#NAME?</v>
      </c>
      <c r="K94" t="e">
        <f ca="1">_xll.BDP($B$25,$C$25,CONCATENATE("PX391=", $K$71), CONCATENATE("PX392=",$K$72), CONCATENATE("DS004=",$B$64), "Fill=B")</f>
        <v>#NAME?</v>
      </c>
      <c r="L94" t="e">
        <f ca="1">_xll.BDP($B$25,$C$25,CONCATENATE("PX391=", $L$71), CONCATENATE("PX392=",$L$72), CONCATENATE("DS004=",$B$64), "Fill=B")</f>
        <v>#NAME?</v>
      </c>
      <c r="M94" t="e">
        <f ca="1">_xll.BDP($B$25,$C$25,CONCATENATE("PX391=", $M$71), CONCATENATE("PX392=",$M$72), CONCATENATE("DS004=",$B$64), "Fill=B")</f>
        <v>#NAME?</v>
      </c>
      <c r="N94" t="e">
        <f ca="1">_xll.BDP($B$25,$C$25,CONCATENATE("PX391=", $N$71), CONCATENATE("PX392=",$N$72), CONCATENATE("DS004=",$B$64), "Fill=B")</f>
        <v>#NAME?</v>
      </c>
      <c r="O94" t="e">
        <f ca="1">_xll.BDP($B$25,$C$25,CONCATENATE("PX391=", $O$71), CONCATENATE("PX392=",$O$72), CONCATENATE("DS004=",$B$64), "Fill=B")</f>
        <v>#NAME?</v>
      </c>
      <c r="P94" t="e">
        <f ca="1">_xll.BDP($B$25,$C$25,CONCATENATE("PX391=", $P$71), CONCATENATE("PX392=",$P$72), CONCATENATE("DS004=",$B$64), "Fill=B")</f>
        <v>#NAME?</v>
      </c>
      <c r="Q94" t="e">
        <f ca="1">_xll.BDP($B$25,$C$25,CONCATENATE("PX391=", $Q$71), CONCATENATE("PX392=",$Q$72), CONCATENATE("DS004=",$B$64), "Fill=B")</f>
        <v>#NAME?</v>
      </c>
      <c r="R94" t="e">
        <f ca="1">_xll.BDP($B$25,$C$25,CONCATENATE("PX391=", $R$71), CONCATENATE("PX392=",$R$72), CONCATENATE("DS004=",$B$64), "Fill=B")</f>
        <v>#NAME?</v>
      </c>
      <c r="S94" t="str">
        <f>""</f>
        <v/>
      </c>
      <c r="T94" t="str">
        <f>""</f>
        <v/>
      </c>
      <c r="U94" t="str">
        <f>""</f>
        <v/>
      </c>
      <c r="V94" t="str">
        <f>""</f>
        <v/>
      </c>
      <c r="W94" t="str">
        <f>""</f>
        <v/>
      </c>
      <c r="X94" t="str">
        <f>""</f>
        <v/>
      </c>
      <c r="Y94" t="str">
        <f>""</f>
        <v/>
      </c>
      <c r="Z94" t="str">
        <f>""</f>
        <v/>
      </c>
      <c r="AA94" t="str">
        <f>""</f>
        <v/>
      </c>
      <c r="AB94" t="str">
        <f>""</f>
        <v/>
      </c>
      <c r="AC94" t="str">
        <f>""</f>
        <v/>
      </c>
      <c r="AD94" t="str">
        <f>""</f>
        <v/>
      </c>
      <c r="AE94" t="str">
        <f>""</f>
        <v/>
      </c>
    </row>
    <row r="95" spans="1:31" x14ac:dyDescent="0.2">
      <c r="A95" t="str">
        <f>$A$26</f>
        <v xml:space="preserve">    Indian Sub Cont. &amp; Middle East - North America</v>
      </c>
      <c r="B95" t="str">
        <f>$B$26</f>
        <v>CSHVINAR Index</v>
      </c>
      <c r="C95" t="str">
        <f>$C$26</f>
        <v>PX385</v>
      </c>
      <c r="D95" t="str">
        <f>$D$26</f>
        <v>INTERVAL_SUM</v>
      </c>
      <c r="E95" t="str">
        <f>$E$26</f>
        <v>Dynamic</v>
      </c>
      <c r="F95" t="e">
        <f ca="1">_xll.BDP($B$26,$C$26,CONCATENATE("PX391=", $F$71), CONCATENATE("PX392=",$F$72), CONCATENATE("DS004=",$B$64), "Fill=B")</f>
        <v>#NAME?</v>
      </c>
      <c r="G95" t="e">
        <f ca="1">_xll.BDP($B$26,$C$26,CONCATENATE("PX391=", $G$71), CONCATENATE("PX392=",$G$72), CONCATENATE("DS004=",$B$64), "Fill=B")</f>
        <v>#NAME?</v>
      </c>
      <c r="H95" t="e">
        <f ca="1">_xll.BDP($B$26,$C$26,CONCATENATE("PX391=", $H$71), CONCATENATE("PX392=",$H$72), CONCATENATE("DS004=",$B$64), "Fill=B")</f>
        <v>#NAME?</v>
      </c>
      <c r="I95" t="e">
        <f ca="1">_xll.BDP($B$26,$C$26,CONCATENATE("PX391=", $I$71), CONCATENATE("PX392=",$I$72), CONCATENATE("DS004=",$B$64), "Fill=B")</f>
        <v>#NAME?</v>
      </c>
      <c r="J95" t="e">
        <f ca="1">_xll.BDP($B$26,$C$26,CONCATENATE("PX391=", $J$71), CONCATENATE("PX392=",$J$72), CONCATENATE("DS004=",$B$64), "Fill=B")</f>
        <v>#NAME?</v>
      </c>
      <c r="K95" t="e">
        <f ca="1">_xll.BDP($B$26,$C$26,CONCATENATE("PX391=", $K$71), CONCATENATE("PX392=",$K$72), CONCATENATE("DS004=",$B$64), "Fill=B")</f>
        <v>#NAME?</v>
      </c>
      <c r="L95" t="e">
        <f ca="1">_xll.BDP($B$26,$C$26,CONCATENATE("PX391=", $L$71), CONCATENATE("PX392=",$L$72), CONCATENATE("DS004=",$B$64), "Fill=B")</f>
        <v>#NAME?</v>
      </c>
      <c r="M95" t="e">
        <f ca="1">_xll.BDP($B$26,$C$26,CONCATENATE("PX391=", $M$71), CONCATENATE("PX392=",$M$72), CONCATENATE("DS004=",$B$64), "Fill=B")</f>
        <v>#NAME?</v>
      </c>
      <c r="N95" t="e">
        <f ca="1">_xll.BDP($B$26,$C$26,CONCATENATE("PX391=", $N$71), CONCATENATE("PX392=",$N$72), CONCATENATE("DS004=",$B$64), "Fill=B")</f>
        <v>#NAME?</v>
      </c>
      <c r="O95" t="e">
        <f ca="1">_xll.BDP($B$26,$C$26,CONCATENATE("PX391=", $O$71), CONCATENATE("PX392=",$O$72), CONCATENATE("DS004=",$B$64), "Fill=B")</f>
        <v>#NAME?</v>
      </c>
      <c r="P95" t="e">
        <f ca="1">_xll.BDP($B$26,$C$26,CONCATENATE("PX391=", $P$71), CONCATENATE("PX392=",$P$72), CONCATENATE("DS004=",$B$64), "Fill=B")</f>
        <v>#NAME?</v>
      </c>
      <c r="Q95" t="e">
        <f ca="1">_xll.BDP($B$26,$C$26,CONCATENATE("PX391=", $Q$71), CONCATENATE("PX392=",$Q$72), CONCATENATE("DS004=",$B$64), "Fill=B")</f>
        <v>#NAME?</v>
      </c>
      <c r="R95" t="e">
        <f ca="1">_xll.BDP($B$26,$C$26,CONCATENATE("PX391=", $R$71), CONCATENATE("PX392=",$R$72), CONCATENATE("DS004=",$B$64), "Fill=B")</f>
        <v>#NAME?</v>
      </c>
      <c r="S95" t="str">
        <f>""</f>
        <v/>
      </c>
      <c r="T95" t="str">
        <f>""</f>
        <v/>
      </c>
      <c r="U95" t="str">
        <f>""</f>
        <v/>
      </c>
      <c r="V95" t="str">
        <f>""</f>
        <v/>
      </c>
      <c r="W95" t="str">
        <f>""</f>
        <v/>
      </c>
      <c r="X95" t="str">
        <f>""</f>
        <v/>
      </c>
      <c r="Y95" t="str">
        <f>""</f>
        <v/>
      </c>
      <c r="Z95" t="str">
        <f>""</f>
        <v/>
      </c>
      <c r="AA95" t="str">
        <f>""</f>
        <v/>
      </c>
      <c r="AB95" t="str">
        <f>""</f>
        <v/>
      </c>
      <c r="AC95" t="str">
        <f>""</f>
        <v/>
      </c>
      <c r="AD95" t="str">
        <f>""</f>
        <v/>
      </c>
      <c r="AE95" t="str">
        <f>""</f>
        <v/>
      </c>
    </row>
    <row r="96" spans="1:31" x14ac:dyDescent="0.2">
      <c r="A96" t="str">
        <f>$A$27</f>
        <v xml:space="preserve">    Indian Sub Cont. &amp; Middle East - Asia</v>
      </c>
      <c r="B96" t="str">
        <f>$B$27</f>
        <v>CSHVIASR Index</v>
      </c>
      <c r="C96" t="str">
        <f>$C$27</f>
        <v>PX385</v>
      </c>
      <c r="D96" t="str">
        <f>$D$27</f>
        <v>INTERVAL_SUM</v>
      </c>
      <c r="E96" t="str">
        <f>$E$27</f>
        <v>Dynamic</v>
      </c>
      <c r="F96" t="e">
        <f ca="1">_xll.BDP($B$27,$C$27,CONCATENATE("PX391=", $F$71), CONCATENATE("PX392=",$F$72), CONCATENATE("DS004=",$B$64), "Fill=B")</f>
        <v>#NAME?</v>
      </c>
      <c r="G96" t="e">
        <f ca="1">_xll.BDP($B$27,$C$27,CONCATENATE("PX391=", $G$71), CONCATENATE("PX392=",$G$72), CONCATENATE("DS004=",$B$64), "Fill=B")</f>
        <v>#NAME?</v>
      </c>
      <c r="H96" t="e">
        <f ca="1">_xll.BDP($B$27,$C$27,CONCATENATE("PX391=", $H$71), CONCATENATE("PX392=",$H$72), CONCATENATE("DS004=",$B$64), "Fill=B")</f>
        <v>#NAME?</v>
      </c>
      <c r="I96" t="e">
        <f ca="1">_xll.BDP($B$27,$C$27,CONCATENATE("PX391=", $I$71), CONCATENATE("PX392=",$I$72), CONCATENATE("DS004=",$B$64), "Fill=B")</f>
        <v>#NAME?</v>
      </c>
      <c r="J96" t="e">
        <f ca="1">_xll.BDP($B$27,$C$27,CONCATENATE("PX391=", $J$71), CONCATENATE("PX392=",$J$72), CONCATENATE("DS004=",$B$64), "Fill=B")</f>
        <v>#NAME?</v>
      </c>
      <c r="K96" t="e">
        <f ca="1">_xll.BDP($B$27,$C$27,CONCATENATE("PX391=", $K$71), CONCATENATE("PX392=",$K$72), CONCATENATE("DS004=",$B$64), "Fill=B")</f>
        <v>#NAME?</v>
      </c>
      <c r="L96" t="e">
        <f ca="1">_xll.BDP($B$27,$C$27,CONCATENATE("PX391=", $L$71), CONCATENATE("PX392=",$L$72), CONCATENATE("DS004=",$B$64), "Fill=B")</f>
        <v>#NAME?</v>
      </c>
      <c r="M96" t="e">
        <f ca="1">_xll.BDP($B$27,$C$27,CONCATENATE("PX391=", $M$71), CONCATENATE("PX392=",$M$72), CONCATENATE("DS004=",$B$64), "Fill=B")</f>
        <v>#NAME?</v>
      </c>
      <c r="N96" t="e">
        <f ca="1">_xll.BDP($B$27,$C$27,CONCATENATE("PX391=", $N$71), CONCATENATE("PX392=",$N$72), CONCATENATE("DS004=",$B$64), "Fill=B")</f>
        <v>#NAME?</v>
      </c>
      <c r="O96" t="e">
        <f ca="1">_xll.BDP($B$27,$C$27,CONCATENATE("PX391=", $O$71), CONCATENATE("PX392=",$O$72), CONCATENATE("DS004=",$B$64), "Fill=B")</f>
        <v>#NAME?</v>
      </c>
      <c r="P96" t="e">
        <f ca="1">_xll.BDP($B$27,$C$27,CONCATENATE("PX391=", $P$71), CONCATENATE("PX392=",$P$72), CONCATENATE("DS004=",$B$64), "Fill=B")</f>
        <v>#NAME?</v>
      </c>
      <c r="Q96" t="e">
        <f ca="1">_xll.BDP($B$27,$C$27,CONCATENATE("PX391=", $Q$71), CONCATENATE("PX392=",$Q$72), CONCATENATE("DS004=",$B$64), "Fill=B")</f>
        <v>#NAME?</v>
      </c>
      <c r="R96" t="e">
        <f ca="1">_xll.BDP($B$27,$C$27,CONCATENATE("PX391=", $R$71), CONCATENATE("PX392=",$R$72), CONCATENATE("DS004=",$B$64), "Fill=B")</f>
        <v>#NAME?</v>
      </c>
      <c r="S96" t="str">
        <f>""</f>
        <v/>
      </c>
      <c r="T96" t="str">
        <f>""</f>
        <v/>
      </c>
      <c r="U96" t="str">
        <f>""</f>
        <v/>
      </c>
      <c r="V96" t="str">
        <f>""</f>
        <v/>
      </c>
      <c r="W96" t="str">
        <f>""</f>
        <v/>
      </c>
      <c r="X96" t="str">
        <f>""</f>
        <v/>
      </c>
      <c r="Y96" t="str">
        <f>""</f>
        <v/>
      </c>
      <c r="Z96" t="str">
        <f>""</f>
        <v/>
      </c>
      <c r="AA96" t="str">
        <f>""</f>
        <v/>
      </c>
      <c r="AB96" t="str">
        <f>""</f>
        <v/>
      </c>
      <c r="AC96" t="str">
        <f>""</f>
        <v/>
      </c>
      <c r="AD96" t="str">
        <f>""</f>
        <v/>
      </c>
      <c r="AE96" t="str">
        <f>""</f>
        <v/>
      </c>
    </row>
    <row r="97" spans="1:31" x14ac:dyDescent="0.2">
      <c r="A97" t="str">
        <f>$A$28</f>
        <v xml:space="preserve">    Indian Sub Cont. &amp; Middle East - Europe</v>
      </c>
      <c r="B97" t="str">
        <f>$B$28</f>
        <v>CSHVIEUR Index</v>
      </c>
      <c r="C97" t="str">
        <f>$C$28</f>
        <v>PX385</v>
      </c>
      <c r="D97" t="str">
        <f>$D$28</f>
        <v>INTERVAL_SUM</v>
      </c>
      <c r="E97" t="str">
        <f>$E$28</f>
        <v>Dynamic</v>
      </c>
      <c r="F97" t="e">
        <f ca="1">_xll.BDP($B$28,$C$28,CONCATENATE("PX391=", $F$71), CONCATENATE("PX392=",$F$72), CONCATENATE("DS004=",$B$64), "Fill=B")</f>
        <v>#NAME?</v>
      </c>
      <c r="G97" t="e">
        <f ca="1">_xll.BDP($B$28,$C$28,CONCATENATE("PX391=", $G$71), CONCATENATE("PX392=",$G$72), CONCATENATE("DS004=",$B$64), "Fill=B")</f>
        <v>#NAME?</v>
      </c>
      <c r="H97" t="e">
        <f ca="1">_xll.BDP($B$28,$C$28,CONCATENATE("PX391=", $H$71), CONCATENATE("PX392=",$H$72), CONCATENATE("DS004=",$B$64), "Fill=B")</f>
        <v>#NAME?</v>
      </c>
      <c r="I97" t="e">
        <f ca="1">_xll.BDP($B$28,$C$28,CONCATENATE("PX391=", $I$71), CONCATENATE("PX392=",$I$72), CONCATENATE("DS004=",$B$64), "Fill=B")</f>
        <v>#NAME?</v>
      </c>
      <c r="J97" t="e">
        <f ca="1">_xll.BDP($B$28,$C$28,CONCATENATE("PX391=", $J$71), CONCATENATE("PX392=",$J$72), CONCATENATE("DS004=",$B$64), "Fill=B")</f>
        <v>#NAME?</v>
      </c>
      <c r="K97" t="e">
        <f ca="1">_xll.BDP($B$28,$C$28,CONCATENATE("PX391=", $K$71), CONCATENATE("PX392=",$K$72), CONCATENATE("DS004=",$B$64), "Fill=B")</f>
        <v>#NAME?</v>
      </c>
      <c r="L97" t="e">
        <f ca="1">_xll.BDP($B$28,$C$28,CONCATENATE("PX391=", $L$71), CONCATENATE("PX392=",$L$72), CONCATENATE("DS004=",$B$64), "Fill=B")</f>
        <v>#NAME?</v>
      </c>
      <c r="M97" t="e">
        <f ca="1">_xll.BDP($B$28,$C$28,CONCATENATE("PX391=", $M$71), CONCATENATE("PX392=",$M$72), CONCATENATE("DS004=",$B$64), "Fill=B")</f>
        <v>#NAME?</v>
      </c>
      <c r="N97" t="e">
        <f ca="1">_xll.BDP($B$28,$C$28,CONCATENATE("PX391=", $N$71), CONCATENATE("PX392=",$N$72), CONCATENATE("DS004=",$B$64), "Fill=B")</f>
        <v>#NAME?</v>
      </c>
      <c r="O97" t="e">
        <f ca="1">_xll.BDP($B$28,$C$28,CONCATENATE("PX391=", $O$71), CONCATENATE("PX392=",$O$72), CONCATENATE("DS004=",$B$64), "Fill=B")</f>
        <v>#NAME?</v>
      </c>
      <c r="P97" t="e">
        <f ca="1">_xll.BDP($B$28,$C$28,CONCATENATE("PX391=", $P$71), CONCATENATE("PX392=",$P$72), CONCATENATE("DS004=",$B$64), "Fill=B")</f>
        <v>#NAME?</v>
      </c>
      <c r="Q97" t="e">
        <f ca="1">_xll.BDP($B$28,$C$28,CONCATENATE("PX391=", $Q$71), CONCATENATE("PX392=",$Q$72), CONCATENATE("DS004=",$B$64), "Fill=B")</f>
        <v>#NAME?</v>
      </c>
      <c r="R97" t="e">
        <f ca="1">_xll.BDP($B$28,$C$28,CONCATENATE("PX391=", $R$71), CONCATENATE("PX392=",$R$72), CONCATENATE("DS004=",$B$64), "Fill=B")</f>
        <v>#NAME?</v>
      </c>
      <c r="S97" t="str">
        <f>""</f>
        <v/>
      </c>
      <c r="T97" t="str">
        <f>""</f>
        <v/>
      </c>
      <c r="U97" t="str">
        <f>""</f>
        <v/>
      </c>
      <c r="V97" t="str">
        <f>""</f>
        <v/>
      </c>
      <c r="W97" t="str">
        <f>""</f>
        <v/>
      </c>
      <c r="X97" t="str">
        <f>""</f>
        <v/>
      </c>
      <c r="Y97" t="str">
        <f>""</f>
        <v/>
      </c>
      <c r="Z97" t="str">
        <f>""</f>
        <v/>
      </c>
      <c r="AA97" t="str">
        <f>""</f>
        <v/>
      </c>
      <c r="AB97" t="str">
        <f>""</f>
        <v/>
      </c>
      <c r="AC97" t="str">
        <f>""</f>
        <v/>
      </c>
      <c r="AD97" t="str">
        <f>""</f>
        <v/>
      </c>
      <c r="AE97" t="str">
        <f>""</f>
        <v/>
      </c>
    </row>
    <row r="98" spans="1:31" x14ac:dyDescent="0.2">
      <c r="A98" t="str">
        <f>$A$29</f>
        <v xml:space="preserve">    Indian Sub Cont. &amp; Middle East - South &amp; Central America</v>
      </c>
      <c r="B98" t="str">
        <f>$B$29</f>
        <v>CSHVISCA Index</v>
      </c>
      <c r="C98" t="str">
        <f>$C$29</f>
        <v>PX385</v>
      </c>
      <c r="D98" t="str">
        <f>$D$29</f>
        <v>INTERVAL_SUM</v>
      </c>
      <c r="E98" t="str">
        <f>$E$29</f>
        <v>Dynamic</v>
      </c>
      <c r="F98" t="e">
        <f ca="1">_xll.BDP($B$29,$C$29,CONCATENATE("PX391=", $F$71), CONCATENATE("PX392=",$F$72), CONCATENATE("DS004=",$B$64), "Fill=B")</f>
        <v>#NAME?</v>
      </c>
      <c r="G98" t="e">
        <f ca="1">_xll.BDP($B$29,$C$29,CONCATENATE("PX391=", $G$71), CONCATENATE("PX392=",$G$72), CONCATENATE("DS004=",$B$64), "Fill=B")</f>
        <v>#NAME?</v>
      </c>
      <c r="H98" t="e">
        <f ca="1">_xll.BDP($B$29,$C$29,CONCATENATE("PX391=", $H$71), CONCATENATE("PX392=",$H$72), CONCATENATE("DS004=",$B$64), "Fill=B")</f>
        <v>#NAME?</v>
      </c>
      <c r="I98" t="e">
        <f ca="1">_xll.BDP($B$29,$C$29,CONCATENATE("PX391=", $I$71), CONCATENATE("PX392=",$I$72), CONCATENATE("DS004=",$B$64), "Fill=B")</f>
        <v>#NAME?</v>
      </c>
      <c r="J98" t="e">
        <f ca="1">_xll.BDP($B$29,$C$29,CONCATENATE("PX391=", $J$71), CONCATENATE("PX392=",$J$72), CONCATENATE("DS004=",$B$64), "Fill=B")</f>
        <v>#NAME?</v>
      </c>
      <c r="K98" t="e">
        <f ca="1">_xll.BDP($B$29,$C$29,CONCATENATE("PX391=", $K$71), CONCATENATE("PX392=",$K$72), CONCATENATE("DS004=",$B$64), "Fill=B")</f>
        <v>#NAME?</v>
      </c>
      <c r="L98" t="e">
        <f ca="1">_xll.BDP($B$29,$C$29,CONCATENATE("PX391=", $L$71), CONCATENATE("PX392=",$L$72), CONCATENATE("DS004=",$B$64), "Fill=B")</f>
        <v>#NAME?</v>
      </c>
      <c r="M98" t="e">
        <f ca="1">_xll.BDP($B$29,$C$29,CONCATENATE("PX391=", $M$71), CONCATENATE("PX392=",$M$72), CONCATENATE("DS004=",$B$64), "Fill=B")</f>
        <v>#NAME?</v>
      </c>
      <c r="N98" t="e">
        <f ca="1">_xll.BDP($B$29,$C$29,CONCATENATE("PX391=", $N$71), CONCATENATE("PX392=",$N$72), CONCATENATE("DS004=",$B$64), "Fill=B")</f>
        <v>#NAME?</v>
      </c>
      <c r="O98" t="e">
        <f ca="1">_xll.BDP($B$29,$C$29,CONCATENATE("PX391=", $O$71), CONCATENATE("PX392=",$O$72), CONCATENATE("DS004=",$B$64), "Fill=B")</f>
        <v>#NAME?</v>
      </c>
      <c r="P98" t="e">
        <f ca="1">_xll.BDP($B$29,$C$29,CONCATENATE("PX391=", $P$71), CONCATENATE("PX392=",$P$72), CONCATENATE("DS004=",$B$64), "Fill=B")</f>
        <v>#NAME?</v>
      </c>
      <c r="Q98" t="e">
        <f ca="1">_xll.BDP($B$29,$C$29,CONCATENATE("PX391=", $Q$71), CONCATENATE("PX392=",$Q$72), CONCATENATE("DS004=",$B$64), "Fill=B")</f>
        <v>#NAME?</v>
      </c>
      <c r="R98" t="e">
        <f ca="1">_xll.BDP($B$29,$C$29,CONCATENATE("PX391=", $R$71), CONCATENATE("PX392=",$R$72), CONCATENATE("DS004=",$B$64), "Fill=B")</f>
        <v>#NAME?</v>
      </c>
      <c r="S98" t="str">
        <f>""</f>
        <v/>
      </c>
      <c r="T98" t="str">
        <f>""</f>
        <v/>
      </c>
      <c r="U98" t="str">
        <f>""</f>
        <v/>
      </c>
      <c r="V98" t="str">
        <f>""</f>
        <v/>
      </c>
      <c r="W98" t="str">
        <f>""</f>
        <v/>
      </c>
      <c r="X98" t="str">
        <f>""</f>
        <v/>
      </c>
      <c r="Y98" t="str">
        <f>""</f>
        <v/>
      </c>
      <c r="Z98" t="str">
        <f>""</f>
        <v/>
      </c>
      <c r="AA98" t="str">
        <f>""</f>
        <v/>
      </c>
      <c r="AB98" t="str">
        <f>""</f>
        <v/>
      </c>
      <c r="AC98" t="str">
        <f>""</f>
        <v/>
      </c>
      <c r="AD98" t="str">
        <f>""</f>
        <v/>
      </c>
      <c r="AE98" t="str">
        <f>""</f>
        <v/>
      </c>
    </row>
    <row r="99" spans="1:31" x14ac:dyDescent="0.2">
      <c r="A99" t="str">
        <f>$A$30</f>
        <v xml:space="preserve">    Indian Sub Cont. &amp; Middle East - Sub Saharan Africa</v>
      </c>
      <c r="B99" t="str">
        <f>$B$30</f>
        <v>CSHVISSA Index</v>
      </c>
      <c r="C99" t="str">
        <f>$C$30</f>
        <v>PX385</v>
      </c>
      <c r="D99" t="str">
        <f>$D$30</f>
        <v>INTERVAL_SUM</v>
      </c>
      <c r="E99" t="str">
        <f>$E$30</f>
        <v>Dynamic</v>
      </c>
      <c r="F99" t="e">
        <f ca="1">_xll.BDP($B$30,$C$30,CONCATENATE("PX391=", $F$71), CONCATENATE("PX392=",$F$72), CONCATENATE("DS004=",$B$64), "Fill=B")</f>
        <v>#NAME?</v>
      </c>
      <c r="G99" t="e">
        <f ca="1">_xll.BDP($B$30,$C$30,CONCATENATE("PX391=", $G$71), CONCATENATE("PX392=",$G$72), CONCATENATE("DS004=",$B$64), "Fill=B")</f>
        <v>#NAME?</v>
      </c>
      <c r="H99" t="e">
        <f ca="1">_xll.BDP($B$30,$C$30,CONCATENATE("PX391=", $H$71), CONCATENATE("PX392=",$H$72), CONCATENATE("DS004=",$B$64), "Fill=B")</f>
        <v>#NAME?</v>
      </c>
      <c r="I99" t="e">
        <f ca="1">_xll.BDP($B$30,$C$30,CONCATENATE("PX391=", $I$71), CONCATENATE("PX392=",$I$72), CONCATENATE("DS004=",$B$64), "Fill=B")</f>
        <v>#NAME?</v>
      </c>
      <c r="J99" t="e">
        <f ca="1">_xll.BDP($B$30,$C$30,CONCATENATE("PX391=", $J$71), CONCATENATE("PX392=",$J$72), CONCATENATE("DS004=",$B$64), "Fill=B")</f>
        <v>#NAME?</v>
      </c>
      <c r="K99" t="e">
        <f ca="1">_xll.BDP($B$30,$C$30,CONCATENATE("PX391=", $K$71), CONCATENATE("PX392=",$K$72), CONCATENATE("DS004=",$B$64), "Fill=B")</f>
        <v>#NAME?</v>
      </c>
      <c r="L99" t="e">
        <f ca="1">_xll.BDP($B$30,$C$30,CONCATENATE("PX391=", $L$71), CONCATENATE("PX392=",$L$72), CONCATENATE("DS004=",$B$64), "Fill=B")</f>
        <v>#NAME?</v>
      </c>
      <c r="M99" t="e">
        <f ca="1">_xll.BDP($B$30,$C$30,CONCATENATE("PX391=", $M$71), CONCATENATE("PX392=",$M$72), CONCATENATE("DS004=",$B$64), "Fill=B")</f>
        <v>#NAME?</v>
      </c>
      <c r="N99" t="e">
        <f ca="1">_xll.BDP($B$30,$C$30,CONCATENATE("PX391=", $N$71), CONCATENATE("PX392=",$N$72), CONCATENATE("DS004=",$B$64), "Fill=B")</f>
        <v>#NAME?</v>
      </c>
      <c r="O99" t="e">
        <f ca="1">_xll.BDP($B$30,$C$30,CONCATENATE("PX391=", $O$71), CONCATENATE("PX392=",$O$72), CONCATENATE("DS004=",$B$64), "Fill=B")</f>
        <v>#NAME?</v>
      </c>
      <c r="P99" t="e">
        <f ca="1">_xll.BDP($B$30,$C$30,CONCATENATE("PX391=", $P$71), CONCATENATE("PX392=",$P$72), CONCATENATE("DS004=",$B$64), "Fill=B")</f>
        <v>#NAME?</v>
      </c>
      <c r="Q99" t="e">
        <f ca="1">_xll.BDP($B$30,$C$30,CONCATENATE("PX391=", $Q$71), CONCATENATE("PX392=",$Q$72), CONCATENATE("DS004=",$B$64), "Fill=B")</f>
        <v>#NAME?</v>
      </c>
      <c r="R99" t="e">
        <f ca="1">_xll.BDP($B$30,$C$30,CONCATENATE("PX391=", $R$71), CONCATENATE("PX392=",$R$72), CONCATENATE("DS004=",$B$64), "Fill=B")</f>
        <v>#NAME?</v>
      </c>
      <c r="S99" t="str">
        <f>""</f>
        <v/>
      </c>
      <c r="T99" t="str">
        <f>""</f>
        <v/>
      </c>
      <c r="U99" t="str">
        <f>""</f>
        <v/>
      </c>
      <c r="V99" t="str">
        <f>""</f>
        <v/>
      </c>
      <c r="W99" t="str">
        <f>""</f>
        <v/>
      </c>
      <c r="X99" t="str">
        <f>""</f>
        <v/>
      </c>
      <c r="Y99" t="str">
        <f>""</f>
        <v/>
      </c>
      <c r="Z99" t="str">
        <f>""</f>
        <v/>
      </c>
      <c r="AA99" t="str">
        <f>""</f>
        <v/>
      </c>
      <c r="AB99" t="str">
        <f>""</f>
        <v/>
      </c>
      <c r="AC99" t="str">
        <f>""</f>
        <v/>
      </c>
      <c r="AD99" t="str">
        <f>""</f>
        <v/>
      </c>
      <c r="AE99" t="str">
        <f>""</f>
        <v/>
      </c>
    </row>
    <row r="100" spans="1:31" x14ac:dyDescent="0.2">
      <c r="A100" t="str">
        <f>$A$31</f>
        <v xml:space="preserve">    Indian Sub Cont. &amp; Middle East - Ind. Sub Cont. &amp; ME</v>
      </c>
      <c r="B100" t="str">
        <f>$B$31</f>
        <v>CSHVIIME Index</v>
      </c>
      <c r="C100" t="str">
        <f>$C$31</f>
        <v>PX385</v>
      </c>
      <c r="D100" t="str">
        <f>$D$31</f>
        <v>INTERVAL_SUM</v>
      </c>
      <c r="E100" t="str">
        <f>$E$31</f>
        <v>Dynamic</v>
      </c>
      <c r="F100" t="e">
        <f ca="1">_xll.BDP($B$31,$C$31,CONCATENATE("PX391=", $F$71), CONCATENATE("PX392=",$F$72), CONCATENATE("DS004=",$B$64), "Fill=B")</f>
        <v>#NAME?</v>
      </c>
      <c r="G100" t="e">
        <f ca="1">_xll.BDP($B$31,$C$31,CONCATENATE("PX391=", $G$71), CONCATENATE("PX392=",$G$72), CONCATENATE("DS004=",$B$64), "Fill=B")</f>
        <v>#NAME?</v>
      </c>
      <c r="H100" t="e">
        <f ca="1">_xll.BDP($B$31,$C$31,CONCATENATE("PX391=", $H$71), CONCATENATE("PX392=",$H$72), CONCATENATE("DS004=",$B$64), "Fill=B")</f>
        <v>#NAME?</v>
      </c>
      <c r="I100" t="e">
        <f ca="1">_xll.BDP($B$31,$C$31,CONCATENATE("PX391=", $I$71), CONCATENATE("PX392=",$I$72), CONCATENATE("DS004=",$B$64), "Fill=B")</f>
        <v>#NAME?</v>
      </c>
      <c r="J100" t="e">
        <f ca="1">_xll.BDP($B$31,$C$31,CONCATENATE("PX391=", $J$71), CONCATENATE("PX392=",$J$72), CONCATENATE("DS004=",$B$64), "Fill=B")</f>
        <v>#NAME?</v>
      </c>
      <c r="K100" t="e">
        <f ca="1">_xll.BDP($B$31,$C$31,CONCATENATE("PX391=", $K$71), CONCATENATE("PX392=",$K$72), CONCATENATE("DS004=",$B$64), "Fill=B")</f>
        <v>#NAME?</v>
      </c>
      <c r="L100" t="e">
        <f ca="1">_xll.BDP($B$31,$C$31,CONCATENATE("PX391=", $L$71), CONCATENATE("PX392=",$L$72), CONCATENATE("DS004=",$B$64), "Fill=B")</f>
        <v>#NAME?</v>
      </c>
      <c r="M100" t="e">
        <f ca="1">_xll.BDP($B$31,$C$31,CONCATENATE("PX391=", $M$71), CONCATENATE("PX392=",$M$72), CONCATENATE("DS004=",$B$64), "Fill=B")</f>
        <v>#NAME?</v>
      </c>
      <c r="N100" t="e">
        <f ca="1">_xll.BDP($B$31,$C$31,CONCATENATE("PX391=", $N$71), CONCATENATE("PX392=",$N$72), CONCATENATE("DS004=",$B$64), "Fill=B")</f>
        <v>#NAME?</v>
      </c>
      <c r="O100" t="e">
        <f ca="1">_xll.BDP($B$31,$C$31,CONCATENATE("PX391=", $O$71), CONCATENATE("PX392=",$O$72), CONCATENATE("DS004=",$B$64), "Fill=B")</f>
        <v>#NAME?</v>
      </c>
      <c r="P100" t="e">
        <f ca="1">_xll.BDP($B$31,$C$31,CONCATENATE("PX391=", $P$71), CONCATENATE("PX392=",$P$72), CONCATENATE("DS004=",$B$64), "Fill=B")</f>
        <v>#NAME?</v>
      </c>
      <c r="Q100" t="e">
        <f ca="1">_xll.BDP($B$31,$C$31,CONCATENATE("PX391=", $Q$71), CONCATENATE("PX392=",$Q$72), CONCATENATE("DS004=",$B$64), "Fill=B")</f>
        <v>#NAME?</v>
      </c>
      <c r="R100" t="e">
        <f ca="1">_xll.BDP($B$31,$C$31,CONCATENATE("PX391=", $R$71), CONCATENATE("PX392=",$R$72), CONCATENATE("DS004=",$B$64), "Fill=B")</f>
        <v>#NAME?</v>
      </c>
      <c r="S100" t="str">
        <f>""</f>
        <v/>
      </c>
      <c r="T100" t="str">
        <f>""</f>
        <v/>
      </c>
      <c r="U100" t="str">
        <f>""</f>
        <v/>
      </c>
      <c r="V100" t="str">
        <f>""</f>
        <v/>
      </c>
      <c r="W100" t="str">
        <f>""</f>
        <v/>
      </c>
      <c r="X100" t="str">
        <f>""</f>
        <v/>
      </c>
      <c r="Y100" t="str">
        <f>""</f>
        <v/>
      </c>
      <c r="Z100" t="str">
        <f>""</f>
        <v/>
      </c>
      <c r="AA100" t="str">
        <f>""</f>
        <v/>
      </c>
      <c r="AB100" t="str">
        <f>""</f>
        <v/>
      </c>
      <c r="AC100" t="str">
        <f>""</f>
        <v/>
      </c>
      <c r="AD100" t="str">
        <f>""</f>
        <v/>
      </c>
      <c r="AE100" t="str">
        <f>""</f>
        <v/>
      </c>
    </row>
    <row r="101" spans="1:31" x14ac:dyDescent="0.2">
      <c r="A101" t="str">
        <f>$A$32</f>
        <v xml:space="preserve">    North America - Europe</v>
      </c>
      <c r="B101" t="str">
        <f>$B$32</f>
        <v>CSHVNEUR Index</v>
      </c>
      <c r="C101" t="str">
        <f>$C$32</f>
        <v>PX385</v>
      </c>
      <c r="D101" t="str">
        <f>$D$32</f>
        <v>INTERVAL_SUM</v>
      </c>
      <c r="E101" t="str">
        <f>$E$32</f>
        <v>Dynamic</v>
      </c>
      <c r="F101" t="e">
        <f ca="1">_xll.BDP($B$32,$C$32,CONCATENATE("PX391=", $F$71), CONCATENATE("PX392=",$F$72), CONCATENATE("DS004=",$B$64), "Fill=B")</f>
        <v>#NAME?</v>
      </c>
      <c r="G101" t="e">
        <f ca="1">_xll.BDP($B$32,$C$32,CONCATENATE("PX391=", $G$71), CONCATENATE("PX392=",$G$72), CONCATENATE("DS004=",$B$64), "Fill=B")</f>
        <v>#NAME?</v>
      </c>
      <c r="H101" t="e">
        <f ca="1">_xll.BDP($B$32,$C$32,CONCATENATE("PX391=", $H$71), CONCATENATE("PX392=",$H$72), CONCATENATE("DS004=",$B$64), "Fill=B")</f>
        <v>#NAME?</v>
      </c>
      <c r="I101" t="e">
        <f ca="1">_xll.BDP($B$32,$C$32,CONCATENATE("PX391=", $I$71), CONCATENATE("PX392=",$I$72), CONCATENATE("DS004=",$B$64), "Fill=B")</f>
        <v>#NAME?</v>
      </c>
      <c r="J101" t="e">
        <f ca="1">_xll.BDP($B$32,$C$32,CONCATENATE("PX391=", $J$71), CONCATENATE("PX392=",$J$72), CONCATENATE("DS004=",$B$64), "Fill=B")</f>
        <v>#NAME?</v>
      </c>
      <c r="K101" t="e">
        <f ca="1">_xll.BDP($B$32,$C$32,CONCATENATE("PX391=", $K$71), CONCATENATE("PX392=",$K$72), CONCATENATE("DS004=",$B$64), "Fill=B")</f>
        <v>#NAME?</v>
      </c>
      <c r="L101" t="e">
        <f ca="1">_xll.BDP($B$32,$C$32,CONCATENATE("PX391=", $L$71), CONCATENATE("PX392=",$L$72), CONCATENATE("DS004=",$B$64), "Fill=B")</f>
        <v>#NAME?</v>
      </c>
      <c r="M101" t="e">
        <f ca="1">_xll.BDP($B$32,$C$32,CONCATENATE("PX391=", $M$71), CONCATENATE("PX392=",$M$72), CONCATENATE("DS004=",$B$64), "Fill=B")</f>
        <v>#NAME?</v>
      </c>
      <c r="N101" t="e">
        <f ca="1">_xll.BDP($B$32,$C$32,CONCATENATE("PX391=", $N$71), CONCATENATE("PX392=",$N$72), CONCATENATE("DS004=",$B$64), "Fill=B")</f>
        <v>#NAME?</v>
      </c>
      <c r="O101" t="e">
        <f ca="1">_xll.BDP($B$32,$C$32,CONCATENATE("PX391=", $O$71), CONCATENATE("PX392=",$O$72), CONCATENATE("DS004=",$B$64), "Fill=B")</f>
        <v>#NAME?</v>
      </c>
      <c r="P101" t="e">
        <f ca="1">_xll.BDP($B$32,$C$32,CONCATENATE("PX391=", $P$71), CONCATENATE("PX392=",$P$72), CONCATENATE("DS004=",$B$64), "Fill=B")</f>
        <v>#NAME?</v>
      </c>
      <c r="Q101" t="e">
        <f ca="1">_xll.BDP($B$32,$C$32,CONCATENATE("PX391=", $Q$71), CONCATENATE("PX392=",$Q$72), CONCATENATE("DS004=",$B$64), "Fill=B")</f>
        <v>#NAME?</v>
      </c>
      <c r="R101" t="e">
        <f ca="1">_xll.BDP($B$32,$C$32,CONCATENATE("PX391=", $R$71), CONCATENATE("PX392=",$R$72), CONCATENATE("DS004=",$B$64), "Fill=B")</f>
        <v>#NAME?</v>
      </c>
      <c r="S101" t="str">
        <f>""</f>
        <v/>
      </c>
      <c r="T101" t="str">
        <f>""</f>
        <v/>
      </c>
      <c r="U101" t="str">
        <f>""</f>
        <v/>
      </c>
      <c r="V101" t="str">
        <f>""</f>
        <v/>
      </c>
      <c r="W101" t="str">
        <f>""</f>
        <v/>
      </c>
      <c r="X101" t="str">
        <f>""</f>
        <v/>
      </c>
      <c r="Y101" t="str">
        <f>""</f>
        <v/>
      </c>
      <c r="Z101" t="str">
        <f>""</f>
        <v/>
      </c>
      <c r="AA101" t="str">
        <f>""</f>
        <v/>
      </c>
      <c r="AB101" t="str">
        <f>""</f>
        <v/>
      </c>
      <c r="AC101" t="str">
        <f>""</f>
        <v/>
      </c>
      <c r="AD101" t="str">
        <f>""</f>
        <v/>
      </c>
      <c r="AE101" t="str">
        <f>""</f>
        <v/>
      </c>
    </row>
    <row r="102" spans="1:31" x14ac:dyDescent="0.2">
      <c r="A102" t="str">
        <f>$A$33</f>
        <v xml:space="preserve">    North America - South &amp; Central America</v>
      </c>
      <c r="B102" t="str">
        <f>$B$33</f>
        <v>CSHVNSCA Index</v>
      </c>
      <c r="C102" t="str">
        <f>$C$33</f>
        <v>PX385</v>
      </c>
      <c r="D102" t="str">
        <f>$D$33</f>
        <v>INTERVAL_SUM</v>
      </c>
      <c r="E102" t="str">
        <f>$E$33</f>
        <v>Dynamic</v>
      </c>
      <c r="F102" t="e">
        <f ca="1">_xll.BDP($B$33,$C$33,CONCATENATE("PX391=", $F$71), CONCATENATE("PX392=",$F$72), CONCATENATE("DS004=",$B$64), "Fill=B")</f>
        <v>#NAME?</v>
      </c>
      <c r="G102" t="e">
        <f ca="1">_xll.BDP($B$33,$C$33,CONCATENATE("PX391=", $G$71), CONCATENATE("PX392=",$G$72), CONCATENATE("DS004=",$B$64), "Fill=B")</f>
        <v>#NAME?</v>
      </c>
      <c r="H102" t="e">
        <f ca="1">_xll.BDP($B$33,$C$33,CONCATENATE("PX391=", $H$71), CONCATENATE("PX392=",$H$72), CONCATENATE("DS004=",$B$64), "Fill=B")</f>
        <v>#NAME?</v>
      </c>
      <c r="I102" t="e">
        <f ca="1">_xll.BDP($B$33,$C$33,CONCATENATE("PX391=", $I$71), CONCATENATE("PX392=",$I$72), CONCATENATE("DS004=",$B$64), "Fill=B")</f>
        <v>#NAME?</v>
      </c>
      <c r="J102" t="e">
        <f ca="1">_xll.BDP($B$33,$C$33,CONCATENATE("PX391=", $J$71), CONCATENATE("PX392=",$J$72), CONCATENATE("DS004=",$B$64), "Fill=B")</f>
        <v>#NAME?</v>
      </c>
      <c r="K102" t="e">
        <f ca="1">_xll.BDP($B$33,$C$33,CONCATENATE("PX391=", $K$71), CONCATENATE("PX392=",$K$72), CONCATENATE("DS004=",$B$64), "Fill=B")</f>
        <v>#NAME?</v>
      </c>
      <c r="L102" t="e">
        <f ca="1">_xll.BDP($B$33,$C$33,CONCATENATE("PX391=", $L$71), CONCATENATE("PX392=",$L$72), CONCATENATE("DS004=",$B$64), "Fill=B")</f>
        <v>#NAME?</v>
      </c>
      <c r="M102" t="e">
        <f ca="1">_xll.BDP($B$33,$C$33,CONCATENATE("PX391=", $M$71), CONCATENATE("PX392=",$M$72), CONCATENATE("DS004=",$B$64), "Fill=B")</f>
        <v>#NAME?</v>
      </c>
      <c r="N102" t="e">
        <f ca="1">_xll.BDP($B$33,$C$33,CONCATENATE("PX391=", $N$71), CONCATENATE("PX392=",$N$72), CONCATENATE("DS004=",$B$64), "Fill=B")</f>
        <v>#NAME?</v>
      </c>
      <c r="O102" t="e">
        <f ca="1">_xll.BDP($B$33,$C$33,CONCATENATE("PX391=", $O$71), CONCATENATE("PX392=",$O$72), CONCATENATE("DS004=",$B$64), "Fill=B")</f>
        <v>#NAME?</v>
      </c>
      <c r="P102" t="e">
        <f ca="1">_xll.BDP($B$33,$C$33,CONCATENATE("PX391=", $P$71), CONCATENATE("PX392=",$P$72), CONCATENATE("DS004=",$B$64), "Fill=B")</f>
        <v>#NAME?</v>
      </c>
      <c r="Q102" t="e">
        <f ca="1">_xll.BDP($B$33,$C$33,CONCATENATE("PX391=", $Q$71), CONCATENATE("PX392=",$Q$72), CONCATENATE("DS004=",$B$64), "Fill=B")</f>
        <v>#NAME?</v>
      </c>
      <c r="R102" t="e">
        <f ca="1">_xll.BDP($B$33,$C$33,CONCATENATE("PX391=", $R$71), CONCATENATE("PX392=",$R$72), CONCATENATE("DS004=",$B$64), "Fill=B")</f>
        <v>#NAME?</v>
      </c>
      <c r="S102" t="str">
        <f>""</f>
        <v/>
      </c>
      <c r="T102" t="str">
        <f>""</f>
        <v/>
      </c>
      <c r="U102" t="str">
        <f>""</f>
        <v/>
      </c>
      <c r="V102" t="str">
        <f>""</f>
        <v/>
      </c>
      <c r="W102" t="str">
        <f>""</f>
        <v/>
      </c>
      <c r="X102" t="str">
        <f>""</f>
        <v/>
      </c>
      <c r="Y102" t="str">
        <f>""</f>
        <v/>
      </c>
      <c r="Z102" t="str">
        <f>""</f>
        <v/>
      </c>
      <c r="AA102" t="str">
        <f>""</f>
        <v/>
      </c>
      <c r="AB102" t="str">
        <f>""</f>
        <v/>
      </c>
      <c r="AC102" t="str">
        <f>""</f>
        <v/>
      </c>
      <c r="AD102" t="str">
        <f>""</f>
        <v/>
      </c>
      <c r="AE102" t="str">
        <f>""</f>
        <v/>
      </c>
    </row>
    <row r="103" spans="1:31" x14ac:dyDescent="0.2">
      <c r="A103" t="str">
        <f>$A$34</f>
        <v xml:space="preserve">    North America - Indian Sub Cont. &amp; Middle East</v>
      </c>
      <c r="B103" t="str">
        <f>$B$34</f>
        <v>CSHVNIME Index</v>
      </c>
      <c r="C103" t="str">
        <f>$C$34</f>
        <v>PX385</v>
      </c>
      <c r="D103" t="str">
        <f>$D$34</f>
        <v>INTERVAL_SUM</v>
      </c>
      <c r="E103" t="str">
        <f>$E$34</f>
        <v>Dynamic</v>
      </c>
      <c r="F103" t="e">
        <f ca="1">_xll.BDP($B$34,$C$34,CONCATENATE("PX391=", $F$71), CONCATENATE("PX392=",$F$72), CONCATENATE("DS004=",$B$64), "Fill=B")</f>
        <v>#NAME?</v>
      </c>
      <c r="G103" t="e">
        <f ca="1">_xll.BDP($B$34,$C$34,CONCATENATE("PX391=", $G$71), CONCATENATE("PX392=",$G$72), CONCATENATE("DS004=",$B$64), "Fill=B")</f>
        <v>#NAME?</v>
      </c>
      <c r="H103" t="e">
        <f ca="1">_xll.BDP($B$34,$C$34,CONCATENATE("PX391=", $H$71), CONCATENATE("PX392=",$H$72), CONCATENATE("DS004=",$B$64), "Fill=B")</f>
        <v>#NAME?</v>
      </c>
      <c r="I103" t="e">
        <f ca="1">_xll.BDP($B$34,$C$34,CONCATENATE("PX391=", $I$71), CONCATENATE("PX392=",$I$72), CONCATENATE("DS004=",$B$64), "Fill=B")</f>
        <v>#NAME?</v>
      </c>
      <c r="J103" t="e">
        <f ca="1">_xll.BDP($B$34,$C$34,CONCATENATE("PX391=", $J$71), CONCATENATE("PX392=",$J$72), CONCATENATE("DS004=",$B$64), "Fill=B")</f>
        <v>#NAME?</v>
      </c>
      <c r="K103" t="e">
        <f ca="1">_xll.BDP($B$34,$C$34,CONCATENATE("PX391=", $K$71), CONCATENATE("PX392=",$K$72), CONCATENATE("DS004=",$B$64), "Fill=B")</f>
        <v>#NAME?</v>
      </c>
      <c r="L103" t="e">
        <f ca="1">_xll.BDP($B$34,$C$34,CONCATENATE("PX391=", $L$71), CONCATENATE("PX392=",$L$72), CONCATENATE("DS004=",$B$64), "Fill=B")</f>
        <v>#NAME?</v>
      </c>
      <c r="M103" t="e">
        <f ca="1">_xll.BDP($B$34,$C$34,CONCATENATE("PX391=", $M$71), CONCATENATE("PX392=",$M$72), CONCATENATE("DS004=",$B$64), "Fill=B")</f>
        <v>#NAME?</v>
      </c>
      <c r="N103" t="e">
        <f ca="1">_xll.BDP($B$34,$C$34,CONCATENATE("PX391=", $N$71), CONCATENATE("PX392=",$N$72), CONCATENATE("DS004=",$B$64), "Fill=B")</f>
        <v>#NAME?</v>
      </c>
      <c r="O103" t="e">
        <f ca="1">_xll.BDP($B$34,$C$34,CONCATENATE("PX391=", $O$71), CONCATENATE("PX392=",$O$72), CONCATENATE("DS004=",$B$64), "Fill=B")</f>
        <v>#NAME?</v>
      </c>
      <c r="P103" t="e">
        <f ca="1">_xll.BDP($B$34,$C$34,CONCATENATE("PX391=", $P$71), CONCATENATE("PX392=",$P$72), CONCATENATE("DS004=",$B$64), "Fill=B")</f>
        <v>#NAME?</v>
      </c>
      <c r="Q103" t="e">
        <f ca="1">_xll.BDP($B$34,$C$34,CONCATENATE("PX391=", $Q$71), CONCATENATE("PX392=",$Q$72), CONCATENATE("DS004=",$B$64), "Fill=B")</f>
        <v>#NAME?</v>
      </c>
      <c r="R103" t="e">
        <f ca="1">_xll.BDP($B$34,$C$34,CONCATENATE("PX391=", $R$71), CONCATENATE("PX392=",$R$72), CONCATENATE("DS004=",$B$64), "Fill=B")</f>
        <v>#NAME?</v>
      </c>
      <c r="S103" t="str">
        <f>""</f>
        <v/>
      </c>
      <c r="T103" t="str">
        <f>""</f>
        <v/>
      </c>
      <c r="U103" t="str">
        <f>""</f>
        <v/>
      </c>
      <c r="V103" t="str">
        <f>""</f>
        <v/>
      </c>
      <c r="W103" t="str">
        <f>""</f>
        <v/>
      </c>
      <c r="X103" t="str">
        <f>""</f>
        <v/>
      </c>
      <c r="Y103" t="str">
        <f>""</f>
        <v/>
      </c>
      <c r="Z103" t="str">
        <f>""</f>
        <v/>
      </c>
      <c r="AA103" t="str">
        <f>""</f>
        <v/>
      </c>
      <c r="AB103" t="str">
        <f>""</f>
        <v/>
      </c>
      <c r="AC103" t="str">
        <f>""</f>
        <v/>
      </c>
      <c r="AD103" t="str">
        <f>""</f>
        <v/>
      </c>
      <c r="AE103" t="str">
        <f>""</f>
        <v/>
      </c>
    </row>
    <row r="104" spans="1:31" x14ac:dyDescent="0.2">
      <c r="A104" t="str">
        <f>$A$35</f>
        <v xml:space="preserve">    North America - Sub Saharan Africa</v>
      </c>
      <c r="B104" t="str">
        <f>$B$35</f>
        <v>CSHVNSSA Index</v>
      </c>
      <c r="C104" t="str">
        <f>$C$35</f>
        <v>PX385</v>
      </c>
      <c r="D104" t="str">
        <f>$D$35</f>
        <v>INTERVAL_SUM</v>
      </c>
      <c r="E104" t="str">
        <f>$E$35</f>
        <v>Dynamic</v>
      </c>
      <c r="F104" t="e">
        <f ca="1">_xll.BDP($B$35,$C$35,CONCATENATE("PX391=", $F$71), CONCATENATE("PX392=",$F$72), CONCATENATE("DS004=",$B$64), "Fill=B")</f>
        <v>#NAME?</v>
      </c>
      <c r="G104" t="e">
        <f ca="1">_xll.BDP($B$35,$C$35,CONCATENATE("PX391=", $G$71), CONCATENATE("PX392=",$G$72), CONCATENATE("DS004=",$B$64), "Fill=B")</f>
        <v>#NAME?</v>
      </c>
      <c r="H104" t="e">
        <f ca="1">_xll.BDP($B$35,$C$35,CONCATENATE("PX391=", $H$71), CONCATENATE("PX392=",$H$72), CONCATENATE("DS004=",$B$64), "Fill=B")</f>
        <v>#NAME?</v>
      </c>
      <c r="I104" t="e">
        <f ca="1">_xll.BDP($B$35,$C$35,CONCATENATE("PX391=", $I$71), CONCATENATE("PX392=",$I$72), CONCATENATE("DS004=",$B$64), "Fill=B")</f>
        <v>#NAME?</v>
      </c>
      <c r="J104" t="e">
        <f ca="1">_xll.BDP($B$35,$C$35,CONCATENATE("PX391=", $J$71), CONCATENATE("PX392=",$J$72), CONCATENATE("DS004=",$B$64), "Fill=B")</f>
        <v>#NAME?</v>
      </c>
      <c r="K104" t="e">
        <f ca="1">_xll.BDP($B$35,$C$35,CONCATENATE("PX391=", $K$71), CONCATENATE("PX392=",$K$72), CONCATENATE("DS004=",$B$64), "Fill=B")</f>
        <v>#NAME?</v>
      </c>
      <c r="L104" t="e">
        <f ca="1">_xll.BDP($B$35,$C$35,CONCATENATE("PX391=", $L$71), CONCATENATE("PX392=",$L$72), CONCATENATE("DS004=",$B$64), "Fill=B")</f>
        <v>#NAME?</v>
      </c>
      <c r="M104" t="e">
        <f ca="1">_xll.BDP($B$35,$C$35,CONCATENATE("PX391=", $M$71), CONCATENATE("PX392=",$M$72), CONCATENATE("DS004=",$B$64), "Fill=B")</f>
        <v>#NAME?</v>
      </c>
      <c r="N104" t="e">
        <f ca="1">_xll.BDP($B$35,$C$35,CONCATENATE("PX391=", $N$71), CONCATENATE("PX392=",$N$72), CONCATENATE("DS004=",$B$64), "Fill=B")</f>
        <v>#NAME?</v>
      </c>
      <c r="O104" t="e">
        <f ca="1">_xll.BDP($B$35,$C$35,CONCATENATE("PX391=", $O$71), CONCATENATE("PX392=",$O$72), CONCATENATE("DS004=",$B$64), "Fill=B")</f>
        <v>#NAME?</v>
      </c>
      <c r="P104" t="e">
        <f ca="1">_xll.BDP($B$35,$C$35,CONCATENATE("PX391=", $P$71), CONCATENATE("PX392=",$P$72), CONCATENATE("DS004=",$B$64), "Fill=B")</f>
        <v>#NAME?</v>
      </c>
      <c r="Q104" t="e">
        <f ca="1">_xll.BDP($B$35,$C$35,CONCATENATE("PX391=", $Q$71), CONCATENATE("PX392=",$Q$72), CONCATENATE("DS004=",$B$64), "Fill=B")</f>
        <v>#NAME?</v>
      </c>
      <c r="R104" t="e">
        <f ca="1">_xll.BDP($B$35,$C$35,CONCATENATE("PX391=", $R$71), CONCATENATE("PX392=",$R$72), CONCATENATE("DS004=",$B$64), "Fill=B")</f>
        <v>#NAME?</v>
      </c>
      <c r="S104" t="str">
        <f>""</f>
        <v/>
      </c>
      <c r="T104" t="str">
        <f>""</f>
        <v/>
      </c>
      <c r="U104" t="str">
        <f>""</f>
        <v/>
      </c>
      <c r="V104" t="str">
        <f>""</f>
        <v/>
      </c>
      <c r="W104" t="str">
        <f>""</f>
        <v/>
      </c>
      <c r="X104" t="str">
        <f>""</f>
        <v/>
      </c>
      <c r="Y104" t="str">
        <f>""</f>
        <v/>
      </c>
      <c r="Z104" t="str">
        <f>""</f>
        <v/>
      </c>
      <c r="AA104" t="str">
        <f>""</f>
        <v/>
      </c>
      <c r="AB104" t="str">
        <f>""</f>
        <v/>
      </c>
      <c r="AC104" t="str">
        <f>""</f>
        <v/>
      </c>
      <c r="AD104" t="str">
        <f>""</f>
        <v/>
      </c>
      <c r="AE104" t="str">
        <f>""</f>
        <v/>
      </c>
    </row>
    <row r="105" spans="1:31" x14ac:dyDescent="0.2">
      <c r="A105" t="str">
        <f>$A$36</f>
        <v xml:space="preserve">    North America - North America</v>
      </c>
      <c r="B105" t="str">
        <f>$B$36</f>
        <v>CSHVNNAR Index</v>
      </c>
      <c r="C105" t="str">
        <f>$C$36</f>
        <v>PX385</v>
      </c>
      <c r="D105" t="str">
        <f>$D$36</f>
        <v>INTERVAL_SUM</v>
      </c>
      <c r="E105" t="str">
        <f>$E$36</f>
        <v>Dynamic</v>
      </c>
      <c r="F105" t="e">
        <f ca="1">_xll.BDP($B$36,$C$36,CONCATENATE("PX391=", $F$71), CONCATENATE("PX392=",$F$72), CONCATENATE("DS004=",$B$64), "Fill=B")</f>
        <v>#NAME?</v>
      </c>
      <c r="G105" t="e">
        <f ca="1">_xll.BDP($B$36,$C$36,CONCATENATE("PX391=", $G$71), CONCATENATE("PX392=",$G$72), CONCATENATE("DS004=",$B$64), "Fill=B")</f>
        <v>#NAME?</v>
      </c>
      <c r="H105" t="e">
        <f ca="1">_xll.BDP($B$36,$C$36,CONCATENATE("PX391=", $H$71), CONCATENATE("PX392=",$H$72), CONCATENATE("DS004=",$B$64), "Fill=B")</f>
        <v>#NAME?</v>
      </c>
      <c r="I105" t="e">
        <f ca="1">_xll.BDP($B$36,$C$36,CONCATENATE("PX391=", $I$71), CONCATENATE("PX392=",$I$72), CONCATENATE("DS004=",$B$64), "Fill=B")</f>
        <v>#NAME?</v>
      </c>
      <c r="J105" t="e">
        <f ca="1">_xll.BDP($B$36,$C$36,CONCATENATE("PX391=", $J$71), CONCATENATE("PX392=",$J$72), CONCATENATE("DS004=",$B$64), "Fill=B")</f>
        <v>#NAME?</v>
      </c>
      <c r="K105" t="e">
        <f ca="1">_xll.BDP($B$36,$C$36,CONCATENATE("PX391=", $K$71), CONCATENATE("PX392=",$K$72), CONCATENATE("DS004=",$B$64), "Fill=B")</f>
        <v>#NAME?</v>
      </c>
      <c r="L105" t="e">
        <f ca="1">_xll.BDP($B$36,$C$36,CONCATENATE("PX391=", $L$71), CONCATENATE("PX392=",$L$72), CONCATENATE("DS004=",$B$64), "Fill=B")</f>
        <v>#NAME?</v>
      </c>
      <c r="M105" t="e">
        <f ca="1">_xll.BDP($B$36,$C$36,CONCATENATE("PX391=", $M$71), CONCATENATE("PX392=",$M$72), CONCATENATE("DS004=",$B$64), "Fill=B")</f>
        <v>#NAME?</v>
      </c>
      <c r="N105" t="e">
        <f ca="1">_xll.BDP($B$36,$C$36,CONCATENATE("PX391=", $N$71), CONCATENATE("PX392=",$N$72), CONCATENATE("DS004=",$B$64), "Fill=B")</f>
        <v>#NAME?</v>
      </c>
      <c r="O105" t="e">
        <f ca="1">_xll.BDP($B$36,$C$36,CONCATENATE("PX391=", $O$71), CONCATENATE("PX392=",$O$72), CONCATENATE("DS004=",$B$64), "Fill=B")</f>
        <v>#NAME?</v>
      </c>
      <c r="P105" t="e">
        <f ca="1">_xll.BDP($B$36,$C$36,CONCATENATE("PX391=", $P$71), CONCATENATE("PX392=",$P$72), CONCATENATE("DS004=",$B$64), "Fill=B")</f>
        <v>#NAME?</v>
      </c>
      <c r="Q105" t="e">
        <f ca="1">_xll.BDP($B$36,$C$36,CONCATENATE("PX391=", $Q$71), CONCATENATE("PX392=",$Q$72), CONCATENATE("DS004=",$B$64), "Fill=B")</f>
        <v>#NAME?</v>
      </c>
      <c r="R105" t="e">
        <f ca="1">_xll.BDP($B$36,$C$36,CONCATENATE("PX391=", $R$71), CONCATENATE("PX392=",$R$72), CONCATENATE("DS004=",$B$64), "Fill=B")</f>
        <v>#NAME?</v>
      </c>
      <c r="S105" t="str">
        <f>""</f>
        <v/>
      </c>
      <c r="T105" t="str">
        <f>""</f>
        <v/>
      </c>
      <c r="U105" t="str">
        <f>""</f>
        <v/>
      </c>
      <c r="V105" t="str">
        <f>""</f>
        <v/>
      </c>
      <c r="W105" t="str">
        <f>""</f>
        <v/>
      </c>
      <c r="X105" t="str">
        <f>""</f>
        <v/>
      </c>
      <c r="Y105" t="str">
        <f>""</f>
        <v/>
      </c>
      <c r="Z105" t="str">
        <f>""</f>
        <v/>
      </c>
      <c r="AA105" t="str">
        <f>""</f>
        <v/>
      </c>
      <c r="AB105" t="str">
        <f>""</f>
        <v/>
      </c>
      <c r="AC105" t="str">
        <f>""</f>
        <v/>
      </c>
      <c r="AD105" t="str">
        <f>""</f>
        <v/>
      </c>
      <c r="AE105" t="str">
        <f>""</f>
        <v/>
      </c>
    </row>
    <row r="106" spans="1:31" x14ac:dyDescent="0.2">
      <c r="A106" t="str">
        <f>$A$37</f>
        <v xml:space="preserve">    North America - Asia</v>
      </c>
      <c r="B106" t="str">
        <f>$B$37</f>
        <v>CSHVNASR Index</v>
      </c>
      <c r="C106" t="str">
        <f>$C$37</f>
        <v>PX385</v>
      </c>
      <c r="D106" t="str">
        <f>$D$37</f>
        <v>INTERVAL_SUM</v>
      </c>
      <c r="E106" t="str">
        <f>$E$37</f>
        <v>Dynamic</v>
      </c>
      <c r="F106" t="e">
        <f ca="1">_xll.BDP($B$37,$C$37,CONCATENATE("PX391=", $F$71), CONCATENATE("PX392=",$F$72), CONCATENATE("DS004=",$B$64), "Fill=B")</f>
        <v>#NAME?</v>
      </c>
      <c r="G106" t="e">
        <f ca="1">_xll.BDP($B$37,$C$37,CONCATENATE("PX391=", $G$71), CONCATENATE("PX392=",$G$72), CONCATENATE("DS004=",$B$64), "Fill=B")</f>
        <v>#NAME?</v>
      </c>
      <c r="H106" t="e">
        <f ca="1">_xll.BDP($B$37,$C$37,CONCATENATE("PX391=", $H$71), CONCATENATE("PX392=",$H$72), CONCATENATE("DS004=",$B$64), "Fill=B")</f>
        <v>#NAME?</v>
      </c>
      <c r="I106" t="e">
        <f ca="1">_xll.BDP($B$37,$C$37,CONCATENATE("PX391=", $I$71), CONCATENATE("PX392=",$I$72), CONCATENATE("DS004=",$B$64), "Fill=B")</f>
        <v>#NAME?</v>
      </c>
      <c r="J106" t="e">
        <f ca="1">_xll.BDP($B$37,$C$37,CONCATENATE("PX391=", $J$71), CONCATENATE("PX392=",$J$72), CONCATENATE("DS004=",$B$64), "Fill=B")</f>
        <v>#NAME?</v>
      </c>
      <c r="K106" t="e">
        <f ca="1">_xll.BDP($B$37,$C$37,CONCATENATE("PX391=", $K$71), CONCATENATE("PX392=",$K$72), CONCATENATE("DS004=",$B$64), "Fill=B")</f>
        <v>#NAME?</v>
      </c>
      <c r="L106" t="e">
        <f ca="1">_xll.BDP($B$37,$C$37,CONCATENATE("PX391=", $L$71), CONCATENATE("PX392=",$L$72), CONCATENATE("DS004=",$B$64), "Fill=B")</f>
        <v>#NAME?</v>
      </c>
      <c r="M106" t="e">
        <f ca="1">_xll.BDP($B$37,$C$37,CONCATENATE("PX391=", $M$71), CONCATENATE("PX392=",$M$72), CONCATENATE("DS004=",$B$64), "Fill=B")</f>
        <v>#NAME?</v>
      </c>
      <c r="N106" t="e">
        <f ca="1">_xll.BDP($B$37,$C$37,CONCATENATE("PX391=", $N$71), CONCATENATE("PX392=",$N$72), CONCATENATE("DS004=",$B$64), "Fill=B")</f>
        <v>#NAME?</v>
      </c>
      <c r="O106" t="e">
        <f ca="1">_xll.BDP($B$37,$C$37,CONCATENATE("PX391=", $O$71), CONCATENATE("PX392=",$O$72), CONCATENATE("DS004=",$B$64), "Fill=B")</f>
        <v>#NAME?</v>
      </c>
      <c r="P106" t="e">
        <f ca="1">_xll.BDP($B$37,$C$37,CONCATENATE("PX391=", $P$71), CONCATENATE("PX392=",$P$72), CONCATENATE("DS004=",$B$64), "Fill=B")</f>
        <v>#NAME?</v>
      </c>
      <c r="Q106" t="e">
        <f ca="1">_xll.BDP($B$37,$C$37,CONCATENATE("PX391=", $Q$71), CONCATENATE("PX392=",$Q$72), CONCATENATE("DS004=",$B$64), "Fill=B")</f>
        <v>#NAME?</v>
      </c>
      <c r="R106" t="e">
        <f ca="1">_xll.BDP($B$37,$C$37,CONCATENATE("PX391=", $R$71), CONCATENATE("PX392=",$R$72), CONCATENATE("DS004=",$B$64), "Fill=B")</f>
        <v>#NAME?</v>
      </c>
      <c r="S106" t="str">
        <f>""</f>
        <v/>
      </c>
      <c r="T106" t="str">
        <f>""</f>
        <v/>
      </c>
      <c r="U106" t="str">
        <f>""</f>
        <v/>
      </c>
      <c r="V106" t="str">
        <f>""</f>
        <v/>
      </c>
      <c r="W106" t="str">
        <f>""</f>
        <v/>
      </c>
      <c r="X106" t="str">
        <f>""</f>
        <v/>
      </c>
      <c r="Y106" t="str">
        <f>""</f>
        <v/>
      </c>
      <c r="Z106" t="str">
        <f>""</f>
        <v/>
      </c>
      <c r="AA106" t="str">
        <f>""</f>
        <v/>
      </c>
      <c r="AB106" t="str">
        <f>""</f>
        <v/>
      </c>
      <c r="AC106" t="str">
        <f>""</f>
        <v/>
      </c>
      <c r="AD106" t="str">
        <f>""</f>
        <v/>
      </c>
      <c r="AE106" t="str">
        <f>""</f>
        <v/>
      </c>
    </row>
    <row r="107" spans="1:31" x14ac:dyDescent="0.2">
      <c r="A107" t="str">
        <f>$A$38</f>
        <v xml:space="preserve">    North America - Australasia &amp; Oceania</v>
      </c>
      <c r="B107" t="str">
        <f>$B$38</f>
        <v>CSHVNAUO Index</v>
      </c>
      <c r="C107" t="str">
        <f>$C$38</f>
        <v>PX385</v>
      </c>
      <c r="D107" t="str">
        <f>$D$38</f>
        <v>INTERVAL_SUM</v>
      </c>
      <c r="E107" t="str">
        <f>$E$38</f>
        <v>Dynamic</v>
      </c>
      <c r="F107" t="e">
        <f ca="1">_xll.BDP($B$38,$C$38,CONCATENATE("PX391=", $F$71), CONCATENATE("PX392=",$F$72), CONCATENATE("DS004=",$B$64), "Fill=B")</f>
        <v>#NAME?</v>
      </c>
      <c r="G107" t="e">
        <f ca="1">_xll.BDP($B$38,$C$38,CONCATENATE("PX391=", $G$71), CONCATENATE("PX392=",$G$72), CONCATENATE("DS004=",$B$64), "Fill=B")</f>
        <v>#NAME?</v>
      </c>
      <c r="H107" t="e">
        <f ca="1">_xll.BDP($B$38,$C$38,CONCATENATE("PX391=", $H$71), CONCATENATE("PX392=",$H$72), CONCATENATE("DS004=",$B$64), "Fill=B")</f>
        <v>#NAME?</v>
      </c>
      <c r="I107" t="e">
        <f ca="1">_xll.BDP($B$38,$C$38,CONCATENATE("PX391=", $I$71), CONCATENATE("PX392=",$I$72), CONCATENATE("DS004=",$B$64), "Fill=B")</f>
        <v>#NAME?</v>
      </c>
      <c r="J107" t="e">
        <f ca="1">_xll.BDP($B$38,$C$38,CONCATENATE("PX391=", $J$71), CONCATENATE("PX392=",$J$72), CONCATENATE("DS004=",$B$64), "Fill=B")</f>
        <v>#NAME?</v>
      </c>
      <c r="K107" t="e">
        <f ca="1">_xll.BDP($B$38,$C$38,CONCATENATE("PX391=", $K$71), CONCATENATE("PX392=",$K$72), CONCATENATE("DS004=",$B$64), "Fill=B")</f>
        <v>#NAME?</v>
      </c>
      <c r="L107" t="e">
        <f ca="1">_xll.BDP($B$38,$C$38,CONCATENATE("PX391=", $L$71), CONCATENATE("PX392=",$L$72), CONCATENATE("DS004=",$B$64), "Fill=B")</f>
        <v>#NAME?</v>
      </c>
      <c r="M107" t="e">
        <f ca="1">_xll.BDP($B$38,$C$38,CONCATENATE("PX391=", $M$71), CONCATENATE("PX392=",$M$72), CONCATENATE("DS004=",$B$64), "Fill=B")</f>
        <v>#NAME?</v>
      </c>
      <c r="N107" t="e">
        <f ca="1">_xll.BDP($B$38,$C$38,CONCATENATE("PX391=", $N$71), CONCATENATE("PX392=",$N$72), CONCATENATE("DS004=",$B$64), "Fill=B")</f>
        <v>#NAME?</v>
      </c>
      <c r="O107" t="e">
        <f ca="1">_xll.BDP($B$38,$C$38,CONCATENATE("PX391=", $O$71), CONCATENATE("PX392=",$O$72), CONCATENATE("DS004=",$B$64), "Fill=B")</f>
        <v>#NAME?</v>
      </c>
      <c r="P107" t="e">
        <f ca="1">_xll.BDP($B$38,$C$38,CONCATENATE("PX391=", $P$71), CONCATENATE("PX392=",$P$72), CONCATENATE("DS004=",$B$64), "Fill=B")</f>
        <v>#NAME?</v>
      </c>
      <c r="Q107" t="e">
        <f ca="1">_xll.BDP($B$38,$C$38,CONCATENATE("PX391=", $Q$71), CONCATENATE("PX392=",$Q$72), CONCATENATE("DS004=",$B$64), "Fill=B")</f>
        <v>#NAME?</v>
      </c>
      <c r="R107" t="e">
        <f ca="1">_xll.BDP($B$38,$C$38,CONCATENATE("PX391=", $R$71), CONCATENATE("PX392=",$R$72), CONCATENATE("DS004=",$B$64), "Fill=B")</f>
        <v>#NAME?</v>
      </c>
      <c r="S107" t="str">
        <f>""</f>
        <v/>
      </c>
      <c r="T107" t="str">
        <f>""</f>
        <v/>
      </c>
      <c r="U107" t="str">
        <f>""</f>
        <v/>
      </c>
      <c r="V107" t="str">
        <f>""</f>
        <v/>
      </c>
      <c r="W107" t="str">
        <f>""</f>
        <v/>
      </c>
      <c r="X107" t="str">
        <f>""</f>
        <v/>
      </c>
      <c r="Y107" t="str">
        <f>""</f>
        <v/>
      </c>
      <c r="Z107" t="str">
        <f>""</f>
        <v/>
      </c>
      <c r="AA107" t="str">
        <f>""</f>
        <v/>
      </c>
      <c r="AB107" t="str">
        <f>""</f>
        <v/>
      </c>
      <c r="AC107" t="str">
        <f>""</f>
        <v/>
      </c>
      <c r="AD107" t="str">
        <f>""</f>
        <v/>
      </c>
      <c r="AE107" t="str">
        <f>""</f>
        <v/>
      </c>
    </row>
    <row r="108" spans="1:31" x14ac:dyDescent="0.2">
      <c r="A108" t="str">
        <f>$A$39</f>
        <v xml:space="preserve">    South &amp; Central America - South &amp; Central America</v>
      </c>
      <c r="B108" t="str">
        <f>$B$39</f>
        <v>CSHVCSCA Index</v>
      </c>
      <c r="C108" t="str">
        <f>$C$39</f>
        <v>PX385</v>
      </c>
      <c r="D108" t="str">
        <f>$D$39</f>
        <v>INTERVAL_SUM</v>
      </c>
      <c r="E108" t="str">
        <f>$E$39</f>
        <v>Dynamic</v>
      </c>
      <c r="F108" t="e">
        <f ca="1">_xll.BDP($B$39,$C$39,CONCATENATE("PX391=", $F$71), CONCATENATE("PX392=",$F$72), CONCATENATE("DS004=",$B$64), "Fill=B")</f>
        <v>#NAME?</v>
      </c>
      <c r="G108" t="e">
        <f ca="1">_xll.BDP($B$39,$C$39,CONCATENATE("PX391=", $G$71), CONCATENATE("PX392=",$G$72), CONCATENATE("DS004=",$B$64), "Fill=B")</f>
        <v>#NAME?</v>
      </c>
      <c r="H108" t="e">
        <f ca="1">_xll.BDP($B$39,$C$39,CONCATENATE("PX391=", $H$71), CONCATENATE("PX392=",$H$72), CONCATENATE("DS004=",$B$64), "Fill=B")</f>
        <v>#NAME?</v>
      </c>
      <c r="I108" t="e">
        <f ca="1">_xll.BDP($B$39,$C$39,CONCATENATE("PX391=", $I$71), CONCATENATE("PX392=",$I$72), CONCATENATE("DS004=",$B$64), "Fill=B")</f>
        <v>#NAME?</v>
      </c>
      <c r="J108" t="e">
        <f ca="1">_xll.BDP($B$39,$C$39,CONCATENATE("PX391=", $J$71), CONCATENATE("PX392=",$J$72), CONCATENATE("DS004=",$B$64), "Fill=B")</f>
        <v>#NAME?</v>
      </c>
      <c r="K108" t="e">
        <f ca="1">_xll.BDP($B$39,$C$39,CONCATENATE("PX391=", $K$71), CONCATENATE("PX392=",$K$72), CONCATENATE("DS004=",$B$64), "Fill=B")</f>
        <v>#NAME?</v>
      </c>
      <c r="L108" t="e">
        <f ca="1">_xll.BDP($B$39,$C$39,CONCATENATE("PX391=", $L$71), CONCATENATE("PX392=",$L$72), CONCATENATE("DS004=",$B$64), "Fill=B")</f>
        <v>#NAME?</v>
      </c>
      <c r="M108" t="e">
        <f ca="1">_xll.BDP($B$39,$C$39,CONCATENATE("PX391=", $M$71), CONCATENATE("PX392=",$M$72), CONCATENATE("DS004=",$B$64), "Fill=B")</f>
        <v>#NAME?</v>
      </c>
      <c r="N108" t="e">
        <f ca="1">_xll.BDP($B$39,$C$39,CONCATENATE("PX391=", $N$71), CONCATENATE("PX392=",$N$72), CONCATENATE("DS004=",$B$64), "Fill=B")</f>
        <v>#NAME?</v>
      </c>
      <c r="O108" t="e">
        <f ca="1">_xll.BDP($B$39,$C$39,CONCATENATE("PX391=", $O$71), CONCATENATE("PX392=",$O$72), CONCATENATE("DS004=",$B$64), "Fill=B")</f>
        <v>#NAME?</v>
      </c>
      <c r="P108" t="e">
        <f ca="1">_xll.BDP($B$39,$C$39,CONCATENATE("PX391=", $P$71), CONCATENATE("PX392=",$P$72), CONCATENATE("DS004=",$B$64), "Fill=B")</f>
        <v>#NAME?</v>
      </c>
      <c r="Q108" t="e">
        <f ca="1">_xll.BDP($B$39,$C$39,CONCATENATE("PX391=", $Q$71), CONCATENATE("PX392=",$Q$72), CONCATENATE("DS004=",$B$64), "Fill=B")</f>
        <v>#NAME?</v>
      </c>
      <c r="R108" t="e">
        <f ca="1">_xll.BDP($B$39,$C$39,CONCATENATE("PX391=", $R$71), CONCATENATE("PX392=",$R$72), CONCATENATE("DS004=",$B$64), "Fill=B")</f>
        <v>#NAME?</v>
      </c>
      <c r="S108" t="str">
        <f>""</f>
        <v/>
      </c>
      <c r="T108" t="str">
        <f>""</f>
        <v/>
      </c>
      <c r="U108" t="str">
        <f>""</f>
        <v/>
      </c>
      <c r="V108" t="str">
        <f>""</f>
        <v/>
      </c>
      <c r="W108" t="str">
        <f>""</f>
        <v/>
      </c>
      <c r="X108" t="str">
        <f>""</f>
        <v/>
      </c>
      <c r="Y108" t="str">
        <f>""</f>
        <v/>
      </c>
      <c r="Z108" t="str">
        <f>""</f>
        <v/>
      </c>
      <c r="AA108" t="str">
        <f>""</f>
        <v/>
      </c>
      <c r="AB108" t="str">
        <f>""</f>
        <v/>
      </c>
      <c r="AC108" t="str">
        <f>""</f>
        <v/>
      </c>
      <c r="AD108" t="str">
        <f>""</f>
        <v/>
      </c>
      <c r="AE108" t="str">
        <f>""</f>
        <v/>
      </c>
    </row>
    <row r="109" spans="1:31" x14ac:dyDescent="0.2">
      <c r="A109" t="str">
        <f>$A$40</f>
        <v xml:space="preserve">    South &amp; Central America - Indian Sub Cont. &amp; Middle East</v>
      </c>
      <c r="B109" t="str">
        <f>$B$40</f>
        <v>CSHVCIME Index</v>
      </c>
      <c r="C109" t="str">
        <f>$C$40</f>
        <v>PX385</v>
      </c>
      <c r="D109" t="str">
        <f>$D$40</f>
        <v>INTERVAL_SUM</v>
      </c>
      <c r="E109" t="str">
        <f>$E$40</f>
        <v>Dynamic</v>
      </c>
      <c r="F109" t="e">
        <f ca="1">_xll.BDP($B$40,$C$40,CONCATENATE("PX391=", $F$71), CONCATENATE("PX392=",$F$72), CONCATENATE("DS004=",$B$64), "Fill=B")</f>
        <v>#NAME?</v>
      </c>
      <c r="G109" t="e">
        <f ca="1">_xll.BDP($B$40,$C$40,CONCATENATE("PX391=", $G$71), CONCATENATE("PX392=",$G$72), CONCATENATE("DS004=",$B$64), "Fill=B")</f>
        <v>#NAME?</v>
      </c>
      <c r="H109" t="e">
        <f ca="1">_xll.BDP($B$40,$C$40,CONCATENATE("PX391=", $H$71), CONCATENATE("PX392=",$H$72), CONCATENATE("DS004=",$B$64), "Fill=B")</f>
        <v>#NAME?</v>
      </c>
      <c r="I109" t="e">
        <f ca="1">_xll.BDP($B$40,$C$40,CONCATENATE("PX391=", $I$71), CONCATENATE("PX392=",$I$72), CONCATENATE("DS004=",$B$64), "Fill=B")</f>
        <v>#NAME?</v>
      </c>
      <c r="J109" t="e">
        <f ca="1">_xll.BDP($B$40,$C$40,CONCATENATE("PX391=", $J$71), CONCATENATE("PX392=",$J$72), CONCATENATE("DS004=",$B$64), "Fill=B")</f>
        <v>#NAME?</v>
      </c>
      <c r="K109" t="e">
        <f ca="1">_xll.BDP($B$40,$C$40,CONCATENATE("PX391=", $K$71), CONCATENATE("PX392=",$K$72), CONCATENATE("DS004=",$B$64), "Fill=B")</f>
        <v>#NAME?</v>
      </c>
      <c r="L109" t="e">
        <f ca="1">_xll.BDP($B$40,$C$40,CONCATENATE("PX391=", $L$71), CONCATENATE("PX392=",$L$72), CONCATENATE("DS004=",$B$64), "Fill=B")</f>
        <v>#NAME?</v>
      </c>
      <c r="M109" t="e">
        <f ca="1">_xll.BDP($B$40,$C$40,CONCATENATE("PX391=", $M$71), CONCATENATE("PX392=",$M$72), CONCATENATE("DS004=",$B$64), "Fill=B")</f>
        <v>#NAME?</v>
      </c>
      <c r="N109" t="e">
        <f ca="1">_xll.BDP($B$40,$C$40,CONCATENATE("PX391=", $N$71), CONCATENATE("PX392=",$N$72), CONCATENATE("DS004=",$B$64), "Fill=B")</f>
        <v>#NAME?</v>
      </c>
      <c r="O109" t="e">
        <f ca="1">_xll.BDP($B$40,$C$40,CONCATENATE("PX391=", $O$71), CONCATENATE("PX392=",$O$72), CONCATENATE("DS004=",$B$64), "Fill=B")</f>
        <v>#NAME?</v>
      </c>
      <c r="P109" t="e">
        <f ca="1">_xll.BDP($B$40,$C$40,CONCATENATE("PX391=", $P$71), CONCATENATE("PX392=",$P$72), CONCATENATE("DS004=",$B$64), "Fill=B")</f>
        <v>#NAME?</v>
      </c>
      <c r="Q109" t="e">
        <f ca="1">_xll.BDP($B$40,$C$40,CONCATENATE("PX391=", $Q$71), CONCATENATE("PX392=",$Q$72), CONCATENATE("DS004=",$B$64), "Fill=B")</f>
        <v>#NAME?</v>
      </c>
      <c r="R109" t="e">
        <f ca="1">_xll.BDP($B$40,$C$40,CONCATENATE("PX391=", $R$71), CONCATENATE("PX392=",$R$72), CONCATENATE("DS004=",$B$64), "Fill=B")</f>
        <v>#NAME?</v>
      </c>
      <c r="S109" t="str">
        <f>""</f>
        <v/>
      </c>
      <c r="T109" t="str">
        <f>""</f>
        <v/>
      </c>
      <c r="U109" t="str">
        <f>""</f>
        <v/>
      </c>
      <c r="V109" t="str">
        <f>""</f>
        <v/>
      </c>
      <c r="W109" t="str">
        <f>""</f>
        <v/>
      </c>
      <c r="X109" t="str">
        <f>""</f>
        <v/>
      </c>
      <c r="Y109" t="str">
        <f>""</f>
        <v/>
      </c>
      <c r="Z109" t="str">
        <f>""</f>
        <v/>
      </c>
      <c r="AA109" t="str">
        <f>""</f>
        <v/>
      </c>
      <c r="AB109" t="str">
        <f>""</f>
        <v/>
      </c>
      <c r="AC109" t="str">
        <f>""</f>
        <v/>
      </c>
      <c r="AD109" t="str">
        <f>""</f>
        <v/>
      </c>
      <c r="AE109" t="str">
        <f>""</f>
        <v/>
      </c>
    </row>
    <row r="110" spans="1:31" x14ac:dyDescent="0.2">
      <c r="A110" t="str">
        <f>$A$41</f>
        <v xml:space="preserve">    South &amp; Central America - Europe</v>
      </c>
      <c r="B110" t="str">
        <f>$B$41</f>
        <v>CSHVCEUR Index</v>
      </c>
      <c r="C110" t="str">
        <f>$C$41</f>
        <v>PX385</v>
      </c>
      <c r="D110" t="str">
        <f>$D$41</f>
        <v>INTERVAL_SUM</v>
      </c>
      <c r="E110" t="str">
        <f>$E$41</f>
        <v>Dynamic</v>
      </c>
      <c r="F110" t="e">
        <f ca="1">_xll.BDP($B$41,$C$41,CONCATENATE("PX391=", $F$71), CONCATENATE("PX392=",$F$72), CONCATENATE("DS004=",$B$64), "Fill=B")</f>
        <v>#NAME?</v>
      </c>
      <c r="G110" t="e">
        <f ca="1">_xll.BDP($B$41,$C$41,CONCATENATE("PX391=", $G$71), CONCATENATE("PX392=",$G$72), CONCATENATE("DS004=",$B$64), "Fill=B")</f>
        <v>#NAME?</v>
      </c>
      <c r="H110" t="e">
        <f ca="1">_xll.BDP($B$41,$C$41,CONCATENATE("PX391=", $H$71), CONCATENATE("PX392=",$H$72), CONCATENATE("DS004=",$B$64), "Fill=B")</f>
        <v>#NAME?</v>
      </c>
      <c r="I110" t="e">
        <f ca="1">_xll.BDP($B$41,$C$41,CONCATENATE("PX391=", $I$71), CONCATENATE("PX392=",$I$72), CONCATENATE("DS004=",$B$64), "Fill=B")</f>
        <v>#NAME?</v>
      </c>
      <c r="J110" t="e">
        <f ca="1">_xll.BDP($B$41,$C$41,CONCATENATE("PX391=", $J$71), CONCATENATE("PX392=",$J$72), CONCATENATE("DS004=",$B$64), "Fill=B")</f>
        <v>#NAME?</v>
      </c>
      <c r="K110" t="e">
        <f ca="1">_xll.BDP($B$41,$C$41,CONCATENATE("PX391=", $K$71), CONCATENATE("PX392=",$K$72), CONCATENATE("DS004=",$B$64), "Fill=B")</f>
        <v>#NAME?</v>
      </c>
      <c r="L110" t="e">
        <f ca="1">_xll.BDP($B$41,$C$41,CONCATENATE("PX391=", $L$71), CONCATENATE("PX392=",$L$72), CONCATENATE("DS004=",$B$64), "Fill=B")</f>
        <v>#NAME?</v>
      </c>
      <c r="M110" t="e">
        <f ca="1">_xll.BDP($B$41,$C$41,CONCATENATE("PX391=", $M$71), CONCATENATE("PX392=",$M$72), CONCATENATE("DS004=",$B$64), "Fill=B")</f>
        <v>#NAME?</v>
      </c>
      <c r="N110" t="e">
        <f ca="1">_xll.BDP($B$41,$C$41,CONCATENATE("PX391=", $N$71), CONCATENATE("PX392=",$N$72), CONCATENATE("DS004=",$B$64), "Fill=B")</f>
        <v>#NAME?</v>
      </c>
      <c r="O110" t="e">
        <f ca="1">_xll.BDP($B$41,$C$41,CONCATENATE("PX391=", $O$71), CONCATENATE("PX392=",$O$72), CONCATENATE("DS004=",$B$64), "Fill=B")</f>
        <v>#NAME?</v>
      </c>
      <c r="P110" t="e">
        <f ca="1">_xll.BDP($B$41,$C$41,CONCATENATE("PX391=", $P$71), CONCATENATE("PX392=",$P$72), CONCATENATE("DS004=",$B$64), "Fill=B")</f>
        <v>#NAME?</v>
      </c>
      <c r="Q110" t="e">
        <f ca="1">_xll.BDP($B$41,$C$41,CONCATENATE("PX391=", $Q$71), CONCATENATE("PX392=",$Q$72), CONCATENATE("DS004=",$B$64), "Fill=B")</f>
        <v>#NAME?</v>
      </c>
      <c r="R110" t="e">
        <f ca="1">_xll.BDP($B$41,$C$41,CONCATENATE("PX391=", $R$71), CONCATENATE("PX392=",$R$72), CONCATENATE("DS004=",$B$64), "Fill=B")</f>
        <v>#NAME?</v>
      </c>
      <c r="S110" t="str">
        <f>""</f>
        <v/>
      </c>
      <c r="T110" t="str">
        <f>""</f>
        <v/>
      </c>
      <c r="U110" t="str">
        <f>""</f>
        <v/>
      </c>
      <c r="V110" t="str">
        <f>""</f>
        <v/>
      </c>
      <c r="W110" t="str">
        <f>""</f>
        <v/>
      </c>
      <c r="X110" t="str">
        <f>""</f>
        <v/>
      </c>
      <c r="Y110" t="str">
        <f>""</f>
        <v/>
      </c>
      <c r="Z110" t="str">
        <f>""</f>
        <v/>
      </c>
      <c r="AA110" t="str">
        <f>""</f>
        <v/>
      </c>
      <c r="AB110" t="str">
        <f>""</f>
        <v/>
      </c>
      <c r="AC110" t="str">
        <f>""</f>
        <v/>
      </c>
      <c r="AD110" t="str">
        <f>""</f>
        <v/>
      </c>
      <c r="AE110" t="str">
        <f>""</f>
        <v/>
      </c>
    </row>
    <row r="111" spans="1:31" x14ac:dyDescent="0.2">
      <c r="A111" t="str">
        <f>$A$42</f>
        <v xml:space="preserve">    South &amp; Central America - Asia</v>
      </c>
      <c r="B111" t="str">
        <f>$B$42</f>
        <v>CSHVCASR Index</v>
      </c>
      <c r="C111" t="str">
        <f>$C$42</f>
        <v>PX385</v>
      </c>
      <c r="D111" t="str">
        <f>$D$42</f>
        <v>INTERVAL_SUM</v>
      </c>
      <c r="E111" t="str">
        <f>$E$42</f>
        <v>Dynamic</v>
      </c>
      <c r="F111" t="e">
        <f ca="1">_xll.BDP($B$42,$C$42,CONCATENATE("PX391=", $F$71), CONCATENATE("PX392=",$F$72), CONCATENATE("DS004=",$B$64), "Fill=B")</f>
        <v>#NAME?</v>
      </c>
      <c r="G111" t="e">
        <f ca="1">_xll.BDP($B$42,$C$42,CONCATENATE("PX391=", $G$71), CONCATENATE("PX392=",$G$72), CONCATENATE("DS004=",$B$64), "Fill=B")</f>
        <v>#NAME?</v>
      </c>
      <c r="H111" t="e">
        <f ca="1">_xll.BDP($B$42,$C$42,CONCATENATE("PX391=", $H$71), CONCATENATE("PX392=",$H$72), CONCATENATE("DS004=",$B$64), "Fill=B")</f>
        <v>#NAME?</v>
      </c>
      <c r="I111" t="e">
        <f ca="1">_xll.BDP($B$42,$C$42,CONCATENATE("PX391=", $I$71), CONCATENATE("PX392=",$I$72), CONCATENATE("DS004=",$B$64), "Fill=B")</f>
        <v>#NAME?</v>
      </c>
      <c r="J111" t="e">
        <f ca="1">_xll.BDP($B$42,$C$42,CONCATENATE("PX391=", $J$71), CONCATENATE("PX392=",$J$72), CONCATENATE("DS004=",$B$64), "Fill=B")</f>
        <v>#NAME?</v>
      </c>
      <c r="K111" t="e">
        <f ca="1">_xll.BDP($B$42,$C$42,CONCATENATE("PX391=", $K$71), CONCATENATE("PX392=",$K$72), CONCATENATE("DS004=",$B$64), "Fill=B")</f>
        <v>#NAME?</v>
      </c>
      <c r="L111" t="e">
        <f ca="1">_xll.BDP($B$42,$C$42,CONCATENATE("PX391=", $L$71), CONCATENATE("PX392=",$L$72), CONCATENATE("DS004=",$B$64), "Fill=B")</f>
        <v>#NAME?</v>
      </c>
      <c r="M111" t="e">
        <f ca="1">_xll.BDP($B$42,$C$42,CONCATENATE("PX391=", $M$71), CONCATENATE("PX392=",$M$72), CONCATENATE("DS004=",$B$64), "Fill=B")</f>
        <v>#NAME?</v>
      </c>
      <c r="N111" t="e">
        <f ca="1">_xll.BDP($B$42,$C$42,CONCATENATE("PX391=", $N$71), CONCATENATE("PX392=",$N$72), CONCATENATE("DS004=",$B$64), "Fill=B")</f>
        <v>#NAME?</v>
      </c>
      <c r="O111" t="e">
        <f ca="1">_xll.BDP($B$42,$C$42,CONCATENATE("PX391=", $O$71), CONCATENATE("PX392=",$O$72), CONCATENATE("DS004=",$B$64), "Fill=B")</f>
        <v>#NAME?</v>
      </c>
      <c r="P111" t="e">
        <f ca="1">_xll.BDP($B$42,$C$42,CONCATENATE("PX391=", $P$71), CONCATENATE("PX392=",$P$72), CONCATENATE("DS004=",$B$64), "Fill=B")</f>
        <v>#NAME?</v>
      </c>
      <c r="Q111" t="e">
        <f ca="1">_xll.BDP($B$42,$C$42,CONCATENATE("PX391=", $Q$71), CONCATENATE("PX392=",$Q$72), CONCATENATE("DS004=",$B$64), "Fill=B")</f>
        <v>#NAME?</v>
      </c>
      <c r="R111" t="e">
        <f ca="1">_xll.BDP($B$42,$C$42,CONCATENATE("PX391=", $R$71), CONCATENATE("PX392=",$R$72), CONCATENATE("DS004=",$B$64), "Fill=B")</f>
        <v>#NAME?</v>
      </c>
      <c r="S111" t="str">
        <f>""</f>
        <v/>
      </c>
      <c r="T111" t="str">
        <f>""</f>
        <v/>
      </c>
      <c r="U111" t="str">
        <f>""</f>
        <v/>
      </c>
      <c r="V111" t="str">
        <f>""</f>
        <v/>
      </c>
      <c r="W111" t="str">
        <f>""</f>
        <v/>
      </c>
      <c r="X111" t="str">
        <f>""</f>
        <v/>
      </c>
      <c r="Y111" t="str">
        <f>""</f>
        <v/>
      </c>
      <c r="Z111" t="str">
        <f>""</f>
        <v/>
      </c>
      <c r="AA111" t="str">
        <f>""</f>
        <v/>
      </c>
      <c r="AB111" t="str">
        <f>""</f>
        <v/>
      </c>
      <c r="AC111" t="str">
        <f>""</f>
        <v/>
      </c>
      <c r="AD111" t="str">
        <f>""</f>
        <v/>
      </c>
      <c r="AE111" t="str">
        <f>""</f>
        <v/>
      </c>
    </row>
    <row r="112" spans="1:31" x14ac:dyDescent="0.2">
      <c r="A112" t="str">
        <f>$A$43</f>
        <v xml:space="preserve">    South &amp; Central America - North America</v>
      </c>
      <c r="B112" t="str">
        <f>$B$43</f>
        <v>CSHVCNAR Index</v>
      </c>
      <c r="C112" t="str">
        <f>$C$43</f>
        <v>PX385</v>
      </c>
      <c r="D112" t="str">
        <f>$D$43</f>
        <v>INTERVAL_SUM</v>
      </c>
      <c r="E112" t="str">
        <f>$E$43</f>
        <v>Dynamic</v>
      </c>
      <c r="F112" t="e">
        <f ca="1">_xll.BDP($B$43,$C$43,CONCATENATE("PX391=", $F$71), CONCATENATE("PX392=",$F$72), CONCATENATE("DS004=",$B$64), "Fill=B")</f>
        <v>#NAME?</v>
      </c>
      <c r="G112" t="e">
        <f ca="1">_xll.BDP($B$43,$C$43,CONCATENATE("PX391=", $G$71), CONCATENATE("PX392=",$G$72), CONCATENATE("DS004=",$B$64), "Fill=B")</f>
        <v>#NAME?</v>
      </c>
      <c r="H112" t="e">
        <f ca="1">_xll.BDP($B$43,$C$43,CONCATENATE("PX391=", $H$71), CONCATENATE("PX392=",$H$72), CONCATENATE("DS004=",$B$64), "Fill=B")</f>
        <v>#NAME?</v>
      </c>
      <c r="I112" t="e">
        <f ca="1">_xll.BDP($B$43,$C$43,CONCATENATE("PX391=", $I$71), CONCATENATE("PX392=",$I$72), CONCATENATE("DS004=",$B$64), "Fill=B")</f>
        <v>#NAME?</v>
      </c>
      <c r="J112" t="e">
        <f ca="1">_xll.BDP($B$43,$C$43,CONCATENATE("PX391=", $J$71), CONCATENATE("PX392=",$J$72), CONCATENATE("DS004=",$B$64), "Fill=B")</f>
        <v>#NAME?</v>
      </c>
      <c r="K112" t="e">
        <f ca="1">_xll.BDP($B$43,$C$43,CONCATENATE("PX391=", $K$71), CONCATENATE("PX392=",$K$72), CONCATENATE("DS004=",$B$64), "Fill=B")</f>
        <v>#NAME?</v>
      </c>
      <c r="L112" t="e">
        <f ca="1">_xll.BDP($B$43,$C$43,CONCATENATE("PX391=", $L$71), CONCATENATE("PX392=",$L$72), CONCATENATE("DS004=",$B$64), "Fill=B")</f>
        <v>#NAME?</v>
      </c>
      <c r="M112" t="e">
        <f ca="1">_xll.BDP($B$43,$C$43,CONCATENATE("PX391=", $M$71), CONCATENATE("PX392=",$M$72), CONCATENATE("DS004=",$B$64), "Fill=B")</f>
        <v>#NAME?</v>
      </c>
      <c r="N112" t="e">
        <f ca="1">_xll.BDP($B$43,$C$43,CONCATENATE("PX391=", $N$71), CONCATENATE("PX392=",$N$72), CONCATENATE("DS004=",$B$64), "Fill=B")</f>
        <v>#NAME?</v>
      </c>
      <c r="O112" t="e">
        <f ca="1">_xll.BDP($B$43,$C$43,CONCATENATE("PX391=", $O$71), CONCATENATE("PX392=",$O$72), CONCATENATE("DS004=",$B$64), "Fill=B")</f>
        <v>#NAME?</v>
      </c>
      <c r="P112" t="e">
        <f ca="1">_xll.BDP($B$43,$C$43,CONCATENATE("PX391=", $P$71), CONCATENATE("PX392=",$P$72), CONCATENATE("DS004=",$B$64), "Fill=B")</f>
        <v>#NAME?</v>
      </c>
      <c r="Q112" t="e">
        <f ca="1">_xll.BDP($B$43,$C$43,CONCATENATE("PX391=", $Q$71), CONCATENATE("PX392=",$Q$72), CONCATENATE("DS004=",$B$64), "Fill=B")</f>
        <v>#NAME?</v>
      </c>
      <c r="R112" t="e">
        <f ca="1">_xll.BDP($B$43,$C$43,CONCATENATE("PX391=", $R$71), CONCATENATE("PX392=",$R$72), CONCATENATE("DS004=",$B$64), "Fill=B")</f>
        <v>#NAME?</v>
      </c>
      <c r="S112" t="str">
        <f>""</f>
        <v/>
      </c>
      <c r="T112" t="str">
        <f>""</f>
        <v/>
      </c>
      <c r="U112" t="str">
        <f>""</f>
        <v/>
      </c>
      <c r="V112" t="str">
        <f>""</f>
        <v/>
      </c>
      <c r="W112" t="str">
        <f>""</f>
        <v/>
      </c>
      <c r="X112" t="str">
        <f>""</f>
        <v/>
      </c>
      <c r="Y112" t="str">
        <f>""</f>
        <v/>
      </c>
      <c r="Z112" t="str">
        <f>""</f>
        <v/>
      </c>
      <c r="AA112" t="str">
        <f>""</f>
        <v/>
      </c>
      <c r="AB112" t="str">
        <f>""</f>
        <v/>
      </c>
      <c r="AC112" t="str">
        <f>""</f>
        <v/>
      </c>
      <c r="AD112" t="str">
        <f>""</f>
        <v/>
      </c>
      <c r="AE112" t="str">
        <f>""</f>
        <v/>
      </c>
    </row>
    <row r="113" spans="1:31" x14ac:dyDescent="0.2">
      <c r="A113" t="str">
        <f>$A$44</f>
        <v xml:space="preserve">    South &amp; Central America - Australasia &amp; Oceania</v>
      </c>
      <c r="B113" t="str">
        <f>$B$44</f>
        <v>CSHVCAUO Index</v>
      </c>
      <c r="C113" t="str">
        <f>$C$44</f>
        <v>PX385</v>
      </c>
      <c r="D113" t="str">
        <f>$D$44</f>
        <v>INTERVAL_SUM</v>
      </c>
      <c r="E113" t="str">
        <f>$E$44</f>
        <v>Dynamic</v>
      </c>
      <c r="F113" t="e">
        <f ca="1">_xll.BDP($B$44,$C$44,CONCATENATE("PX391=", $F$71), CONCATENATE("PX392=",$F$72), CONCATENATE("DS004=",$B$64), "Fill=B")</f>
        <v>#NAME?</v>
      </c>
      <c r="G113" t="e">
        <f ca="1">_xll.BDP($B$44,$C$44,CONCATENATE("PX391=", $G$71), CONCATENATE("PX392=",$G$72), CONCATENATE("DS004=",$B$64), "Fill=B")</f>
        <v>#NAME?</v>
      </c>
      <c r="H113" t="e">
        <f ca="1">_xll.BDP($B$44,$C$44,CONCATENATE("PX391=", $H$71), CONCATENATE("PX392=",$H$72), CONCATENATE("DS004=",$B$64), "Fill=B")</f>
        <v>#NAME?</v>
      </c>
      <c r="I113" t="e">
        <f ca="1">_xll.BDP($B$44,$C$44,CONCATENATE("PX391=", $I$71), CONCATENATE("PX392=",$I$72), CONCATENATE("DS004=",$B$64), "Fill=B")</f>
        <v>#NAME?</v>
      </c>
      <c r="J113" t="e">
        <f ca="1">_xll.BDP($B$44,$C$44,CONCATENATE("PX391=", $J$71), CONCATENATE("PX392=",$J$72), CONCATENATE("DS004=",$B$64), "Fill=B")</f>
        <v>#NAME?</v>
      </c>
      <c r="K113" t="e">
        <f ca="1">_xll.BDP($B$44,$C$44,CONCATENATE("PX391=", $K$71), CONCATENATE("PX392=",$K$72), CONCATENATE("DS004=",$B$64), "Fill=B")</f>
        <v>#NAME?</v>
      </c>
      <c r="L113" t="e">
        <f ca="1">_xll.BDP($B$44,$C$44,CONCATENATE("PX391=", $L$71), CONCATENATE("PX392=",$L$72), CONCATENATE("DS004=",$B$64), "Fill=B")</f>
        <v>#NAME?</v>
      </c>
      <c r="M113" t="e">
        <f ca="1">_xll.BDP($B$44,$C$44,CONCATENATE("PX391=", $M$71), CONCATENATE("PX392=",$M$72), CONCATENATE("DS004=",$B$64), "Fill=B")</f>
        <v>#NAME?</v>
      </c>
      <c r="N113" t="e">
        <f ca="1">_xll.BDP($B$44,$C$44,CONCATENATE("PX391=", $N$71), CONCATENATE("PX392=",$N$72), CONCATENATE("DS004=",$B$64), "Fill=B")</f>
        <v>#NAME?</v>
      </c>
      <c r="O113" t="e">
        <f ca="1">_xll.BDP($B$44,$C$44,CONCATENATE("PX391=", $O$71), CONCATENATE("PX392=",$O$72), CONCATENATE("DS004=",$B$64), "Fill=B")</f>
        <v>#NAME?</v>
      </c>
      <c r="P113" t="e">
        <f ca="1">_xll.BDP($B$44,$C$44,CONCATENATE("PX391=", $P$71), CONCATENATE("PX392=",$P$72), CONCATENATE("DS004=",$B$64), "Fill=B")</f>
        <v>#NAME?</v>
      </c>
      <c r="Q113" t="e">
        <f ca="1">_xll.BDP($B$44,$C$44,CONCATENATE("PX391=", $Q$71), CONCATENATE("PX392=",$Q$72), CONCATENATE("DS004=",$B$64), "Fill=B")</f>
        <v>#NAME?</v>
      </c>
      <c r="R113" t="e">
        <f ca="1">_xll.BDP($B$44,$C$44,CONCATENATE("PX391=", $R$71), CONCATENATE("PX392=",$R$72), CONCATENATE("DS004=",$B$64), "Fill=B")</f>
        <v>#NAME?</v>
      </c>
      <c r="S113" t="str">
        <f>""</f>
        <v/>
      </c>
      <c r="T113" t="str">
        <f>""</f>
        <v/>
      </c>
      <c r="U113" t="str">
        <f>""</f>
        <v/>
      </c>
      <c r="V113" t="str">
        <f>""</f>
        <v/>
      </c>
      <c r="W113" t="str">
        <f>""</f>
        <v/>
      </c>
      <c r="X113" t="str">
        <f>""</f>
        <v/>
      </c>
      <c r="Y113" t="str">
        <f>""</f>
        <v/>
      </c>
      <c r="Z113" t="str">
        <f>""</f>
        <v/>
      </c>
      <c r="AA113" t="str">
        <f>""</f>
        <v/>
      </c>
      <c r="AB113" t="str">
        <f>""</f>
        <v/>
      </c>
      <c r="AC113" t="str">
        <f>""</f>
        <v/>
      </c>
      <c r="AD113" t="str">
        <f>""</f>
        <v/>
      </c>
      <c r="AE113" t="str">
        <f>""</f>
        <v/>
      </c>
    </row>
    <row r="114" spans="1:31" x14ac:dyDescent="0.2">
      <c r="A114" t="str">
        <f>$A$45</f>
        <v xml:space="preserve">    South &amp; Central America - Sub Saharan Africa</v>
      </c>
      <c r="B114" t="str">
        <f>$B$45</f>
        <v>CSHVCSSA Index</v>
      </c>
      <c r="C114" t="str">
        <f>$C$45</f>
        <v>PX385</v>
      </c>
      <c r="D114" t="str">
        <f>$D$45</f>
        <v>INTERVAL_SUM</v>
      </c>
      <c r="E114" t="str">
        <f>$E$45</f>
        <v>Dynamic</v>
      </c>
      <c r="F114" t="e">
        <f ca="1">_xll.BDP($B$45,$C$45,CONCATENATE("PX391=", $F$71), CONCATENATE("PX392=",$F$72), CONCATENATE("DS004=",$B$64), "Fill=B")</f>
        <v>#NAME?</v>
      </c>
      <c r="G114" t="e">
        <f ca="1">_xll.BDP($B$45,$C$45,CONCATENATE("PX391=", $G$71), CONCATENATE("PX392=",$G$72), CONCATENATE("DS004=",$B$64), "Fill=B")</f>
        <v>#NAME?</v>
      </c>
      <c r="H114" t="e">
        <f ca="1">_xll.BDP($B$45,$C$45,CONCATENATE("PX391=", $H$71), CONCATENATE("PX392=",$H$72), CONCATENATE("DS004=",$B$64), "Fill=B")</f>
        <v>#NAME?</v>
      </c>
      <c r="I114" t="e">
        <f ca="1">_xll.BDP($B$45,$C$45,CONCATENATE("PX391=", $I$71), CONCATENATE("PX392=",$I$72), CONCATENATE("DS004=",$B$64), "Fill=B")</f>
        <v>#NAME?</v>
      </c>
      <c r="J114" t="e">
        <f ca="1">_xll.BDP($B$45,$C$45,CONCATENATE("PX391=", $J$71), CONCATENATE("PX392=",$J$72), CONCATENATE("DS004=",$B$64), "Fill=B")</f>
        <v>#NAME?</v>
      </c>
      <c r="K114" t="e">
        <f ca="1">_xll.BDP($B$45,$C$45,CONCATENATE("PX391=", $K$71), CONCATENATE("PX392=",$K$72), CONCATENATE("DS004=",$B$64), "Fill=B")</f>
        <v>#NAME?</v>
      </c>
      <c r="L114" t="e">
        <f ca="1">_xll.BDP($B$45,$C$45,CONCATENATE("PX391=", $L$71), CONCATENATE("PX392=",$L$72), CONCATENATE("DS004=",$B$64), "Fill=B")</f>
        <v>#NAME?</v>
      </c>
      <c r="M114" t="e">
        <f ca="1">_xll.BDP($B$45,$C$45,CONCATENATE("PX391=", $M$71), CONCATENATE("PX392=",$M$72), CONCATENATE("DS004=",$B$64), "Fill=B")</f>
        <v>#NAME?</v>
      </c>
      <c r="N114" t="e">
        <f ca="1">_xll.BDP($B$45,$C$45,CONCATENATE("PX391=", $N$71), CONCATENATE("PX392=",$N$72), CONCATENATE("DS004=",$B$64), "Fill=B")</f>
        <v>#NAME?</v>
      </c>
      <c r="O114" t="e">
        <f ca="1">_xll.BDP($B$45,$C$45,CONCATENATE("PX391=", $O$71), CONCATENATE("PX392=",$O$72), CONCATENATE("DS004=",$B$64), "Fill=B")</f>
        <v>#NAME?</v>
      </c>
      <c r="P114" t="e">
        <f ca="1">_xll.BDP($B$45,$C$45,CONCATENATE("PX391=", $P$71), CONCATENATE("PX392=",$P$72), CONCATENATE("DS004=",$B$64), "Fill=B")</f>
        <v>#NAME?</v>
      </c>
      <c r="Q114" t="e">
        <f ca="1">_xll.BDP($B$45,$C$45,CONCATENATE("PX391=", $Q$71), CONCATENATE("PX392=",$Q$72), CONCATENATE("DS004=",$B$64), "Fill=B")</f>
        <v>#NAME?</v>
      </c>
      <c r="R114" t="e">
        <f ca="1">_xll.BDP($B$45,$C$45,CONCATENATE("PX391=", $R$71), CONCATENATE("PX392=",$R$72), CONCATENATE("DS004=",$B$64), "Fill=B")</f>
        <v>#NAME?</v>
      </c>
      <c r="S114" t="str">
        <f>""</f>
        <v/>
      </c>
      <c r="T114" t="str">
        <f>""</f>
        <v/>
      </c>
      <c r="U114" t="str">
        <f>""</f>
        <v/>
      </c>
      <c r="V114" t="str">
        <f>""</f>
        <v/>
      </c>
      <c r="W114" t="str">
        <f>""</f>
        <v/>
      </c>
      <c r="X114" t="str">
        <f>""</f>
        <v/>
      </c>
      <c r="Y114" t="str">
        <f>""</f>
        <v/>
      </c>
      <c r="Z114" t="str">
        <f>""</f>
        <v/>
      </c>
      <c r="AA114" t="str">
        <f>""</f>
        <v/>
      </c>
      <c r="AB114" t="str">
        <f>""</f>
        <v/>
      </c>
      <c r="AC114" t="str">
        <f>""</f>
        <v/>
      </c>
      <c r="AD114" t="str">
        <f>""</f>
        <v/>
      </c>
      <c r="AE114" t="str">
        <f>""</f>
        <v/>
      </c>
    </row>
    <row r="115" spans="1:31" x14ac:dyDescent="0.2">
      <c r="A115" t="str">
        <f>$A$46</f>
        <v xml:space="preserve">    Sub Saharan Africa - Europe</v>
      </c>
      <c r="B115" t="str">
        <f>$B$46</f>
        <v>CSHVSEUR Index</v>
      </c>
      <c r="C115" t="str">
        <f>$C$46</f>
        <v>PX385</v>
      </c>
      <c r="D115" t="str">
        <f>$D$46</f>
        <v>INTERVAL_SUM</v>
      </c>
      <c r="E115" t="str">
        <f>$E$46</f>
        <v>Dynamic</v>
      </c>
      <c r="F115" t="e">
        <f ca="1">_xll.BDP($B$46,$C$46,CONCATENATE("PX391=", $F$71), CONCATENATE("PX392=",$F$72), CONCATENATE("DS004=",$B$64), "Fill=B")</f>
        <v>#NAME?</v>
      </c>
      <c r="G115" t="e">
        <f ca="1">_xll.BDP($B$46,$C$46,CONCATENATE("PX391=", $G$71), CONCATENATE("PX392=",$G$72), CONCATENATE("DS004=",$B$64), "Fill=B")</f>
        <v>#NAME?</v>
      </c>
      <c r="H115" t="e">
        <f ca="1">_xll.BDP($B$46,$C$46,CONCATENATE("PX391=", $H$71), CONCATENATE("PX392=",$H$72), CONCATENATE("DS004=",$B$64), "Fill=B")</f>
        <v>#NAME?</v>
      </c>
      <c r="I115" t="e">
        <f ca="1">_xll.BDP($B$46,$C$46,CONCATENATE("PX391=", $I$71), CONCATENATE("PX392=",$I$72), CONCATENATE("DS004=",$B$64), "Fill=B")</f>
        <v>#NAME?</v>
      </c>
      <c r="J115" t="e">
        <f ca="1">_xll.BDP($B$46,$C$46,CONCATENATE("PX391=", $J$71), CONCATENATE("PX392=",$J$72), CONCATENATE("DS004=",$B$64), "Fill=B")</f>
        <v>#NAME?</v>
      </c>
      <c r="K115" t="e">
        <f ca="1">_xll.BDP($B$46,$C$46,CONCATENATE("PX391=", $K$71), CONCATENATE("PX392=",$K$72), CONCATENATE("DS004=",$B$64), "Fill=B")</f>
        <v>#NAME?</v>
      </c>
      <c r="L115" t="e">
        <f ca="1">_xll.BDP($B$46,$C$46,CONCATENATE("PX391=", $L$71), CONCATENATE("PX392=",$L$72), CONCATENATE("DS004=",$B$64), "Fill=B")</f>
        <v>#NAME?</v>
      </c>
      <c r="M115" t="e">
        <f ca="1">_xll.BDP($B$46,$C$46,CONCATENATE("PX391=", $M$71), CONCATENATE("PX392=",$M$72), CONCATENATE("DS004=",$B$64), "Fill=B")</f>
        <v>#NAME?</v>
      </c>
      <c r="N115" t="e">
        <f ca="1">_xll.BDP($B$46,$C$46,CONCATENATE("PX391=", $N$71), CONCATENATE("PX392=",$N$72), CONCATENATE("DS004=",$B$64), "Fill=B")</f>
        <v>#NAME?</v>
      </c>
      <c r="O115" t="e">
        <f ca="1">_xll.BDP($B$46,$C$46,CONCATENATE("PX391=", $O$71), CONCATENATE("PX392=",$O$72), CONCATENATE("DS004=",$B$64), "Fill=B")</f>
        <v>#NAME?</v>
      </c>
      <c r="P115" t="e">
        <f ca="1">_xll.BDP($B$46,$C$46,CONCATENATE("PX391=", $P$71), CONCATENATE("PX392=",$P$72), CONCATENATE("DS004=",$B$64), "Fill=B")</f>
        <v>#NAME?</v>
      </c>
      <c r="Q115" t="e">
        <f ca="1">_xll.BDP($B$46,$C$46,CONCATENATE("PX391=", $Q$71), CONCATENATE("PX392=",$Q$72), CONCATENATE("DS004=",$B$64), "Fill=B")</f>
        <v>#NAME?</v>
      </c>
      <c r="R115" t="e">
        <f ca="1">_xll.BDP($B$46,$C$46,CONCATENATE("PX391=", $R$71), CONCATENATE("PX392=",$R$72), CONCATENATE("DS004=",$B$64), "Fill=B")</f>
        <v>#NAME?</v>
      </c>
      <c r="S115" t="str">
        <f>""</f>
        <v/>
      </c>
      <c r="T115" t="str">
        <f>""</f>
        <v/>
      </c>
      <c r="U115" t="str">
        <f>""</f>
        <v/>
      </c>
      <c r="V115" t="str">
        <f>""</f>
        <v/>
      </c>
      <c r="W115" t="str">
        <f>""</f>
        <v/>
      </c>
      <c r="X115" t="str">
        <f>""</f>
        <v/>
      </c>
      <c r="Y115" t="str">
        <f>""</f>
        <v/>
      </c>
      <c r="Z115" t="str">
        <f>""</f>
        <v/>
      </c>
      <c r="AA115" t="str">
        <f>""</f>
        <v/>
      </c>
      <c r="AB115" t="str">
        <f>""</f>
        <v/>
      </c>
      <c r="AC115" t="str">
        <f>""</f>
        <v/>
      </c>
      <c r="AD115" t="str">
        <f>""</f>
        <v/>
      </c>
      <c r="AE115" t="str">
        <f>""</f>
        <v/>
      </c>
    </row>
    <row r="116" spans="1:31" x14ac:dyDescent="0.2">
      <c r="A116" t="str">
        <f>$A$47</f>
        <v xml:space="preserve">    Sub Saharan Africa - Asia</v>
      </c>
      <c r="B116" t="str">
        <f>$B$47</f>
        <v>CSHVSASR Index</v>
      </c>
      <c r="C116" t="str">
        <f>$C$47</f>
        <v>PX385</v>
      </c>
      <c r="D116" t="str">
        <f>$D$47</f>
        <v>INTERVAL_SUM</v>
      </c>
      <c r="E116" t="str">
        <f>$E$47</f>
        <v>Dynamic</v>
      </c>
      <c r="F116" t="e">
        <f ca="1">_xll.BDP($B$47,$C$47,CONCATENATE("PX391=", $F$71), CONCATENATE("PX392=",$F$72), CONCATENATE("DS004=",$B$64), "Fill=B")</f>
        <v>#NAME?</v>
      </c>
      <c r="G116" t="e">
        <f ca="1">_xll.BDP($B$47,$C$47,CONCATENATE("PX391=", $G$71), CONCATENATE("PX392=",$G$72), CONCATENATE("DS004=",$B$64), "Fill=B")</f>
        <v>#NAME?</v>
      </c>
      <c r="H116" t="e">
        <f ca="1">_xll.BDP($B$47,$C$47,CONCATENATE("PX391=", $H$71), CONCATENATE("PX392=",$H$72), CONCATENATE("DS004=",$B$64), "Fill=B")</f>
        <v>#NAME?</v>
      </c>
      <c r="I116" t="e">
        <f ca="1">_xll.BDP($B$47,$C$47,CONCATENATE("PX391=", $I$71), CONCATENATE("PX392=",$I$72), CONCATENATE("DS004=",$B$64), "Fill=B")</f>
        <v>#NAME?</v>
      </c>
      <c r="J116" t="e">
        <f ca="1">_xll.BDP($B$47,$C$47,CONCATENATE("PX391=", $J$71), CONCATENATE("PX392=",$J$72), CONCATENATE("DS004=",$B$64), "Fill=B")</f>
        <v>#NAME?</v>
      </c>
      <c r="K116" t="e">
        <f ca="1">_xll.BDP($B$47,$C$47,CONCATENATE("PX391=", $K$71), CONCATENATE("PX392=",$K$72), CONCATENATE("DS004=",$B$64), "Fill=B")</f>
        <v>#NAME?</v>
      </c>
      <c r="L116" t="e">
        <f ca="1">_xll.BDP($B$47,$C$47,CONCATENATE("PX391=", $L$71), CONCATENATE("PX392=",$L$72), CONCATENATE("DS004=",$B$64), "Fill=B")</f>
        <v>#NAME?</v>
      </c>
      <c r="M116" t="e">
        <f ca="1">_xll.BDP($B$47,$C$47,CONCATENATE("PX391=", $M$71), CONCATENATE("PX392=",$M$72), CONCATENATE("DS004=",$B$64), "Fill=B")</f>
        <v>#NAME?</v>
      </c>
      <c r="N116" t="e">
        <f ca="1">_xll.BDP($B$47,$C$47,CONCATENATE("PX391=", $N$71), CONCATENATE("PX392=",$N$72), CONCATENATE("DS004=",$B$64), "Fill=B")</f>
        <v>#NAME?</v>
      </c>
      <c r="O116" t="e">
        <f ca="1">_xll.BDP($B$47,$C$47,CONCATENATE("PX391=", $O$71), CONCATENATE("PX392=",$O$72), CONCATENATE("DS004=",$B$64), "Fill=B")</f>
        <v>#NAME?</v>
      </c>
      <c r="P116" t="e">
        <f ca="1">_xll.BDP($B$47,$C$47,CONCATENATE("PX391=", $P$71), CONCATENATE("PX392=",$P$72), CONCATENATE("DS004=",$B$64), "Fill=B")</f>
        <v>#NAME?</v>
      </c>
      <c r="Q116" t="e">
        <f ca="1">_xll.BDP($B$47,$C$47,CONCATENATE("PX391=", $Q$71), CONCATENATE("PX392=",$Q$72), CONCATENATE("DS004=",$B$64), "Fill=B")</f>
        <v>#NAME?</v>
      </c>
      <c r="R116" t="e">
        <f ca="1">_xll.BDP($B$47,$C$47,CONCATENATE("PX391=", $R$71), CONCATENATE("PX392=",$R$72), CONCATENATE("DS004=",$B$64), "Fill=B")</f>
        <v>#NAME?</v>
      </c>
      <c r="S116" t="str">
        <f>""</f>
        <v/>
      </c>
      <c r="T116" t="str">
        <f>""</f>
        <v/>
      </c>
      <c r="U116" t="str">
        <f>""</f>
        <v/>
      </c>
      <c r="V116" t="str">
        <f>""</f>
        <v/>
      </c>
      <c r="W116" t="str">
        <f>""</f>
        <v/>
      </c>
      <c r="X116" t="str">
        <f>""</f>
        <v/>
      </c>
      <c r="Y116" t="str">
        <f>""</f>
        <v/>
      </c>
      <c r="Z116" t="str">
        <f>""</f>
        <v/>
      </c>
      <c r="AA116" t="str">
        <f>""</f>
        <v/>
      </c>
      <c r="AB116" t="str">
        <f>""</f>
        <v/>
      </c>
      <c r="AC116" t="str">
        <f>""</f>
        <v/>
      </c>
      <c r="AD116" t="str">
        <f>""</f>
        <v/>
      </c>
      <c r="AE116" t="str">
        <f>""</f>
        <v/>
      </c>
    </row>
    <row r="117" spans="1:31" x14ac:dyDescent="0.2">
      <c r="A117" t="str">
        <f>$A$48</f>
        <v xml:space="preserve">    Sub Saharan Africa - North America</v>
      </c>
      <c r="B117" t="str">
        <f>$B$48</f>
        <v>CSHVSNAR Index</v>
      </c>
      <c r="C117" t="str">
        <f>$C$48</f>
        <v>PX385</v>
      </c>
      <c r="D117" t="str">
        <f>$D$48</f>
        <v>INTERVAL_SUM</v>
      </c>
      <c r="E117" t="str">
        <f>$E$48</f>
        <v>Dynamic</v>
      </c>
      <c r="F117" t="e">
        <f ca="1">_xll.BDP($B$48,$C$48,CONCATENATE("PX391=", $F$71), CONCATENATE("PX392=",$F$72), CONCATENATE("DS004=",$B$64), "Fill=B")</f>
        <v>#NAME?</v>
      </c>
      <c r="G117" t="e">
        <f ca="1">_xll.BDP($B$48,$C$48,CONCATENATE("PX391=", $G$71), CONCATENATE("PX392=",$G$72), CONCATENATE("DS004=",$B$64), "Fill=B")</f>
        <v>#NAME?</v>
      </c>
      <c r="H117" t="e">
        <f ca="1">_xll.BDP($B$48,$C$48,CONCATENATE("PX391=", $H$71), CONCATENATE("PX392=",$H$72), CONCATENATE("DS004=",$B$64), "Fill=B")</f>
        <v>#NAME?</v>
      </c>
      <c r="I117" t="e">
        <f ca="1">_xll.BDP($B$48,$C$48,CONCATENATE("PX391=", $I$71), CONCATENATE("PX392=",$I$72), CONCATENATE("DS004=",$B$64), "Fill=B")</f>
        <v>#NAME?</v>
      </c>
      <c r="J117" t="e">
        <f ca="1">_xll.BDP($B$48,$C$48,CONCATENATE("PX391=", $J$71), CONCATENATE("PX392=",$J$72), CONCATENATE("DS004=",$B$64), "Fill=B")</f>
        <v>#NAME?</v>
      </c>
      <c r="K117" t="e">
        <f ca="1">_xll.BDP($B$48,$C$48,CONCATENATE("PX391=", $K$71), CONCATENATE("PX392=",$K$72), CONCATENATE("DS004=",$B$64), "Fill=B")</f>
        <v>#NAME?</v>
      </c>
      <c r="L117" t="e">
        <f ca="1">_xll.BDP($B$48,$C$48,CONCATENATE("PX391=", $L$71), CONCATENATE("PX392=",$L$72), CONCATENATE("DS004=",$B$64), "Fill=B")</f>
        <v>#NAME?</v>
      </c>
      <c r="M117" t="e">
        <f ca="1">_xll.BDP($B$48,$C$48,CONCATENATE("PX391=", $M$71), CONCATENATE("PX392=",$M$72), CONCATENATE("DS004=",$B$64), "Fill=B")</f>
        <v>#NAME?</v>
      </c>
      <c r="N117" t="e">
        <f ca="1">_xll.BDP($B$48,$C$48,CONCATENATE("PX391=", $N$71), CONCATENATE("PX392=",$N$72), CONCATENATE("DS004=",$B$64), "Fill=B")</f>
        <v>#NAME?</v>
      </c>
      <c r="O117" t="e">
        <f ca="1">_xll.BDP($B$48,$C$48,CONCATENATE("PX391=", $O$71), CONCATENATE("PX392=",$O$72), CONCATENATE("DS004=",$B$64), "Fill=B")</f>
        <v>#NAME?</v>
      </c>
      <c r="P117" t="e">
        <f ca="1">_xll.BDP($B$48,$C$48,CONCATENATE("PX391=", $P$71), CONCATENATE("PX392=",$P$72), CONCATENATE("DS004=",$B$64), "Fill=B")</f>
        <v>#NAME?</v>
      </c>
      <c r="Q117" t="e">
        <f ca="1">_xll.BDP($B$48,$C$48,CONCATENATE("PX391=", $Q$71), CONCATENATE("PX392=",$Q$72), CONCATENATE("DS004=",$B$64), "Fill=B")</f>
        <v>#NAME?</v>
      </c>
      <c r="R117" t="e">
        <f ca="1">_xll.BDP($B$48,$C$48,CONCATENATE("PX391=", $R$71), CONCATENATE("PX392=",$R$72), CONCATENATE("DS004=",$B$64), "Fill=B")</f>
        <v>#NAME?</v>
      </c>
      <c r="S117" t="str">
        <f>""</f>
        <v/>
      </c>
      <c r="T117" t="str">
        <f>""</f>
        <v/>
      </c>
      <c r="U117" t="str">
        <f>""</f>
        <v/>
      </c>
      <c r="V117" t="str">
        <f>""</f>
        <v/>
      </c>
      <c r="W117" t="str">
        <f>""</f>
        <v/>
      </c>
      <c r="X117" t="str">
        <f>""</f>
        <v/>
      </c>
      <c r="Y117" t="str">
        <f>""</f>
        <v/>
      </c>
      <c r="Z117" t="str">
        <f>""</f>
        <v/>
      </c>
      <c r="AA117" t="str">
        <f>""</f>
        <v/>
      </c>
      <c r="AB117" t="str">
        <f>""</f>
        <v/>
      </c>
      <c r="AC117" t="str">
        <f>""</f>
        <v/>
      </c>
      <c r="AD117" t="str">
        <f>""</f>
        <v/>
      </c>
      <c r="AE117" t="str">
        <f>""</f>
        <v/>
      </c>
    </row>
    <row r="118" spans="1:31" x14ac:dyDescent="0.2">
      <c r="A118" t="str">
        <f>$A$49</f>
        <v xml:space="preserve">    Sub Saharan Africa - Australasia &amp; Oceania</v>
      </c>
      <c r="B118" t="str">
        <f>$B$49</f>
        <v>CSHVSAUO Index</v>
      </c>
      <c r="C118" t="str">
        <f>$C$49</f>
        <v>PX385</v>
      </c>
      <c r="D118" t="str">
        <f>$D$49</f>
        <v>INTERVAL_SUM</v>
      </c>
      <c r="E118" t="str">
        <f>$E$49</f>
        <v>Dynamic</v>
      </c>
      <c r="F118" t="e">
        <f ca="1">_xll.BDP($B$49,$C$49,CONCATENATE("PX391=", $F$71), CONCATENATE("PX392=",$F$72), CONCATENATE("DS004=",$B$64), "Fill=B")</f>
        <v>#NAME?</v>
      </c>
      <c r="G118" t="e">
        <f ca="1">_xll.BDP($B$49,$C$49,CONCATENATE("PX391=", $G$71), CONCATENATE("PX392=",$G$72), CONCATENATE("DS004=",$B$64), "Fill=B")</f>
        <v>#NAME?</v>
      </c>
      <c r="H118" t="e">
        <f ca="1">_xll.BDP($B$49,$C$49,CONCATENATE("PX391=", $H$71), CONCATENATE("PX392=",$H$72), CONCATENATE("DS004=",$B$64), "Fill=B")</f>
        <v>#NAME?</v>
      </c>
      <c r="I118" t="e">
        <f ca="1">_xll.BDP($B$49,$C$49,CONCATENATE("PX391=", $I$71), CONCATENATE("PX392=",$I$72), CONCATENATE("DS004=",$B$64), "Fill=B")</f>
        <v>#NAME?</v>
      </c>
      <c r="J118" t="e">
        <f ca="1">_xll.BDP($B$49,$C$49,CONCATENATE("PX391=", $J$71), CONCATENATE("PX392=",$J$72), CONCATENATE("DS004=",$B$64), "Fill=B")</f>
        <v>#NAME?</v>
      </c>
      <c r="K118" t="e">
        <f ca="1">_xll.BDP($B$49,$C$49,CONCATENATE("PX391=", $K$71), CONCATENATE("PX392=",$K$72), CONCATENATE("DS004=",$B$64), "Fill=B")</f>
        <v>#NAME?</v>
      </c>
      <c r="L118" t="e">
        <f ca="1">_xll.BDP($B$49,$C$49,CONCATENATE("PX391=", $L$71), CONCATENATE("PX392=",$L$72), CONCATENATE("DS004=",$B$64), "Fill=B")</f>
        <v>#NAME?</v>
      </c>
      <c r="M118" t="e">
        <f ca="1">_xll.BDP($B$49,$C$49,CONCATENATE("PX391=", $M$71), CONCATENATE("PX392=",$M$72), CONCATENATE("DS004=",$B$64), "Fill=B")</f>
        <v>#NAME?</v>
      </c>
      <c r="N118" t="e">
        <f ca="1">_xll.BDP($B$49,$C$49,CONCATENATE("PX391=", $N$71), CONCATENATE("PX392=",$N$72), CONCATENATE("DS004=",$B$64), "Fill=B")</f>
        <v>#NAME?</v>
      </c>
      <c r="O118" t="e">
        <f ca="1">_xll.BDP($B$49,$C$49,CONCATENATE("PX391=", $O$71), CONCATENATE("PX392=",$O$72), CONCATENATE("DS004=",$B$64), "Fill=B")</f>
        <v>#NAME?</v>
      </c>
      <c r="P118" t="e">
        <f ca="1">_xll.BDP($B$49,$C$49,CONCATENATE("PX391=", $P$71), CONCATENATE("PX392=",$P$72), CONCATENATE("DS004=",$B$64), "Fill=B")</f>
        <v>#NAME?</v>
      </c>
      <c r="Q118" t="e">
        <f ca="1">_xll.BDP($B$49,$C$49,CONCATENATE("PX391=", $Q$71), CONCATENATE("PX392=",$Q$72), CONCATENATE("DS004=",$B$64), "Fill=B")</f>
        <v>#NAME?</v>
      </c>
      <c r="R118" t="e">
        <f ca="1">_xll.BDP($B$49,$C$49,CONCATENATE("PX391=", $R$71), CONCATENATE("PX392=",$R$72), CONCATENATE("DS004=",$B$64), "Fill=B")</f>
        <v>#NAME?</v>
      </c>
      <c r="S118" t="str">
        <f>""</f>
        <v/>
      </c>
      <c r="T118" t="str">
        <f>""</f>
        <v/>
      </c>
      <c r="U118" t="str">
        <f>""</f>
        <v/>
      </c>
      <c r="V118" t="str">
        <f>""</f>
        <v/>
      </c>
      <c r="W118" t="str">
        <f>""</f>
        <v/>
      </c>
      <c r="X118" t="str">
        <f>""</f>
        <v/>
      </c>
      <c r="Y118" t="str">
        <f>""</f>
        <v/>
      </c>
      <c r="Z118" t="str">
        <f>""</f>
        <v/>
      </c>
      <c r="AA118" t="str">
        <f>""</f>
        <v/>
      </c>
      <c r="AB118" t="str">
        <f>""</f>
        <v/>
      </c>
      <c r="AC118" t="str">
        <f>""</f>
        <v/>
      </c>
      <c r="AD118" t="str">
        <f>""</f>
        <v/>
      </c>
      <c r="AE118" t="str">
        <f>""</f>
        <v/>
      </c>
    </row>
    <row r="119" spans="1:31" x14ac:dyDescent="0.2">
      <c r="A119" t="str">
        <f>$A$50</f>
        <v xml:space="preserve">    Sub Saharan Africa - Sub Saharan Africa</v>
      </c>
      <c r="B119" t="str">
        <f>$B$50</f>
        <v>CSHVSSSA Index</v>
      </c>
      <c r="C119" t="str">
        <f>$C$50</f>
        <v>PX385</v>
      </c>
      <c r="D119" t="str">
        <f>$D$50</f>
        <v>INTERVAL_SUM</v>
      </c>
      <c r="E119" t="str">
        <f>$E$50</f>
        <v>Dynamic</v>
      </c>
      <c r="F119" t="e">
        <f ca="1">_xll.BDP($B$50,$C$50,CONCATENATE("PX391=", $F$71), CONCATENATE("PX392=",$F$72), CONCATENATE("DS004=",$B$64), "Fill=B")</f>
        <v>#NAME?</v>
      </c>
      <c r="G119" t="e">
        <f ca="1">_xll.BDP($B$50,$C$50,CONCATENATE("PX391=", $G$71), CONCATENATE("PX392=",$G$72), CONCATENATE("DS004=",$B$64), "Fill=B")</f>
        <v>#NAME?</v>
      </c>
      <c r="H119" t="e">
        <f ca="1">_xll.BDP($B$50,$C$50,CONCATENATE("PX391=", $H$71), CONCATENATE("PX392=",$H$72), CONCATENATE("DS004=",$B$64), "Fill=B")</f>
        <v>#NAME?</v>
      </c>
      <c r="I119" t="e">
        <f ca="1">_xll.BDP($B$50,$C$50,CONCATENATE("PX391=", $I$71), CONCATENATE("PX392=",$I$72), CONCATENATE("DS004=",$B$64), "Fill=B")</f>
        <v>#NAME?</v>
      </c>
      <c r="J119" t="e">
        <f ca="1">_xll.BDP($B$50,$C$50,CONCATENATE("PX391=", $J$71), CONCATENATE("PX392=",$J$72), CONCATENATE("DS004=",$B$64), "Fill=B")</f>
        <v>#NAME?</v>
      </c>
      <c r="K119" t="e">
        <f ca="1">_xll.BDP($B$50,$C$50,CONCATENATE("PX391=", $K$71), CONCATENATE("PX392=",$K$72), CONCATENATE("DS004=",$B$64), "Fill=B")</f>
        <v>#NAME?</v>
      </c>
      <c r="L119" t="e">
        <f ca="1">_xll.BDP($B$50,$C$50,CONCATENATE("PX391=", $L$71), CONCATENATE("PX392=",$L$72), CONCATENATE("DS004=",$B$64), "Fill=B")</f>
        <v>#NAME?</v>
      </c>
      <c r="M119" t="e">
        <f ca="1">_xll.BDP($B$50,$C$50,CONCATENATE("PX391=", $M$71), CONCATENATE("PX392=",$M$72), CONCATENATE("DS004=",$B$64), "Fill=B")</f>
        <v>#NAME?</v>
      </c>
      <c r="N119" t="e">
        <f ca="1">_xll.BDP($B$50,$C$50,CONCATENATE("PX391=", $N$71), CONCATENATE("PX392=",$N$72), CONCATENATE("DS004=",$B$64), "Fill=B")</f>
        <v>#NAME?</v>
      </c>
      <c r="O119" t="e">
        <f ca="1">_xll.BDP($B$50,$C$50,CONCATENATE("PX391=", $O$71), CONCATENATE("PX392=",$O$72), CONCATENATE("DS004=",$B$64), "Fill=B")</f>
        <v>#NAME?</v>
      </c>
      <c r="P119" t="e">
        <f ca="1">_xll.BDP($B$50,$C$50,CONCATENATE("PX391=", $P$71), CONCATENATE("PX392=",$P$72), CONCATENATE("DS004=",$B$64), "Fill=B")</f>
        <v>#NAME?</v>
      </c>
      <c r="Q119" t="e">
        <f ca="1">_xll.BDP($B$50,$C$50,CONCATENATE("PX391=", $Q$71), CONCATENATE("PX392=",$Q$72), CONCATENATE("DS004=",$B$64), "Fill=B")</f>
        <v>#NAME?</v>
      </c>
      <c r="R119" t="e">
        <f ca="1">_xll.BDP($B$50,$C$50,CONCATENATE("PX391=", $R$71), CONCATENATE("PX392=",$R$72), CONCATENATE("DS004=",$B$64), "Fill=B")</f>
        <v>#NAME?</v>
      </c>
      <c r="S119" t="str">
        <f>""</f>
        <v/>
      </c>
      <c r="T119" t="str">
        <f>""</f>
        <v/>
      </c>
      <c r="U119" t="str">
        <f>""</f>
        <v/>
      </c>
      <c r="V119" t="str">
        <f>""</f>
        <v/>
      </c>
      <c r="W119" t="str">
        <f>""</f>
        <v/>
      </c>
      <c r="X119" t="str">
        <f>""</f>
        <v/>
      </c>
      <c r="Y119" t="str">
        <f>""</f>
        <v/>
      </c>
      <c r="Z119" t="str">
        <f>""</f>
        <v/>
      </c>
      <c r="AA119" t="str">
        <f>""</f>
        <v/>
      </c>
      <c r="AB119" t="str">
        <f>""</f>
        <v/>
      </c>
      <c r="AC119" t="str">
        <f>""</f>
        <v/>
      </c>
      <c r="AD119" t="str">
        <f>""</f>
        <v/>
      </c>
      <c r="AE119" t="str">
        <f>""</f>
        <v/>
      </c>
    </row>
    <row r="120" spans="1:31" x14ac:dyDescent="0.2">
      <c r="A120" t="str">
        <f>$A$51</f>
        <v xml:space="preserve">    Sub Saharan Africa - Indian Sub Cont. &amp; Middle East</v>
      </c>
      <c r="B120" t="str">
        <f>$B$51</f>
        <v>CSHVSIME Index</v>
      </c>
      <c r="C120" t="str">
        <f>$C$51</f>
        <v>PX385</v>
      </c>
      <c r="D120" t="str">
        <f>$D$51</f>
        <v>INTERVAL_SUM</v>
      </c>
      <c r="E120" t="str">
        <f>$E$51</f>
        <v>Dynamic</v>
      </c>
      <c r="F120" t="e">
        <f ca="1">_xll.BDP($B$51,$C$51,CONCATENATE("PX391=", $F$71), CONCATENATE("PX392=",$F$72), CONCATENATE("DS004=",$B$64), "Fill=B")</f>
        <v>#NAME?</v>
      </c>
      <c r="G120" t="e">
        <f ca="1">_xll.BDP($B$51,$C$51,CONCATENATE("PX391=", $G$71), CONCATENATE("PX392=",$G$72), CONCATENATE("DS004=",$B$64), "Fill=B")</f>
        <v>#NAME?</v>
      </c>
      <c r="H120" t="e">
        <f ca="1">_xll.BDP($B$51,$C$51,CONCATENATE("PX391=", $H$71), CONCATENATE("PX392=",$H$72), CONCATENATE("DS004=",$B$64), "Fill=B")</f>
        <v>#NAME?</v>
      </c>
      <c r="I120" t="e">
        <f ca="1">_xll.BDP($B$51,$C$51,CONCATENATE("PX391=", $I$71), CONCATENATE("PX392=",$I$72), CONCATENATE("DS004=",$B$64), "Fill=B")</f>
        <v>#NAME?</v>
      </c>
      <c r="J120" t="e">
        <f ca="1">_xll.BDP($B$51,$C$51,CONCATENATE("PX391=", $J$71), CONCATENATE("PX392=",$J$72), CONCATENATE("DS004=",$B$64), "Fill=B")</f>
        <v>#NAME?</v>
      </c>
      <c r="K120" t="e">
        <f ca="1">_xll.BDP($B$51,$C$51,CONCATENATE("PX391=", $K$71), CONCATENATE("PX392=",$K$72), CONCATENATE("DS004=",$B$64), "Fill=B")</f>
        <v>#NAME?</v>
      </c>
      <c r="L120" t="e">
        <f ca="1">_xll.BDP($B$51,$C$51,CONCATENATE("PX391=", $L$71), CONCATENATE("PX392=",$L$72), CONCATENATE("DS004=",$B$64), "Fill=B")</f>
        <v>#NAME?</v>
      </c>
      <c r="M120" t="e">
        <f ca="1">_xll.BDP($B$51,$C$51,CONCATENATE("PX391=", $M$71), CONCATENATE("PX392=",$M$72), CONCATENATE("DS004=",$B$64), "Fill=B")</f>
        <v>#NAME?</v>
      </c>
      <c r="N120" t="e">
        <f ca="1">_xll.BDP($B$51,$C$51,CONCATENATE("PX391=", $N$71), CONCATENATE("PX392=",$N$72), CONCATENATE("DS004=",$B$64), "Fill=B")</f>
        <v>#NAME?</v>
      </c>
      <c r="O120" t="e">
        <f ca="1">_xll.BDP($B$51,$C$51,CONCATENATE("PX391=", $O$71), CONCATENATE("PX392=",$O$72), CONCATENATE("DS004=",$B$64), "Fill=B")</f>
        <v>#NAME?</v>
      </c>
      <c r="P120" t="e">
        <f ca="1">_xll.BDP($B$51,$C$51,CONCATENATE("PX391=", $P$71), CONCATENATE("PX392=",$P$72), CONCATENATE("DS004=",$B$64), "Fill=B")</f>
        <v>#NAME?</v>
      </c>
      <c r="Q120" t="e">
        <f ca="1">_xll.BDP($B$51,$C$51,CONCATENATE("PX391=", $Q$71), CONCATENATE("PX392=",$Q$72), CONCATENATE("DS004=",$B$64), "Fill=B")</f>
        <v>#NAME?</v>
      </c>
      <c r="R120" t="e">
        <f ca="1">_xll.BDP($B$51,$C$51,CONCATENATE("PX391=", $R$71), CONCATENATE("PX392=",$R$72), CONCATENATE("DS004=",$B$64), "Fill=B")</f>
        <v>#NAME?</v>
      </c>
      <c r="S120" t="str">
        <f>""</f>
        <v/>
      </c>
      <c r="T120" t="str">
        <f>""</f>
        <v/>
      </c>
      <c r="U120" t="str">
        <f>""</f>
        <v/>
      </c>
      <c r="V120" t="str">
        <f>""</f>
        <v/>
      </c>
      <c r="W120" t="str">
        <f>""</f>
        <v/>
      </c>
      <c r="X120" t="str">
        <f>""</f>
        <v/>
      </c>
      <c r="Y120" t="str">
        <f>""</f>
        <v/>
      </c>
      <c r="Z120" t="str">
        <f>""</f>
        <v/>
      </c>
      <c r="AA120" t="str">
        <f>""</f>
        <v/>
      </c>
      <c r="AB120" t="str">
        <f>""</f>
        <v/>
      </c>
      <c r="AC120" t="str">
        <f>""</f>
        <v/>
      </c>
      <c r="AD120" t="str">
        <f>""</f>
        <v/>
      </c>
      <c r="AE120" t="str">
        <f>""</f>
        <v/>
      </c>
    </row>
    <row r="121" spans="1:31" x14ac:dyDescent="0.2">
      <c r="A121" t="str">
        <f>$A$52</f>
        <v xml:space="preserve">    Sub Saharan Africa - South &amp; Central America</v>
      </c>
      <c r="B121" t="str">
        <f>$B$52</f>
        <v>CSHVSSCA Index</v>
      </c>
      <c r="C121" t="str">
        <f>$C$52</f>
        <v>PX385</v>
      </c>
      <c r="D121" t="str">
        <f>$D$52</f>
        <v>INTERVAL_SUM</v>
      </c>
      <c r="E121" t="str">
        <f>$E$52</f>
        <v>Dynamic</v>
      </c>
      <c r="F121" t="e">
        <f ca="1">_xll.BDP($B$52,$C$52,CONCATENATE("PX391=", $F$71), CONCATENATE("PX392=",$F$72), CONCATENATE("DS004=",$B$64), "Fill=B")</f>
        <v>#NAME?</v>
      </c>
      <c r="G121" t="e">
        <f ca="1">_xll.BDP($B$52,$C$52,CONCATENATE("PX391=", $G$71), CONCATENATE("PX392=",$G$72), CONCATENATE("DS004=",$B$64), "Fill=B")</f>
        <v>#NAME?</v>
      </c>
      <c r="H121" t="e">
        <f ca="1">_xll.BDP($B$52,$C$52,CONCATENATE("PX391=", $H$71), CONCATENATE("PX392=",$H$72), CONCATENATE("DS004=",$B$64), "Fill=B")</f>
        <v>#NAME?</v>
      </c>
      <c r="I121" t="e">
        <f ca="1">_xll.BDP($B$52,$C$52,CONCATENATE("PX391=", $I$71), CONCATENATE("PX392=",$I$72), CONCATENATE("DS004=",$B$64), "Fill=B")</f>
        <v>#NAME?</v>
      </c>
      <c r="J121" t="e">
        <f ca="1">_xll.BDP($B$52,$C$52,CONCATENATE("PX391=", $J$71), CONCATENATE("PX392=",$J$72), CONCATENATE("DS004=",$B$64), "Fill=B")</f>
        <v>#NAME?</v>
      </c>
      <c r="K121" t="e">
        <f ca="1">_xll.BDP($B$52,$C$52,CONCATENATE("PX391=", $K$71), CONCATENATE("PX392=",$K$72), CONCATENATE("DS004=",$B$64), "Fill=B")</f>
        <v>#NAME?</v>
      </c>
      <c r="L121" t="e">
        <f ca="1">_xll.BDP($B$52,$C$52,CONCATENATE("PX391=", $L$71), CONCATENATE("PX392=",$L$72), CONCATENATE("DS004=",$B$64), "Fill=B")</f>
        <v>#NAME?</v>
      </c>
      <c r="M121" t="e">
        <f ca="1">_xll.BDP($B$52,$C$52,CONCATENATE("PX391=", $M$71), CONCATENATE("PX392=",$M$72), CONCATENATE("DS004=",$B$64), "Fill=B")</f>
        <v>#NAME?</v>
      </c>
      <c r="N121" t="e">
        <f ca="1">_xll.BDP($B$52,$C$52,CONCATENATE("PX391=", $N$71), CONCATENATE("PX392=",$N$72), CONCATENATE("DS004=",$B$64), "Fill=B")</f>
        <v>#NAME?</v>
      </c>
      <c r="O121" t="e">
        <f ca="1">_xll.BDP($B$52,$C$52,CONCATENATE("PX391=", $O$71), CONCATENATE("PX392=",$O$72), CONCATENATE("DS004=",$B$64), "Fill=B")</f>
        <v>#NAME?</v>
      </c>
      <c r="P121" t="e">
        <f ca="1">_xll.BDP($B$52,$C$52,CONCATENATE("PX391=", $P$71), CONCATENATE("PX392=",$P$72), CONCATENATE("DS004=",$B$64), "Fill=B")</f>
        <v>#NAME?</v>
      </c>
      <c r="Q121" t="e">
        <f ca="1">_xll.BDP($B$52,$C$52,CONCATENATE("PX391=", $Q$71), CONCATENATE("PX392=",$Q$72), CONCATENATE("DS004=",$B$64), "Fill=B")</f>
        <v>#NAME?</v>
      </c>
      <c r="R121" t="e">
        <f ca="1">_xll.BDP($B$52,$C$52,CONCATENATE("PX391=", $R$71), CONCATENATE("PX392=",$R$72), CONCATENATE("DS004=",$B$64), "Fill=B")</f>
        <v>#NAME?</v>
      </c>
      <c r="S121" t="str">
        <f>""</f>
        <v/>
      </c>
      <c r="T121" t="str">
        <f>""</f>
        <v/>
      </c>
      <c r="U121" t="str">
        <f>""</f>
        <v/>
      </c>
      <c r="V121" t="str">
        <f>""</f>
        <v/>
      </c>
      <c r="W121" t="str">
        <f>""</f>
        <v/>
      </c>
      <c r="X121" t="str">
        <f>""</f>
        <v/>
      </c>
      <c r="Y121" t="str">
        <f>""</f>
        <v/>
      </c>
      <c r="Z121" t="str">
        <f>""</f>
        <v/>
      </c>
      <c r="AA121" t="str">
        <f>""</f>
        <v/>
      </c>
      <c r="AB121" t="str">
        <f>""</f>
        <v/>
      </c>
      <c r="AC121" t="str">
        <f>""</f>
        <v/>
      </c>
      <c r="AD121" t="str">
        <f>""</f>
        <v/>
      </c>
      <c r="AE121" t="str">
        <f>""</f>
        <v/>
      </c>
    </row>
    <row r="122" spans="1:31" x14ac:dyDescent="0.2">
      <c r="A122" t="str">
        <f>"Snapshot header"</f>
        <v>Snapshot header</v>
      </c>
      <c r="B122">
        <f>2</f>
        <v>2</v>
      </c>
      <c r="C122" t="str">
        <f>"2023"</f>
        <v>2023</v>
      </c>
      <c r="D122" t="str">
        <f>"2022"</f>
        <v>2022</v>
      </c>
      <c r="E122" t="str">
        <f>"2021"</f>
        <v>2021</v>
      </c>
      <c r="F122" t="str">
        <f>"2020"</f>
        <v>2020</v>
      </c>
      <c r="G122" t="str">
        <f>"2019"</f>
        <v>2019</v>
      </c>
      <c r="H122" t="str">
        <f>"2018"</f>
        <v>2018</v>
      </c>
      <c r="I122" t="str">
        <f>"2017"</f>
        <v>2017</v>
      </c>
      <c r="J122" t="str">
        <f>"2016"</f>
        <v>2016</v>
      </c>
      <c r="K122" t="str">
        <f>"2015"</f>
        <v>2015</v>
      </c>
      <c r="L122" t="str">
        <f>"2014"</f>
        <v>2014</v>
      </c>
      <c r="M122" t="str">
        <f>"2013"</f>
        <v>2013</v>
      </c>
      <c r="N122" t="str">
        <f>"2012"</f>
        <v>2012</v>
      </c>
      <c r="O122" t="str">
        <f>"2011"</f>
        <v>2011</v>
      </c>
      <c r="S122" t="str">
        <f>""</f>
        <v/>
      </c>
      <c r="T122" t="str">
        <f>""</f>
        <v/>
      </c>
      <c r="U122" t="str">
        <f>""</f>
        <v/>
      </c>
      <c r="V122" t="str">
        <f>""</f>
        <v/>
      </c>
      <c r="W122" t="str">
        <f>""</f>
        <v/>
      </c>
      <c r="X122" t="str">
        <f>""</f>
        <v/>
      </c>
      <c r="Y122" t="str">
        <f>""</f>
        <v/>
      </c>
      <c r="Z122" t="str">
        <f>""</f>
        <v/>
      </c>
      <c r="AA122" t="str">
        <f>""</f>
        <v/>
      </c>
      <c r="AB122" t="str">
        <f>""</f>
        <v/>
      </c>
      <c r="AC122" t="str">
        <f>""</f>
        <v/>
      </c>
      <c r="AD122" t="str">
        <f>""</f>
        <v/>
      </c>
      <c r="AE122" t="str">
        <f>""</f>
        <v/>
      </c>
    </row>
    <row r="123" spans="1:31" x14ac:dyDescent="0.2">
      <c r="A123" t="str">
        <f>"No error found"</f>
        <v>No error found</v>
      </c>
      <c r="B123" t="str">
        <f>""</f>
        <v/>
      </c>
      <c r="C123" t="str">
        <f>""</f>
        <v/>
      </c>
      <c r="D123" t="str">
        <f>""</f>
        <v/>
      </c>
      <c r="E123" t="str">
        <f>""</f>
        <v/>
      </c>
      <c r="S123" t="str">
        <f>""</f>
        <v/>
      </c>
      <c r="T123" t="str">
        <f>""</f>
        <v/>
      </c>
      <c r="U123" t="str">
        <f>""</f>
        <v/>
      </c>
      <c r="V123" t="str">
        <f>""</f>
        <v/>
      </c>
      <c r="W123" t="str">
        <f>""</f>
        <v/>
      </c>
      <c r="X123" t="str">
        <f>""</f>
        <v/>
      </c>
      <c r="Y123" t="str">
        <f>""</f>
        <v/>
      </c>
      <c r="Z123" t="str">
        <f>""</f>
        <v/>
      </c>
      <c r="AA123" t="str">
        <f>""</f>
        <v/>
      </c>
      <c r="AB123" t="str">
        <f>""</f>
        <v/>
      </c>
      <c r="AC123" t="str">
        <f>""</f>
        <v/>
      </c>
      <c r="AD123" t="str">
        <f>""</f>
        <v/>
      </c>
      <c r="AE123" t="str">
        <f>""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3"/>
  <sheetViews>
    <sheetView workbookViewId="0">
      <selection activeCell="A21" sqref="A21"/>
    </sheetView>
  </sheetViews>
  <sheetFormatPr baseColWidth="10" defaultColWidth="8.83203125" defaultRowHeight="15" x14ac:dyDescent="0.2"/>
  <cols>
    <col min="1" max="1" width="9.1640625" bestFit="1" customWidth="1"/>
  </cols>
  <sheetData>
    <row r="1" spans="1:1" x14ac:dyDescent="0.2">
      <c r="A1" s="1"/>
    </row>
    <row r="2" spans="1:1" x14ac:dyDescent="0.2">
      <c r="A2" t="s">
        <v>0</v>
      </c>
    </row>
    <row r="3" spans="1:1" x14ac:dyDescent="0.2">
      <c r="A3" t="s">
        <v>1</v>
      </c>
    </row>
    <row r="5" spans="1:1" x14ac:dyDescent="0.2">
      <c r="A5" t="s">
        <v>2</v>
      </c>
    </row>
    <row r="6" spans="1:1" x14ac:dyDescent="0.2">
      <c r="A6" t="s">
        <v>3</v>
      </c>
    </row>
    <row r="7" spans="1:1" x14ac:dyDescent="0.2">
      <c r="A7" t="s">
        <v>4</v>
      </c>
    </row>
    <row r="8" spans="1:1" x14ac:dyDescent="0.2">
      <c r="A8" t="s">
        <v>5</v>
      </c>
    </row>
    <row r="9" spans="1:1" x14ac:dyDescent="0.2">
      <c r="A9" t="s">
        <v>6</v>
      </c>
    </row>
    <row r="11" spans="1:1" x14ac:dyDescent="0.2">
      <c r="A11" t="s">
        <v>7</v>
      </c>
    </row>
    <row r="12" spans="1:1" x14ac:dyDescent="0.2">
      <c r="A12" t="s">
        <v>8</v>
      </c>
    </row>
    <row r="13" spans="1:1" x14ac:dyDescent="0.2">
      <c r="A13" t="s">
        <v>9</v>
      </c>
    </row>
    <row r="14" spans="1:1" x14ac:dyDescent="0.2">
      <c r="A14" t="s">
        <v>10</v>
      </c>
    </row>
    <row r="15" spans="1:1" x14ac:dyDescent="0.2">
      <c r="A15" t="s">
        <v>11</v>
      </c>
    </row>
    <row r="16" spans="1:1" x14ac:dyDescent="0.2">
      <c r="A16" t="s">
        <v>12</v>
      </c>
    </row>
    <row r="17" spans="1:1" x14ac:dyDescent="0.2">
      <c r="A17" t="s">
        <v>13</v>
      </c>
    </row>
    <row r="18" spans="1:1" x14ac:dyDescent="0.2">
      <c r="A18" t="s">
        <v>14</v>
      </c>
    </row>
    <row r="20" spans="1:1" x14ac:dyDescent="0.2">
      <c r="A20" t="s">
        <v>15</v>
      </c>
    </row>
    <row r="21" spans="1:1" x14ac:dyDescent="0.2">
      <c r="A21" t="s">
        <v>16</v>
      </c>
    </row>
    <row r="22" spans="1:1" x14ac:dyDescent="0.2">
      <c r="A22" t="s">
        <v>17</v>
      </c>
    </row>
    <row r="23" spans="1:1" x14ac:dyDescent="0.2">
      <c r="A23" t="s">
        <v>18</v>
      </c>
    </row>
    <row r="24" spans="1:1" x14ac:dyDescent="0.2">
      <c r="A24" t="s">
        <v>19</v>
      </c>
    </row>
    <row r="25" spans="1:1" x14ac:dyDescent="0.2">
      <c r="A25" t="s">
        <v>20</v>
      </c>
    </row>
    <row r="26" spans="1:1" x14ac:dyDescent="0.2">
      <c r="A26" t="s">
        <v>21</v>
      </c>
    </row>
    <row r="27" spans="1:1" x14ac:dyDescent="0.2">
      <c r="A27" t="s">
        <v>22</v>
      </c>
    </row>
    <row r="28" spans="1:1" x14ac:dyDescent="0.2">
      <c r="A28" t="s">
        <v>23</v>
      </c>
    </row>
    <row r="29" spans="1:1" x14ac:dyDescent="0.2">
      <c r="A29" t="s">
        <v>24</v>
      </c>
    </row>
    <row r="30" spans="1:1" x14ac:dyDescent="0.2">
      <c r="A30" t="s">
        <v>25</v>
      </c>
    </row>
    <row r="31" spans="1:1" x14ac:dyDescent="0.2">
      <c r="A31" t="s">
        <v>2</v>
      </c>
    </row>
    <row r="32" spans="1:1" x14ac:dyDescent="0.2">
      <c r="A32" t="s">
        <v>26</v>
      </c>
    </row>
    <row r="33" spans="1:1" x14ac:dyDescent="0.2">
      <c r="A3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BIData</vt:lpstr>
      <vt:lpstr>ReferenceData</vt:lpstr>
      <vt:lpstr>Help-Reference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Fredrik Lindau</cp:lastModifiedBy>
  <dcterms:created xsi:type="dcterms:W3CDTF">2013-04-03T15:49:21Z</dcterms:created>
  <dcterms:modified xsi:type="dcterms:W3CDTF">2023-11-19T13:42:05Z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{93DE2B2D-56C3-4E03-A632-E6F8BEA96D98}</vt:lpwstr>
  </property>
</Properties>
</file>